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galina007\Desktop\"/>
    </mc:Choice>
  </mc:AlternateContent>
  <bookViews>
    <workbookView xWindow="10470" yWindow="60" windowWidth="9750" windowHeight="8580"/>
  </bookViews>
  <sheets>
    <sheet name="TITLE" sheetId="6" r:id="rId1"/>
    <sheet name="Products" sheetId="5" r:id="rId2"/>
    <sheet name="print page" sheetId="7" r:id="rId3"/>
  </sheets>
  <definedNames>
    <definedName name="Door_Dobor">Products!$B$1927:$W$1943</definedName>
    <definedName name="Door_Dobor_Lada">Products!$B$1861:$W$1877</definedName>
    <definedName name="Door_Elegant">Products!$B$1720:$W$1743</definedName>
    <definedName name="Door_Eva">Products!$B$1286:$W$1307</definedName>
    <definedName name="Door_Geometry">Products!$B$160:$W$185</definedName>
    <definedName name="Door_Glasford">Products!$B$1793:$W$1811</definedName>
    <definedName name="Door_Gordana">Products!$B$235:$W$235</definedName>
    <definedName name="Door_Idea">Products!$B$285:$W$310</definedName>
    <definedName name="Door_IdeaLoft">Products!$B$360:$W$380</definedName>
    <definedName name="Door_Kupava">Products!$B$88:$W$109</definedName>
    <definedName name="Door_LadaA">Products!$B$430:$W$451</definedName>
    <definedName name="Door_LadaB">Products!$B$501:$W$522</definedName>
    <definedName name="Door_LadaC">Products!$B$572:$W$592</definedName>
    <definedName name="Door_LadaD">Products!$B$642:$W$662</definedName>
    <definedName name="Door_LadaK">Products!$B$852:$W$877</definedName>
    <definedName name="Door_LadaL">Products!$B$1072:$W$1096</definedName>
    <definedName name="Door_LadaN">Products!$B$927:$W$952</definedName>
    <definedName name="Door_Linda">Products!$B$1146:$W$1166</definedName>
    <definedName name="Door_Line">Products!$B$1645:$W$1670</definedName>
    <definedName name="Door_Lineya">Products!$B$1574:$W$1595</definedName>
    <definedName name="Door_Lisa">Products!$B$782:$W$802</definedName>
    <definedName name="Door_Mira">Products!$B$1002:$W$1022</definedName>
    <definedName name="Door_Modern">Products!$B$1429:$W$1451</definedName>
    <definedName name="Door_Nika">Products!$B$712:$W$732</definedName>
    <definedName name="Door_Pollo">Products!$B$1501:$W$1524</definedName>
    <definedName name="Door_Ruta">Products!#REF!</definedName>
    <definedName name="Door_RutaF">Products!#REF!</definedName>
    <definedName name="Door_Standard">Products!$B$10:$W$37</definedName>
    <definedName name="Door_Tiana">Products!$B$1216:$W$1236</definedName>
    <definedName name="Door_Trend">Products!$B$1357:$W$1379</definedName>
    <definedName name="DoorHandles">Products!$B$2468:$W$2476</definedName>
    <definedName name="Frame_Stand">Products!$B$2052:$W$2070</definedName>
    <definedName name="Frame_VFit">Products!$B$2120:$W$2142</definedName>
    <definedName name="Frame_VFitComfort">Products!$B$2260:$W$2282</definedName>
    <definedName name="Frame_VFitPlus">Products!$B$2192:$W$2210</definedName>
    <definedName name="Framugi">Products!$B$2390:$W$2418</definedName>
    <definedName name="Furniture">Products!$B$2526:$W$2555</definedName>
    <definedName name="MENU">TITLE!$A$2</definedName>
    <definedName name="Plinths">Products!$B$2332:$W$2340</definedName>
    <definedName name="vat">Products!$AC$2:$AC$3</definedName>
    <definedName name="Verto_Slide">Products!$B$1993:$W$2002</definedName>
  </definedNames>
  <calcPr calcId="162913" iterateDelta="9.9999999974897903E-4"/>
</workbook>
</file>

<file path=xl/calcChain.xml><?xml version="1.0" encoding="utf-8"?>
<calcChain xmlns="http://schemas.openxmlformats.org/spreadsheetml/2006/main">
  <c r="B1875" i="5" l="1"/>
  <c r="V2138" i="5" l="1"/>
  <c r="V2061" i="5"/>
  <c r="E2062" i="5"/>
  <c r="E2058" i="5"/>
  <c r="F2058" i="5"/>
  <c r="H2058" i="5"/>
  <c r="I2058" i="5"/>
  <c r="J2058" i="5"/>
  <c r="L2058" i="5"/>
  <c r="M2058" i="5"/>
  <c r="N2058" i="5"/>
  <c r="P2058" i="5"/>
  <c r="Q2058" i="5"/>
  <c r="R2058" i="5"/>
  <c r="T2058" i="5"/>
  <c r="U2058" i="5"/>
  <c r="V2058" i="5"/>
  <c r="E2201" i="5"/>
  <c r="V2191" i="5"/>
  <c r="V2119" i="5"/>
  <c r="AO2125" i="5"/>
  <c r="AO2126" i="5"/>
  <c r="AO2127" i="5"/>
  <c r="AO2128" i="5"/>
  <c r="AO2129" i="5"/>
  <c r="AO2130" i="5"/>
  <c r="AO2131" i="5"/>
  <c r="AO2132" i="5"/>
  <c r="AO2133" i="5"/>
  <c r="AO2124" i="5"/>
  <c r="E2275" i="5"/>
  <c r="E1869" i="5"/>
  <c r="I1932" i="5"/>
  <c r="I1933" i="5"/>
  <c r="G1506" i="5"/>
  <c r="G1507" i="5"/>
  <c r="G1508" i="5"/>
  <c r="AI1291" i="5"/>
  <c r="B2" i="6" l="1"/>
  <c r="D2" i="6"/>
  <c r="AQ2395" i="5"/>
  <c r="AO2395" i="5"/>
  <c r="AM2395" i="5"/>
  <c r="AK2395" i="5"/>
  <c r="AI2395" i="5"/>
  <c r="AE2472" i="5"/>
  <c r="AE2473" i="5"/>
  <c r="AE2474" i="5"/>
  <c r="AE2475" i="5"/>
  <c r="AE2471" i="5"/>
  <c r="AE2411" i="5"/>
  <c r="AE2412" i="5"/>
  <c r="AE2413" i="5"/>
  <c r="AE2414" i="5"/>
  <c r="AE2415" i="5"/>
  <c r="AE2416" i="5"/>
  <c r="AE2417" i="5"/>
  <c r="AE2410" i="5"/>
  <c r="AD2419" i="5"/>
  <c r="AE2419" i="5" s="1"/>
  <c r="AD2418" i="5"/>
  <c r="AE2418" i="5" s="1"/>
  <c r="AQ2398" i="5"/>
  <c r="AQ2399" i="5"/>
  <c r="AQ2400" i="5"/>
  <c r="AQ2401" i="5"/>
  <c r="AQ2402" i="5"/>
  <c r="AQ2403" i="5"/>
  <c r="AQ2404" i="5"/>
  <c r="AQ2405" i="5"/>
  <c r="AQ2406" i="5"/>
  <c r="AQ2397" i="5"/>
  <c r="AO2398" i="5"/>
  <c r="AO2399" i="5"/>
  <c r="AO2400" i="5"/>
  <c r="AO2401" i="5"/>
  <c r="AO2402" i="5"/>
  <c r="AO2403" i="5"/>
  <c r="AO2404" i="5"/>
  <c r="AO2405" i="5"/>
  <c r="AO2406" i="5"/>
  <c r="AO2397" i="5"/>
  <c r="AM2398" i="5"/>
  <c r="AM2399" i="5"/>
  <c r="AM2400" i="5"/>
  <c r="AM2401" i="5"/>
  <c r="AM2402" i="5"/>
  <c r="AM2403" i="5"/>
  <c r="AM2404" i="5"/>
  <c r="AM2405" i="5"/>
  <c r="AM2406" i="5"/>
  <c r="AM2397" i="5"/>
  <c r="AK2398" i="5"/>
  <c r="AK2399" i="5"/>
  <c r="AK2400" i="5"/>
  <c r="AK2401" i="5"/>
  <c r="AK2402" i="5"/>
  <c r="AK2403" i="5"/>
  <c r="AK2404" i="5"/>
  <c r="AK2405" i="5"/>
  <c r="AK2406" i="5"/>
  <c r="AK2397" i="5"/>
  <c r="AI2398" i="5"/>
  <c r="AI2399" i="5"/>
  <c r="AI2400" i="5"/>
  <c r="AI2401" i="5"/>
  <c r="AI2402" i="5"/>
  <c r="AI2403" i="5"/>
  <c r="AI2404" i="5"/>
  <c r="AI2405" i="5"/>
  <c r="AI2406" i="5"/>
  <c r="AI2397" i="5"/>
  <c r="AQ2337" i="5"/>
  <c r="AQ2336" i="5"/>
  <c r="AO2337" i="5"/>
  <c r="AO2336" i="5"/>
  <c r="AM2337" i="5"/>
  <c r="AM2336" i="5"/>
  <c r="AK2337" i="5"/>
  <c r="AK2336" i="5"/>
  <c r="AI2337" i="5"/>
  <c r="AI2336" i="5"/>
  <c r="AW2358" i="5"/>
  <c r="AU2358" i="5"/>
  <c r="AV2358" i="5" s="1"/>
  <c r="AS2358" i="5"/>
  <c r="AT2358" i="5" s="1"/>
  <c r="AQ2358" i="5"/>
  <c r="AR2358" i="5" s="1"/>
  <c r="AO2358" i="5"/>
  <c r="AP2358" i="5" s="1"/>
  <c r="AM2358" i="5"/>
  <c r="AN2358" i="5" s="1"/>
  <c r="AK2358" i="5"/>
  <c r="AL2358" i="5" s="1"/>
  <c r="AI2358" i="5"/>
  <c r="AJ2358" i="5" s="1"/>
  <c r="AG2358" i="5"/>
  <c r="AH2358" i="5" s="1"/>
  <c r="AW2357" i="5"/>
  <c r="AU2357" i="5"/>
  <c r="AV2357" i="5" s="1"/>
  <c r="AS2357" i="5"/>
  <c r="AT2357" i="5" s="1"/>
  <c r="AQ2357" i="5"/>
  <c r="AR2357" i="5" s="1"/>
  <c r="AO2357" i="5"/>
  <c r="AP2357" i="5" s="1"/>
  <c r="AM2357" i="5"/>
  <c r="AN2357" i="5" s="1"/>
  <c r="AK2357" i="5"/>
  <c r="AL2357" i="5" s="1"/>
  <c r="AI2357" i="5"/>
  <c r="AJ2357" i="5" s="1"/>
  <c r="AG2357" i="5"/>
  <c r="AH2357" i="5" s="1"/>
  <c r="AW2356" i="5"/>
  <c r="AU2356" i="5"/>
  <c r="AV2356" i="5" s="1"/>
  <c r="AS2356" i="5"/>
  <c r="AT2356" i="5" s="1"/>
  <c r="AQ2356" i="5"/>
  <c r="AR2356" i="5" s="1"/>
  <c r="AO2356" i="5"/>
  <c r="AP2356" i="5" s="1"/>
  <c r="AM2356" i="5"/>
  <c r="AN2356" i="5" s="1"/>
  <c r="AK2356" i="5"/>
  <c r="AL2356" i="5" s="1"/>
  <c r="AI2356" i="5"/>
  <c r="AJ2356" i="5" s="1"/>
  <c r="AG2356" i="5"/>
  <c r="AH2356" i="5" s="1"/>
  <c r="AW2355" i="5"/>
  <c r="AU2355" i="5"/>
  <c r="AV2355" i="5" s="1"/>
  <c r="AS2355" i="5"/>
  <c r="AT2355" i="5" s="1"/>
  <c r="AQ2355" i="5"/>
  <c r="AR2355" i="5" s="1"/>
  <c r="AO2355" i="5"/>
  <c r="AP2355" i="5" s="1"/>
  <c r="AM2355" i="5"/>
  <c r="AN2355" i="5" s="1"/>
  <c r="AK2355" i="5"/>
  <c r="AL2355" i="5" s="1"/>
  <c r="AI2355" i="5"/>
  <c r="AJ2355" i="5" s="1"/>
  <c r="AG2355" i="5"/>
  <c r="AH2355" i="5" s="1"/>
  <c r="AW2354" i="5"/>
  <c r="AU2354" i="5"/>
  <c r="AV2354" i="5" s="1"/>
  <c r="AS2354" i="5"/>
  <c r="AT2354" i="5" s="1"/>
  <c r="AQ2354" i="5"/>
  <c r="AR2354" i="5" s="1"/>
  <c r="AO2354" i="5"/>
  <c r="AP2354" i="5" s="1"/>
  <c r="AM2354" i="5"/>
  <c r="AN2354" i="5" s="1"/>
  <c r="AK2354" i="5"/>
  <c r="AL2354" i="5" s="1"/>
  <c r="AI2354" i="5"/>
  <c r="AJ2354" i="5" s="1"/>
  <c r="AG2354" i="5"/>
  <c r="AH2354" i="5" s="1"/>
  <c r="AW2353" i="5"/>
  <c r="AU2353" i="5"/>
  <c r="AV2353" i="5" s="1"/>
  <c r="AS2353" i="5"/>
  <c r="AT2353" i="5" s="1"/>
  <c r="AQ2353" i="5"/>
  <c r="AR2353" i="5" s="1"/>
  <c r="AO2353" i="5"/>
  <c r="AP2353" i="5" s="1"/>
  <c r="AM2353" i="5"/>
  <c r="AN2353" i="5" s="1"/>
  <c r="AK2353" i="5"/>
  <c r="AL2353" i="5" s="1"/>
  <c r="AI2353" i="5"/>
  <c r="AJ2353" i="5" s="1"/>
  <c r="AG2353" i="5"/>
  <c r="AH2353" i="5" s="1"/>
  <c r="AW2352" i="5"/>
  <c r="AU2352" i="5"/>
  <c r="AV2352" i="5" s="1"/>
  <c r="AS2352" i="5"/>
  <c r="AT2352" i="5" s="1"/>
  <c r="AQ2352" i="5"/>
  <c r="AR2352" i="5" s="1"/>
  <c r="AO2352" i="5"/>
  <c r="AP2352" i="5" s="1"/>
  <c r="AM2352" i="5"/>
  <c r="AN2352" i="5" s="1"/>
  <c r="AK2352" i="5"/>
  <c r="AL2352" i="5" s="1"/>
  <c r="AI2352" i="5"/>
  <c r="AJ2352" i="5" s="1"/>
  <c r="AG2352" i="5"/>
  <c r="AH2352" i="5" s="1"/>
  <c r="AW2351" i="5"/>
  <c r="AU2351" i="5"/>
  <c r="AV2351" i="5" s="1"/>
  <c r="AS2351" i="5"/>
  <c r="AT2351" i="5" s="1"/>
  <c r="AQ2351" i="5"/>
  <c r="AR2351" i="5" s="1"/>
  <c r="AO2351" i="5"/>
  <c r="AP2351" i="5" s="1"/>
  <c r="AM2351" i="5"/>
  <c r="AN2351" i="5" s="1"/>
  <c r="AK2351" i="5"/>
  <c r="AL2351" i="5" s="1"/>
  <c r="AI2351" i="5"/>
  <c r="AJ2351" i="5" s="1"/>
  <c r="AG2351" i="5"/>
  <c r="AH2351" i="5" s="1"/>
  <c r="AW2350" i="5"/>
  <c r="AU2350" i="5"/>
  <c r="AV2350" i="5" s="1"/>
  <c r="AS2350" i="5"/>
  <c r="AT2350" i="5" s="1"/>
  <c r="AQ2350" i="5"/>
  <c r="AR2350" i="5" s="1"/>
  <c r="AO2350" i="5"/>
  <c r="AP2350" i="5" s="1"/>
  <c r="AM2350" i="5"/>
  <c r="AN2350" i="5" s="1"/>
  <c r="AK2350" i="5"/>
  <c r="AL2350" i="5" s="1"/>
  <c r="AI2350" i="5"/>
  <c r="AJ2350" i="5" s="1"/>
  <c r="AG2350" i="5"/>
  <c r="AH2350" i="5" s="1"/>
  <c r="AW2349" i="5"/>
  <c r="AU2349" i="5"/>
  <c r="AV2349" i="5" s="1"/>
  <c r="AS2349" i="5"/>
  <c r="AT2349" i="5" s="1"/>
  <c r="AQ2349" i="5"/>
  <c r="AR2349" i="5" s="1"/>
  <c r="AO2349" i="5"/>
  <c r="AP2349" i="5" s="1"/>
  <c r="AM2349" i="5"/>
  <c r="AN2349" i="5" s="1"/>
  <c r="AK2349" i="5"/>
  <c r="AL2349" i="5" s="1"/>
  <c r="AI2349" i="5"/>
  <c r="AJ2349" i="5" s="1"/>
  <c r="AG2349" i="5"/>
  <c r="AH2349" i="5" s="1"/>
  <c r="AW2277" i="5"/>
  <c r="AV2277" i="5"/>
  <c r="AT2277" i="5"/>
  <c r="AS2277" i="5"/>
  <c r="AR2277" i="5"/>
  <c r="AP2277" i="5"/>
  <c r="AO2277" i="5"/>
  <c r="AN2277" i="5"/>
  <c r="AW2276" i="5"/>
  <c r="AV2276" i="5"/>
  <c r="AT2276" i="5"/>
  <c r="AS2276" i="5"/>
  <c r="AR2276" i="5"/>
  <c r="AP2276" i="5"/>
  <c r="AO2276" i="5"/>
  <c r="AN2276" i="5"/>
  <c r="AW2275" i="5"/>
  <c r="AV2275" i="5"/>
  <c r="AT2275" i="5"/>
  <c r="AS2275" i="5"/>
  <c r="AR2275" i="5"/>
  <c r="AP2275" i="5"/>
  <c r="AO2275" i="5"/>
  <c r="AN2275" i="5"/>
  <c r="AW2273" i="5"/>
  <c r="AV2273" i="5"/>
  <c r="AT2273" i="5"/>
  <c r="AS2273" i="5"/>
  <c r="AR2273" i="5"/>
  <c r="AP2273" i="5"/>
  <c r="AO2273" i="5"/>
  <c r="AN2273" i="5"/>
  <c r="AW2272" i="5"/>
  <c r="AV2272" i="5"/>
  <c r="AT2272" i="5"/>
  <c r="AS2272" i="5"/>
  <c r="AR2272" i="5"/>
  <c r="AP2272" i="5"/>
  <c r="AO2272" i="5"/>
  <c r="AN2272" i="5"/>
  <c r="AW2271" i="5"/>
  <c r="AV2271" i="5"/>
  <c r="AT2271" i="5"/>
  <c r="AS2271" i="5"/>
  <c r="AR2271" i="5"/>
  <c r="AP2271" i="5"/>
  <c r="AO2271" i="5"/>
  <c r="AN2271" i="5"/>
  <c r="AW2270" i="5"/>
  <c r="AV2270" i="5"/>
  <c r="AT2270" i="5"/>
  <c r="AS2270" i="5"/>
  <c r="AR2270" i="5"/>
  <c r="AP2270" i="5"/>
  <c r="AO2270" i="5"/>
  <c r="AN2270" i="5"/>
  <c r="AW2269" i="5"/>
  <c r="AV2269" i="5"/>
  <c r="AT2269" i="5"/>
  <c r="AS2269" i="5"/>
  <c r="AR2269" i="5"/>
  <c r="AP2269" i="5"/>
  <c r="AO2269" i="5"/>
  <c r="AN2269" i="5"/>
  <c r="AW2268" i="5"/>
  <c r="AV2268" i="5"/>
  <c r="AT2268" i="5"/>
  <c r="AS2268" i="5"/>
  <c r="AR2268" i="5"/>
  <c r="AP2268" i="5"/>
  <c r="AO2268" i="5"/>
  <c r="AN2268" i="5"/>
  <c r="AW2267" i="5"/>
  <c r="AV2267" i="5"/>
  <c r="AT2267" i="5"/>
  <c r="AS2267" i="5"/>
  <c r="AR2267" i="5"/>
  <c r="AP2267" i="5"/>
  <c r="AO2267" i="5"/>
  <c r="AN2267" i="5"/>
  <c r="AW2266" i="5"/>
  <c r="AV2266" i="5"/>
  <c r="AT2266" i="5"/>
  <c r="AS2266" i="5"/>
  <c r="AR2266" i="5"/>
  <c r="AP2266" i="5"/>
  <c r="AO2266" i="5"/>
  <c r="AN2266" i="5"/>
  <c r="AW2265" i="5"/>
  <c r="AV2265" i="5"/>
  <c r="AT2265" i="5"/>
  <c r="AS2265" i="5"/>
  <c r="AR2265" i="5"/>
  <c r="AP2265" i="5"/>
  <c r="AO2265" i="5"/>
  <c r="AN2265" i="5"/>
  <c r="AW2264" i="5"/>
  <c r="AV2264" i="5"/>
  <c r="AT2264" i="5"/>
  <c r="AS2264" i="5"/>
  <c r="AR2264" i="5"/>
  <c r="AP2264" i="5"/>
  <c r="AO2264" i="5"/>
  <c r="AN2264" i="5"/>
  <c r="AV2205" i="5"/>
  <c r="AT2205" i="5"/>
  <c r="AR2205" i="5"/>
  <c r="AP2205" i="5"/>
  <c r="AN2205" i="5"/>
  <c r="AV2204" i="5"/>
  <c r="AT2204" i="5"/>
  <c r="AR2204" i="5"/>
  <c r="AP2204" i="5"/>
  <c r="AN2204" i="5"/>
  <c r="AV2203" i="5"/>
  <c r="AT2203" i="5"/>
  <c r="AR2203" i="5"/>
  <c r="AP2203" i="5"/>
  <c r="AN2203" i="5"/>
  <c r="AV2202" i="5"/>
  <c r="AT2202" i="5"/>
  <c r="AR2202" i="5"/>
  <c r="AP2202" i="5"/>
  <c r="AN2202" i="5"/>
  <c r="AV2201" i="5"/>
  <c r="AT2201" i="5"/>
  <c r="AR2201" i="5"/>
  <c r="AP2201" i="5"/>
  <c r="AN2201" i="5"/>
  <c r="AV2200" i="5"/>
  <c r="AT2200" i="5"/>
  <c r="AR2200" i="5"/>
  <c r="AP2200" i="5"/>
  <c r="AN2200" i="5"/>
  <c r="AV2199" i="5"/>
  <c r="AT2199" i="5"/>
  <c r="AR2199" i="5"/>
  <c r="AP2199" i="5"/>
  <c r="AN2199" i="5"/>
  <c r="AV2198" i="5"/>
  <c r="AT2198" i="5"/>
  <c r="AR2198" i="5"/>
  <c r="AP2198" i="5"/>
  <c r="AN2198" i="5"/>
  <c r="AV2197" i="5"/>
  <c r="AT2197" i="5"/>
  <c r="AR2197" i="5"/>
  <c r="AP2197" i="5"/>
  <c r="AN2197" i="5"/>
  <c r="AV2196" i="5"/>
  <c r="AT2196" i="5"/>
  <c r="AR2196" i="5"/>
  <c r="AP2196" i="5"/>
  <c r="AN2196" i="5"/>
  <c r="AW2158" i="5"/>
  <c r="AV2158" i="5"/>
  <c r="AU2158" i="5"/>
  <c r="AT2158" i="5"/>
  <c r="AS2158" i="5"/>
  <c r="AR2158" i="5"/>
  <c r="AQ2158" i="5"/>
  <c r="AP2158" i="5"/>
  <c r="AO2158" i="5"/>
  <c r="AN2158" i="5"/>
  <c r="AM2158" i="5"/>
  <c r="AW2157" i="5"/>
  <c r="AV2157" i="5"/>
  <c r="AU2157" i="5"/>
  <c r="AT2157" i="5"/>
  <c r="AS2157" i="5"/>
  <c r="AR2157" i="5"/>
  <c r="AQ2157" i="5"/>
  <c r="AP2157" i="5"/>
  <c r="AO2157" i="5"/>
  <c r="AN2157" i="5"/>
  <c r="AM2157" i="5"/>
  <c r="AW2156" i="5"/>
  <c r="AV2156" i="5"/>
  <c r="AU2156" i="5"/>
  <c r="AT2156" i="5"/>
  <c r="AS2156" i="5"/>
  <c r="AR2156" i="5"/>
  <c r="AQ2156" i="5"/>
  <c r="AP2156" i="5"/>
  <c r="AO2156" i="5"/>
  <c r="AN2156" i="5"/>
  <c r="AM2156" i="5"/>
  <c r="AW2155" i="5"/>
  <c r="AV2155" i="5"/>
  <c r="AU2155" i="5"/>
  <c r="AT2155" i="5"/>
  <c r="AS2155" i="5"/>
  <c r="AR2155" i="5"/>
  <c r="AQ2155" i="5"/>
  <c r="AP2155" i="5"/>
  <c r="AO2155" i="5"/>
  <c r="AN2155" i="5"/>
  <c r="AM2155" i="5"/>
  <c r="AW2154" i="5"/>
  <c r="AV2154" i="5"/>
  <c r="AU2154" i="5"/>
  <c r="AT2154" i="5"/>
  <c r="AS2154" i="5"/>
  <c r="AR2154" i="5"/>
  <c r="AQ2154" i="5"/>
  <c r="AP2154" i="5"/>
  <c r="AO2154" i="5"/>
  <c r="AN2154" i="5"/>
  <c r="AM2154" i="5"/>
  <c r="AW2153" i="5"/>
  <c r="AV2153" i="5"/>
  <c r="AU2153" i="5"/>
  <c r="AT2153" i="5"/>
  <c r="AS2153" i="5"/>
  <c r="AR2153" i="5"/>
  <c r="AQ2153" i="5"/>
  <c r="AP2153" i="5"/>
  <c r="AO2153" i="5"/>
  <c r="AN2153" i="5"/>
  <c r="AM2153" i="5"/>
  <c r="AW2152" i="5"/>
  <c r="AV2152" i="5"/>
  <c r="AU2152" i="5"/>
  <c r="AT2152" i="5"/>
  <c r="AS2152" i="5"/>
  <c r="AR2152" i="5"/>
  <c r="AQ2152" i="5"/>
  <c r="AP2152" i="5"/>
  <c r="AO2152" i="5"/>
  <c r="AN2152" i="5"/>
  <c r="AM2152" i="5"/>
  <c r="AW2151" i="5"/>
  <c r="AV2151" i="5"/>
  <c r="AU2151" i="5"/>
  <c r="AT2151" i="5"/>
  <c r="AS2151" i="5"/>
  <c r="AR2151" i="5"/>
  <c r="AQ2151" i="5"/>
  <c r="AP2151" i="5"/>
  <c r="AO2151" i="5"/>
  <c r="AN2151" i="5"/>
  <c r="AM2151" i="5"/>
  <c r="AW2150" i="5"/>
  <c r="AV2150" i="5"/>
  <c r="AU2150" i="5"/>
  <c r="AT2150" i="5"/>
  <c r="AS2150" i="5"/>
  <c r="AR2150" i="5"/>
  <c r="AQ2150" i="5"/>
  <c r="AP2150" i="5"/>
  <c r="AO2150" i="5"/>
  <c r="AN2150" i="5"/>
  <c r="AM2150" i="5"/>
  <c r="AW2149" i="5"/>
  <c r="AV2149" i="5"/>
  <c r="AU2149" i="5"/>
  <c r="AT2149" i="5"/>
  <c r="AS2149" i="5"/>
  <c r="AR2149" i="5"/>
  <c r="AQ2149" i="5"/>
  <c r="AP2149" i="5"/>
  <c r="AO2149" i="5"/>
  <c r="AN2149" i="5"/>
  <c r="AM2149" i="5"/>
  <c r="AV2137" i="5"/>
  <c r="AT2137" i="5"/>
  <c r="AR2137" i="5"/>
  <c r="AP2137" i="5"/>
  <c r="AN2137" i="5"/>
  <c r="AV2136" i="5"/>
  <c r="AT2136" i="5"/>
  <c r="AR2136" i="5"/>
  <c r="AP2136" i="5"/>
  <c r="AN2136" i="5"/>
  <c r="AV2135" i="5"/>
  <c r="AT2135" i="5"/>
  <c r="AR2135" i="5"/>
  <c r="AP2135" i="5"/>
  <c r="AN2135" i="5"/>
  <c r="AV2125" i="5"/>
  <c r="AV2126" i="5"/>
  <c r="AV2127" i="5"/>
  <c r="AV2128" i="5"/>
  <c r="AV2129" i="5"/>
  <c r="AV2130" i="5"/>
  <c r="AV2131" i="5"/>
  <c r="AV2132" i="5"/>
  <c r="AV2133" i="5"/>
  <c r="AV2124" i="5"/>
  <c r="AT2125" i="5"/>
  <c r="AT2126" i="5"/>
  <c r="AT2127" i="5"/>
  <c r="AT2128" i="5"/>
  <c r="AT2129" i="5"/>
  <c r="AT2130" i="5"/>
  <c r="AT2131" i="5"/>
  <c r="AT2132" i="5"/>
  <c r="AT2133" i="5"/>
  <c r="AT2124" i="5"/>
  <c r="AR2125" i="5"/>
  <c r="AR2126" i="5"/>
  <c r="AR2127" i="5"/>
  <c r="AR2128" i="5"/>
  <c r="AR2129" i="5"/>
  <c r="AR2130" i="5"/>
  <c r="AR2131" i="5"/>
  <c r="AR2132" i="5"/>
  <c r="AR2133" i="5"/>
  <c r="AR2124" i="5"/>
  <c r="AP2125" i="5"/>
  <c r="AP2126" i="5"/>
  <c r="AP2127" i="5"/>
  <c r="AP2128" i="5"/>
  <c r="AP2129" i="5"/>
  <c r="AP2130" i="5"/>
  <c r="AP2131" i="5"/>
  <c r="AP2132" i="5"/>
  <c r="AP2133" i="5"/>
  <c r="AP2124" i="5"/>
  <c r="AN2125" i="5"/>
  <c r="AN2126" i="5"/>
  <c r="AN2127" i="5"/>
  <c r="AN2128" i="5"/>
  <c r="AN2129" i="5"/>
  <c r="AN2130" i="5"/>
  <c r="AN2131" i="5"/>
  <c r="AN2132" i="5"/>
  <c r="AN2133" i="5"/>
  <c r="AN2124" i="5"/>
  <c r="AE2069" i="5"/>
  <c r="AE2068" i="5"/>
  <c r="AP2064" i="5"/>
  <c r="AN2064" i="5"/>
  <c r="AV2064" i="5"/>
  <c r="AT2064" i="5"/>
  <c r="AR2064" i="5"/>
  <c r="AP2062" i="5"/>
  <c r="AV2063" i="5"/>
  <c r="AT2063" i="5"/>
  <c r="AR2063" i="5"/>
  <c r="AP2063" i="5"/>
  <c r="AN2063" i="5"/>
  <c r="AV2062" i="5"/>
  <c r="AT2062" i="5"/>
  <c r="AR2062" i="5"/>
  <c r="AN2062" i="5"/>
  <c r="AP2059" i="5"/>
  <c r="AV2060" i="5"/>
  <c r="AT2060" i="5"/>
  <c r="AR2060" i="5"/>
  <c r="AP2060" i="5"/>
  <c r="AN2060" i="5"/>
  <c r="AV2059" i="5"/>
  <c r="AT2059" i="5"/>
  <c r="AR2059" i="5"/>
  <c r="AN2059" i="5"/>
  <c r="AV2057" i="5"/>
  <c r="AV2056" i="5"/>
  <c r="AT2057" i="5"/>
  <c r="AT2056" i="5"/>
  <c r="AR2057" i="5"/>
  <c r="AR2056" i="5"/>
  <c r="AP2057" i="5"/>
  <c r="AP2056" i="5"/>
  <c r="AN2056" i="5"/>
  <c r="AN2057" i="5"/>
  <c r="AK1997" i="5"/>
  <c r="AQ1997" i="5"/>
  <c r="AM1997" i="5"/>
  <c r="AO1997" i="5"/>
  <c r="AI1997" i="5"/>
  <c r="AE1938" i="5"/>
  <c r="AE1939" i="5"/>
  <c r="AE1940" i="5"/>
  <c r="AE1941" i="5"/>
  <c r="AE1942" i="5"/>
  <c r="AE1937" i="5"/>
  <c r="AK1933" i="5"/>
  <c r="AK1932" i="5"/>
  <c r="AI1933" i="5"/>
  <c r="AI1932" i="5"/>
  <c r="AG1933" i="5"/>
  <c r="AG1932" i="5"/>
  <c r="AE1925" i="5"/>
  <c r="AF1925" i="5" s="1"/>
  <c r="AE1875" i="5"/>
  <c r="AE1876" i="5"/>
  <c r="AE1874" i="5"/>
  <c r="AQ1867" i="5"/>
  <c r="AQ1868" i="5"/>
  <c r="AQ1869" i="5"/>
  <c r="AQ1870" i="5"/>
  <c r="AQ1866" i="5"/>
  <c r="AO1867" i="5"/>
  <c r="AO1868" i="5"/>
  <c r="AO1869" i="5"/>
  <c r="AO1870" i="5"/>
  <c r="AO1866" i="5"/>
  <c r="AM1867" i="5"/>
  <c r="AM1868" i="5"/>
  <c r="AM1869" i="5"/>
  <c r="AM1870" i="5"/>
  <c r="AM1866" i="5"/>
  <c r="AK1867" i="5"/>
  <c r="AK1868" i="5"/>
  <c r="AK1869" i="5"/>
  <c r="AK1870" i="5"/>
  <c r="AK1866" i="5"/>
  <c r="AI1867" i="5"/>
  <c r="AI1868" i="5"/>
  <c r="AI1869" i="5"/>
  <c r="AI1870" i="5"/>
  <c r="AI1866" i="5"/>
  <c r="AE1807" i="5"/>
  <c r="AE1808" i="5"/>
  <c r="AE1809" i="5"/>
  <c r="AE1810" i="5"/>
  <c r="AE1811" i="5"/>
  <c r="AE1806" i="5"/>
  <c r="AE1793" i="5"/>
  <c r="AF1793" i="5" s="1"/>
  <c r="AE1799" i="5"/>
  <c r="AE1800" i="5"/>
  <c r="AE1801" i="5"/>
  <c r="AE1802" i="5"/>
  <c r="AE1798" i="5"/>
  <c r="AE1736" i="5"/>
  <c r="AE1738" i="5"/>
  <c r="AE1740" i="5"/>
  <c r="AE1737" i="5"/>
  <c r="AE1739" i="5"/>
  <c r="AE1741" i="5"/>
  <c r="AE1735" i="5"/>
  <c r="AN1726" i="5"/>
  <c r="AN1727" i="5"/>
  <c r="AN1728" i="5"/>
  <c r="AN1729" i="5"/>
  <c r="AN1730" i="5"/>
  <c r="AN1731" i="5"/>
  <c r="AN1725" i="5"/>
  <c r="AL1726" i="5"/>
  <c r="AL1727" i="5"/>
  <c r="AL1728" i="5"/>
  <c r="AL1729" i="5"/>
  <c r="AL1730" i="5"/>
  <c r="AL1731" i="5"/>
  <c r="AL1725" i="5"/>
  <c r="AJ1726" i="5"/>
  <c r="AJ1727" i="5"/>
  <c r="AJ1728" i="5"/>
  <c r="AJ1729" i="5"/>
  <c r="AJ1730" i="5"/>
  <c r="AJ1731" i="5"/>
  <c r="AJ1725" i="5"/>
  <c r="AH1726" i="5"/>
  <c r="AH1727" i="5"/>
  <c r="AH1728" i="5"/>
  <c r="AH1729" i="5"/>
  <c r="AH1730" i="5"/>
  <c r="AH1731" i="5"/>
  <c r="AH1725" i="5"/>
  <c r="AD1668" i="5"/>
  <c r="AE1661" i="5"/>
  <c r="AE1662" i="5"/>
  <c r="AE1663" i="5"/>
  <c r="AE1664" i="5"/>
  <c r="AE1665" i="5"/>
  <c r="AE1666" i="5"/>
  <c r="AE1667" i="5"/>
  <c r="AE1668" i="5"/>
  <c r="AE1669" i="5"/>
  <c r="AE1660" i="5"/>
  <c r="AL1650" i="5"/>
  <c r="AL1653" i="5"/>
  <c r="AN1651" i="5"/>
  <c r="AN1652" i="5"/>
  <c r="AN1653" i="5"/>
  <c r="AN1654" i="5"/>
  <c r="AN1655" i="5"/>
  <c r="AN1656" i="5"/>
  <c r="AN1650" i="5"/>
  <c r="AL1651" i="5"/>
  <c r="AL1652" i="5"/>
  <c r="AL1654" i="5"/>
  <c r="AL1655" i="5"/>
  <c r="AL1656" i="5"/>
  <c r="AJ1651" i="5"/>
  <c r="AJ1652" i="5"/>
  <c r="AJ1653" i="5"/>
  <c r="AJ1654" i="5"/>
  <c r="AJ1655" i="5"/>
  <c r="AJ1656" i="5"/>
  <c r="AJ1650" i="5"/>
  <c r="AH1651" i="5"/>
  <c r="AH1652" i="5"/>
  <c r="AH1653" i="5"/>
  <c r="AH1654" i="5"/>
  <c r="AH1655" i="5"/>
  <c r="AH1656" i="5"/>
  <c r="AH1650" i="5"/>
  <c r="AE1644" i="5"/>
  <c r="AF1644" i="5" s="1"/>
  <c r="AC1593" i="5"/>
  <c r="AC1587" i="5"/>
  <c r="AC1586" i="5"/>
  <c r="AE1587" i="5"/>
  <c r="AE1588" i="5"/>
  <c r="AE1589" i="5"/>
  <c r="AE1590" i="5"/>
  <c r="AE1591" i="5"/>
  <c r="AE1592" i="5"/>
  <c r="AE1594" i="5"/>
  <c r="AD1586" i="5"/>
  <c r="AE1586" i="5" s="1"/>
  <c r="AD1587" i="5"/>
  <c r="AD1593" i="5"/>
  <c r="AE1593" i="5" s="1"/>
  <c r="AE1585" i="5"/>
  <c r="AG1579" i="5"/>
  <c r="AH1576" i="5"/>
  <c r="AK1580" i="5"/>
  <c r="AK1581" i="5"/>
  <c r="AK1579" i="5"/>
  <c r="AI1579" i="5"/>
  <c r="AI1580" i="5"/>
  <c r="AI1581" i="5"/>
  <c r="AN1576" i="5"/>
  <c r="AM1576" i="5"/>
  <c r="AG1580" i="5"/>
  <c r="AG1581" i="5"/>
  <c r="AQ1507" i="5"/>
  <c r="AQ1508" i="5"/>
  <c r="AQ1509" i="5"/>
  <c r="AQ1506" i="5"/>
  <c r="AO1507" i="5"/>
  <c r="AO1508" i="5"/>
  <c r="AO1509" i="5"/>
  <c r="AO1506" i="5"/>
  <c r="AM1507" i="5"/>
  <c r="AM1508" i="5"/>
  <c r="AM1509" i="5"/>
  <c r="AM1506" i="5"/>
  <c r="AK1507" i="5"/>
  <c r="AK1508" i="5"/>
  <c r="AK1509" i="5"/>
  <c r="AK1506" i="5"/>
  <c r="AI1507" i="5"/>
  <c r="AI1508" i="5"/>
  <c r="AI1509" i="5"/>
  <c r="AI1506" i="5"/>
  <c r="AH1501" i="5"/>
  <c r="AG1501" i="5"/>
  <c r="AQ1435" i="5"/>
  <c r="AQ1436" i="5"/>
  <c r="AQ1434" i="5"/>
  <c r="AO1435" i="5"/>
  <c r="AO1436" i="5"/>
  <c r="AO1434" i="5"/>
  <c r="AM1435" i="5"/>
  <c r="AM1436" i="5"/>
  <c r="AM1434" i="5"/>
  <c r="AK1435" i="5"/>
  <c r="AK1436" i="5"/>
  <c r="AK1434" i="5"/>
  <c r="AI1435" i="5"/>
  <c r="AI1436" i="5"/>
  <c r="AI1434" i="5"/>
  <c r="AQ1363" i="5"/>
  <c r="AQ1364" i="5"/>
  <c r="AQ1362" i="5"/>
  <c r="AO1363" i="5"/>
  <c r="AO1364" i="5"/>
  <c r="AO1362" i="5"/>
  <c r="AM1363" i="5"/>
  <c r="AM1364" i="5"/>
  <c r="AM1362" i="5"/>
  <c r="AK1363" i="5"/>
  <c r="AK1364" i="5"/>
  <c r="AK1362" i="5"/>
  <c r="AI1363" i="5"/>
  <c r="AI1364" i="5"/>
  <c r="AI1362" i="5"/>
  <c r="AH1357" i="5"/>
  <c r="AG1357" i="5"/>
  <c r="AQ1292" i="5"/>
  <c r="AQ1293" i="5"/>
  <c r="AQ1291" i="5"/>
  <c r="AO1292" i="5"/>
  <c r="AO1293" i="5"/>
  <c r="AO1291" i="5"/>
  <c r="AM1292" i="5"/>
  <c r="AM1293" i="5"/>
  <c r="AM1291" i="5"/>
  <c r="AK1292" i="5"/>
  <c r="AK1293" i="5"/>
  <c r="AK1291" i="5"/>
  <c r="AI1292" i="5"/>
  <c r="AI1293" i="5"/>
  <c r="AG1281" i="5"/>
  <c r="AH1281" i="5" s="1"/>
  <c r="AQ1222" i="5"/>
  <c r="AQ1221" i="5"/>
  <c r="AO1222" i="5"/>
  <c r="AO1221" i="5"/>
  <c r="AM1222" i="5"/>
  <c r="AM1221" i="5"/>
  <c r="AK1222" i="5"/>
  <c r="AK1221" i="5"/>
  <c r="AI1222" i="5"/>
  <c r="AI1221" i="5"/>
  <c r="AQ1152" i="5"/>
  <c r="AQ1151" i="5"/>
  <c r="AO1152" i="5"/>
  <c r="AO1151" i="5"/>
  <c r="AM1152" i="5"/>
  <c r="AM1151" i="5"/>
  <c r="AK1152" i="5"/>
  <c r="AK1151" i="5"/>
  <c r="AI1152" i="5"/>
  <c r="AI1151" i="5"/>
  <c r="AQ1078" i="5"/>
  <c r="AQ1079" i="5"/>
  <c r="AQ1080" i="5"/>
  <c r="AQ1081" i="5"/>
  <c r="AQ1077" i="5"/>
  <c r="AO1078" i="5"/>
  <c r="AO1079" i="5"/>
  <c r="AO1080" i="5"/>
  <c r="AO1081" i="5"/>
  <c r="AO1077" i="5"/>
  <c r="AM1078" i="5"/>
  <c r="AM1079" i="5"/>
  <c r="AM1080" i="5"/>
  <c r="AM1081" i="5"/>
  <c r="AM1077" i="5"/>
  <c r="AI1078" i="5"/>
  <c r="AI1080" i="5"/>
  <c r="AK1078" i="5"/>
  <c r="AK1079" i="5"/>
  <c r="AK1080" i="5"/>
  <c r="AK1081" i="5"/>
  <c r="AK1077" i="5"/>
  <c r="AI1079" i="5"/>
  <c r="AI1081" i="5"/>
  <c r="AI1077" i="5"/>
  <c r="AE1013" i="5"/>
  <c r="AE1015" i="5"/>
  <c r="AE1017" i="5"/>
  <c r="AE1019" i="5"/>
  <c r="AE1014" i="5"/>
  <c r="AE1016" i="5"/>
  <c r="AE1018" i="5"/>
  <c r="AE1020" i="5"/>
  <c r="AE1012" i="5"/>
  <c r="AQ1008" i="5"/>
  <c r="AQ1007" i="5"/>
  <c r="AO1008" i="5"/>
  <c r="AO1007" i="5"/>
  <c r="AM1008" i="5"/>
  <c r="AM1007" i="5"/>
  <c r="AK1008" i="5"/>
  <c r="AK1007" i="5"/>
  <c r="AI1008" i="5"/>
  <c r="AI1007" i="5"/>
  <c r="AG1001" i="5"/>
  <c r="AF1001" i="5"/>
  <c r="AM933" i="5"/>
  <c r="AK935" i="5"/>
  <c r="AQ933" i="5"/>
  <c r="AQ934" i="5"/>
  <c r="AQ935" i="5"/>
  <c r="AQ936" i="5"/>
  <c r="AQ937" i="5"/>
  <c r="AQ932" i="5"/>
  <c r="AO933" i="5"/>
  <c r="AO934" i="5"/>
  <c r="AO935" i="5"/>
  <c r="AO936" i="5"/>
  <c r="AO937" i="5"/>
  <c r="AO932" i="5"/>
  <c r="AM934" i="5"/>
  <c r="AM935" i="5"/>
  <c r="AM936" i="5"/>
  <c r="AM937" i="5"/>
  <c r="AM932" i="5"/>
  <c r="AK933" i="5"/>
  <c r="AK934" i="5"/>
  <c r="AK936" i="5"/>
  <c r="AK937" i="5"/>
  <c r="AK932" i="5"/>
  <c r="AI933" i="5"/>
  <c r="AI934" i="5"/>
  <c r="AI935" i="5"/>
  <c r="AI936" i="5"/>
  <c r="AI937" i="5"/>
  <c r="AI932" i="5"/>
  <c r="AE927" i="5"/>
  <c r="AF927" i="5" s="1"/>
  <c r="AE867" i="5"/>
  <c r="AE868" i="5"/>
  <c r="AE869" i="5"/>
  <c r="AE870" i="5"/>
  <c r="AE871" i="5"/>
  <c r="AE872" i="5"/>
  <c r="AE873" i="5"/>
  <c r="AE874" i="5"/>
  <c r="AE875" i="5"/>
  <c r="AE866" i="5"/>
  <c r="AQ858" i="5"/>
  <c r="AQ859" i="5"/>
  <c r="AQ860" i="5"/>
  <c r="AQ861" i="5"/>
  <c r="AQ862" i="5"/>
  <c r="AQ857" i="5"/>
  <c r="AO858" i="5"/>
  <c r="AO859" i="5"/>
  <c r="AO860" i="5"/>
  <c r="AO861" i="5"/>
  <c r="AO862" i="5"/>
  <c r="AO857" i="5"/>
  <c r="AM858" i="5"/>
  <c r="AM859" i="5"/>
  <c r="AM860" i="5"/>
  <c r="AM861" i="5"/>
  <c r="AM862" i="5"/>
  <c r="AM857" i="5"/>
  <c r="AK858" i="5"/>
  <c r="AK859" i="5"/>
  <c r="AK860" i="5"/>
  <c r="AK862" i="5"/>
  <c r="AK857" i="5"/>
  <c r="AK861" i="5"/>
  <c r="AI858" i="5"/>
  <c r="AI859" i="5"/>
  <c r="AI860" i="5"/>
  <c r="AI861" i="5"/>
  <c r="AI862" i="5"/>
  <c r="AI857" i="5"/>
  <c r="AQ788" i="5"/>
  <c r="AQ787" i="5"/>
  <c r="AO788" i="5"/>
  <c r="AO787" i="5"/>
  <c r="AM788" i="5"/>
  <c r="AM787" i="5"/>
  <c r="AK788" i="5"/>
  <c r="AK787" i="5"/>
  <c r="AI788" i="5"/>
  <c r="AI787" i="5"/>
  <c r="AH776" i="5"/>
  <c r="AI776" i="5" s="1"/>
  <c r="AQ718" i="5"/>
  <c r="AQ717" i="5"/>
  <c r="AN718" i="5"/>
  <c r="AO718" i="5" s="1"/>
  <c r="AN717" i="5"/>
  <c r="AO717" i="5" s="1"/>
  <c r="AM718" i="5"/>
  <c r="AM717" i="5"/>
  <c r="AK718" i="5"/>
  <c r="AK717" i="5"/>
  <c r="AI718" i="5"/>
  <c r="AI717" i="5"/>
  <c r="AQ648" i="5"/>
  <c r="AQ647" i="5"/>
  <c r="AO648" i="5"/>
  <c r="AO647" i="5"/>
  <c r="AM648" i="5"/>
  <c r="AM647" i="5"/>
  <c r="AK648" i="5"/>
  <c r="AK647" i="5"/>
  <c r="AI648" i="5"/>
  <c r="AI647" i="5"/>
  <c r="AE653" i="5"/>
  <c r="AE654" i="5"/>
  <c r="AE655" i="5"/>
  <c r="AE656" i="5"/>
  <c r="AE657" i="5"/>
  <c r="AE658" i="5"/>
  <c r="AE659" i="5"/>
  <c r="AE660" i="5"/>
  <c r="AE652" i="5"/>
  <c r="AE582" i="5"/>
  <c r="AQ578" i="5"/>
  <c r="AQ577" i="5"/>
  <c r="AO578" i="5"/>
  <c r="AO577" i="5"/>
  <c r="AK578" i="5"/>
  <c r="AM578" i="5"/>
  <c r="AM577" i="5"/>
  <c r="AK577" i="5"/>
  <c r="AI578" i="5"/>
  <c r="AI577" i="5"/>
  <c r="AE513" i="5"/>
  <c r="AE514" i="5"/>
  <c r="AE515" i="5"/>
  <c r="AE516" i="5"/>
  <c r="AE517" i="5"/>
  <c r="AE518" i="5"/>
  <c r="AE519" i="5"/>
  <c r="AE520" i="5"/>
  <c r="AE512" i="5"/>
  <c r="AQ507" i="5"/>
  <c r="AQ508" i="5"/>
  <c r="AQ506" i="5"/>
  <c r="AO507" i="5"/>
  <c r="AO508" i="5"/>
  <c r="AO506" i="5"/>
  <c r="AM507" i="5"/>
  <c r="AM508" i="5"/>
  <c r="AM506" i="5"/>
  <c r="AK507" i="5"/>
  <c r="AK508" i="5"/>
  <c r="AK506" i="5"/>
  <c r="AI507" i="5"/>
  <c r="AI508" i="5"/>
  <c r="AI506" i="5"/>
  <c r="AE442" i="5"/>
  <c r="AE443" i="5"/>
  <c r="AE444" i="5"/>
  <c r="AE445" i="5"/>
  <c r="AE446" i="5"/>
  <c r="AE447" i="5"/>
  <c r="AE448" i="5"/>
  <c r="AE449" i="5"/>
  <c r="AE441" i="5"/>
  <c r="AD433" i="5"/>
  <c r="AE433" i="5"/>
  <c r="AQ436" i="5"/>
  <c r="AQ437" i="5"/>
  <c r="AQ435" i="5"/>
  <c r="AO436" i="5"/>
  <c r="AO437" i="5"/>
  <c r="AO435" i="5"/>
  <c r="AM436" i="5"/>
  <c r="AM437" i="5"/>
  <c r="AM435" i="5"/>
  <c r="AK436" i="5"/>
  <c r="AK437" i="5"/>
  <c r="AK435" i="5"/>
  <c r="AI436" i="5"/>
  <c r="AI437" i="5"/>
  <c r="AI435" i="5"/>
  <c r="AE370" i="5"/>
  <c r="AE371" i="5"/>
  <c r="AE372" i="5"/>
  <c r="AE373" i="5"/>
  <c r="AE374" i="5"/>
  <c r="AE375" i="5"/>
  <c r="AE376" i="5"/>
  <c r="AE377" i="5"/>
  <c r="AE379" i="5"/>
  <c r="AD378" i="5"/>
  <c r="AE378" i="5" s="1"/>
  <c r="AE369" i="5"/>
  <c r="AE365" i="5"/>
  <c r="AE299" i="5"/>
  <c r="AE300" i="5"/>
  <c r="AE301" i="5"/>
  <c r="AE302" i="5"/>
  <c r="AE303" i="5"/>
  <c r="AE304" i="5"/>
  <c r="AE305" i="5"/>
  <c r="AE306" i="5"/>
  <c r="AE307" i="5"/>
  <c r="AD308" i="5"/>
  <c r="AE308" i="5" s="1"/>
  <c r="AE309" i="5"/>
  <c r="AE298" i="5"/>
  <c r="AK291" i="5"/>
  <c r="AK292" i="5"/>
  <c r="AK293" i="5"/>
  <c r="AK294" i="5"/>
  <c r="AK290" i="5"/>
  <c r="AI291" i="5"/>
  <c r="AI292" i="5"/>
  <c r="AI293" i="5"/>
  <c r="AI294" i="5"/>
  <c r="AI290" i="5"/>
  <c r="AG291" i="5"/>
  <c r="AG292" i="5"/>
  <c r="AG293" i="5"/>
  <c r="AG294" i="5"/>
  <c r="AG290" i="5"/>
  <c r="AE174" i="5"/>
  <c r="AE175" i="5"/>
  <c r="AE176" i="5"/>
  <c r="AE177" i="5"/>
  <c r="AE178" i="5"/>
  <c r="AE179" i="5"/>
  <c r="AE180" i="5"/>
  <c r="AE181" i="5"/>
  <c r="AE182" i="5"/>
  <c r="AE183" i="5"/>
  <c r="AE185" i="5"/>
  <c r="AD184" i="5"/>
  <c r="AE184" i="5" s="1"/>
  <c r="AE173" i="5"/>
  <c r="AH94" i="5"/>
  <c r="AH93" i="5"/>
  <c r="AG94" i="5"/>
  <c r="AG93" i="5"/>
  <c r="AK166" i="5"/>
  <c r="AK167" i="5"/>
  <c r="AK168" i="5"/>
  <c r="AK169" i="5"/>
  <c r="AK165" i="5"/>
  <c r="AI166" i="5"/>
  <c r="AI167" i="5"/>
  <c r="AI168" i="5"/>
  <c r="AI169" i="5"/>
  <c r="AI165" i="5"/>
  <c r="AG166" i="5"/>
  <c r="AG167" i="5"/>
  <c r="AG168" i="5"/>
  <c r="AG169" i="5"/>
  <c r="AG165" i="5"/>
  <c r="AC108" i="5"/>
  <c r="AD108" i="5" s="1"/>
  <c r="AE108" i="5" s="1"/>
  <c r="AE99" i="5"/>
  <c r="AE100" i="5"/>
  <c r="AE101" i="5"/>
  <c r="AE102" i="5"/>
  <c r="AE103" i="5"/>
  <c r="AE104" i="5"/>
  <c r="AE105" i="5"/>
  <c r="AE106" i="5"/>
  <c r="AE107" i="5"/>
  <c r="AE109" i="5"/>
  <c r="AE98" i="5"/>
  <c r="AE25" i="5"/>
  <c r="AE26" i="5"/>
  <c r="AD36" i="5"/>
  <c r="AE27" i="5"/>
  <c r="AE28" i="5"/>
  <c r="AE29" i="5"/>
  <c r="AE30" i="5"/>
  <c r="AE31" i="5"/>
  <c r="AE32" i="5"/>
  <c r="AE33" i="5"/>
  <c r="AE34" i="5"/>
  <c r="AE35" i="5"/>
  <c r="AE36" i="5"/>
  <c r="AE37" i="5"/>
  <c r="AE24" i="5"/>
  <c r="AH17" i="5"/>
  <c r="AH19" i="5"/>
  <c r="AH16" i="5"/>
  <c r="AG16" i="5"/>
  <c r="AH20" i="5"/>
  <c r="AH15" i="5"/>
  <c r="AG17" i="5"/>
  <c r="AG18" i="5"/>
  <c r="AG19" i="5"/>
  <c r="AG20" i="5"/>
  <c r="AG15" i="5"/>
  <c r="AH18" i="5"/>
  <c r="D15" i="5"/>
  <c r="AL2138" i="5" l="1"/>
  <c r="AJ2138" i="5"/>
  <c r="AH2138" i="5"/>
  <c r="AF2138" i="5"/>
  <c r="AD2138" i="5"/>
  <c r="AE2123" i="5"/>
  <c r="AE1931" i="5" l="1"/>
  <c r="AD1931" i="5"/>
  <c r="AE645" i="5" l="1"/>
  <c r="E5" i="5" l="1"/>
  <c r="D4" i="7" s="1"/>
  <c r="B1" i="5"/>
  <c r="AG2054" i="5"/>
  <c r="AE2054" i="5"/>
  <c r="AE1995" i="5"/>
  <c r="AF1995" i="5"/>
  <c r="AG1995" i="5"/>
  <c r="AD1995" i="5"/>
  <c r="AE1504" i="5"/>
  <c r="AF1504" i="5"/>
  <c r="AG1504" i="5"/>
  <c r="AD1504" i="5"/>
  <c r="AE1432" i="5"/>
  <c r="AF1432" i="5"/>
  <c r="AG1432" i="5"/>
  <c r="AD1432" i="5"/>
  <c r="AG1360" i="5"/>
  <c r="AE1360" i="5"/>
  <c r="AF1360" i="5"/>
  <c r="AD1360" i="5"/>
  <c r="AE1289" i="5"/>
  <c r="AF1289" i="5"/>
  <c r="AG1289" i="5"/>
  <c r="AD1289" i="5"/>
  <c r="AE1219" i="5"/>
  <c r="AF1219" i="5"/>
  <c r="AG1219" i="5"/>
  <c r="AD1219" i="5"/>
  <c r="AE1149" i="5"/>
  <c r="AF1149" i="5"/>
  <c r="AG1149" i="5"/>
  <c r="AD1149" i="5"/>
  <c r="AE1075" i="5"/>
  <c r="AF1075" i="5"/>
  <c r="AG1075" i="5"/>
  <c r="AD1075" i="5"/>
  <c r="AD1005" i="5"/>
  <c r="AG1005" i="5"/>
  <c r="AE1005" i="5"/>
  <c r="AF1005" i="5"/>
  <c r="AE930" i="5"/>
  <c r="AF930" i="5"/>
  <c r="AG930" i="5"/>
  <c r="AD930" i="5"/>
  <c r="AE855" i="5"/>
  <c r="AF855" i="5"/>
  <c r="AG855" i="5"/>
  <c r="AD855" i="5"/>
  <c r="AF785" i="5"/>
  <c r="AE785" i="5"/>
  <c r="AG785" i="5"/>
  <c r="AD785" i="5"/>
  <c r="AE715" i="5"/>
  <c r="AF715" i="5"/>
  <c r="AG715" i="5"/>
  <c r="AD715" i="5"/>
  <c r="AF645" i="5"/>
  <c r="AG645" i="5"/>
  <c r="AD645" i="5"/>
  <c r="AE575" i="5"/>
  <c r="AF575" i="5"/>
  <c r="AG575" i="5"/>
  <c r="AD575" i="5"/>
  <c r="AD504" i="5"/>
  <c r="AE504" i="5"/>
  <c r="AF504" i="5"/>
  <c r="AG504" i="5"/>
  <c r="AF433" i="5"/>
  <c r="AG433" i="5"/>
  <c r="F1581" i="5"/>
  <c r="G1581" i="5" s="1"/>
  <c r="E279" i="7" s="1"/>
  <c r="L2406" i="5"/>
  <c r="M2406" i="5" s="1"/>
  <c r="H435" i="7" s="1"/>
  <c r="J2406" i="5"/>
  <c r="K2406" i="5" s="1"/>
  <c r="G435" i="7" s="1"/>
  <c r="H2406" i="5"/>
  <c r="I2406" i="5" s="1"/>
  <c r="F435" i="7" s="1"/>
  <c r="F2406" i="5"/>
  <c r="G2406" i="5" s="1"/>
  <c r="E435" i="7" s="1"/>
  <c r="D2406" i="5"/>
  <c r="E2406" i="5" s="1"/>
  <c r="D435" i="7" s="1"/>
  <c r="L2405" i="5"/>
  <c r="M2405" i="5" s="1"/>
  <c r="H434" i="7" s="1"/>
  <c r="J2405" i="5"/>
  <c r="K2405" i="5" s="1"/>
  <c r="G434" i="7" s="1"/>
  <c r="H2405" i="5"/>
  <c r="I2405" i="5" s="1"/>
  <c r="F434" i="7" s="1"/>
  <c r="F2405" i="5"/>
  <c r="G2405" i="5" s="1"/>
  <c r="E434" i="7" s="1"/>
  <c r="D2405" i="5"/>
  <c r="E2405" i="5" s="1"/>
  <c r="D434" i="7" s="1"/>
  <c r="L2404" i="5"/>
  <c r="M2404" i="5" s="1"/>
  <c r="H433" i="7" s="1"/>
  <c r="J2404" i="5"/>
  <c r="K2404" i="5" s="1"/>
  <c r="G433" i="7" s="1"/>
  <c r="H2404" i="5"/>
  <c r="I2404" i="5" s="1"/>
  <c r="F433" i="7" s="1"/>
  <c r="F2404" i="5"/>
  <c r="G2404" i="5" s="1"/>
  <c r="E433" i="7" s="1"/>
  <c r="D2404" i="5"/>
  <c r="E2404" i="5" s="1"/>
  <c r="M415" i="7" s="1"/>
  <c r="L2403" i="5"/>
  <c r="M2403" i="5" s="1"/>
  <c r="H432" i="7" s="1"/>
  <c r="J2403" i="5"/>
  <c r="K2403" i="5" s="1"/>
  <c r="G432" i="7" s="1"/>
  <c r="H2403" i="5"/>
  <c r="I2403" i="5" s="1"/>
  <c r="F432" i="7" s="1"/>
  <c r="F2403" i="5"/>
  <c r="G2403" i="5" s="1"/>
  <c r="E432" i="7" s="1"/>
  <c r="D2403" i="5"/>
  <c r="E2403" i="5" s="1"/>
  <c r="D432" i="7" s="1"/>
  <c r="L2402" i="5"/>
  <c r="M2402" i="5" s="1"/>
  <c r="H431" i="7" s="1"/>
  <c r="J2402" i="5"/>
  <c r="K2402" i="5" s="1"/>
  <c r="G431" i="7" s="1"/>
  <c r="H2402" i="5"/>
  <c r="I2402" i="5" s="1"/>
  <c r="F431" i="7" s="1"/>
  <c r="F2402" i="5"/>
  <c r="G2402" i="5" s="1"/>
  <c r="E431" i="7" s="1"/>
  <c r="D2402" i="5"/>
  <c r="E2402" i="5" s="1"/>
  <c r="D431" i="7" s="1"/>
  <c r="L2401" i="5"/>
  <c r="M2401" i="5" s="1"/>
  <c r="H430" i="7" s="1"/>
  <c r="J2401" i="5"/>
  <c r="K2401" i="5" s="1"/>
  <c r="G430" i="7" s="1"/>
  <c r="H2401" i="5"/>
  <c r="I2401" i="5" s="1"/>
  <c r="F430" i="7" s="1"/>
  <c r="F2401" i="5"/>
  <c r="G2401" i="5" s="1"/>
  <c r="E430" i="7" s="1"/>
  <c r="D2401" i="5"/>
  <c r="E2401" i="5" s="1"/>
  <c r="D430" i="7" s="1"/>
  <c r="L2400" i="5"/>
  <c r="M2400" i="5" s="1"/>
  <c r="H429" i="7" s="1"/>
  <c r="J2400" i="5"/>
  <c r="K2400" i="5" s="1"/>
  <c r="G429" i="7" s="1"/>
  <c r="H2400" i="5"/>
  <c r="I2400" i="5" s="1"/>
  <c r="F429" i="7" s="1"/>
  <c r="F2400" i="5"/>
  <c r="G2400" i="5" s="1"/>
  <c r="E429" i="7" s="1"/>
  <c r="D2400" i="5"/>
  <c r="E2400" i="5" s="1"/>
  <c r="D429" i="7" s="1"/>
  <c r="L2399" i="5"/>
  <c r="M2399" i="5" s="1"/>
  <c r="H428" i="7" s="1"/>
  <c r="J2399" i="5"/>
  <c r="K2399" i="5" s="1"/>
  <c r="G428" i="7" s="1"/>
  <c r="H2399" i="5"/>
  <c r="I2399" i="5" s="1"/>
  <c r="F428" i="7" s="1"/>
  <c r="F2399" i="5"/>
  <c r="G2399" i="5" s="1"/>
  <c r="E428" i="7" s="1"/>
  <c r="D2399" i="5"/>
  <c r="E2399" i="5" s="1"/>
  <c r="D428" i="7" s="1"/>
  <c r="L2398" i="5"/>
  <c r="M2398" i="5" s="1"/>
  <c r="H427" i="7" s="1"/>
  <c r="J2398" i="5"/>
  <c r="K2398" i="5" s="1"/>
  <c r="G427" i="7" s="1"/>
  <c r="H2398" i="5"/>
  <c r="I2398" i="5" s="1"/>
  <c r="F427" i="7" s="1"/>
  <c r="F2398" i="5"/>
  <c r="G2398" i="5" s="1"/>
  <c r="E427" i="7" s="1"/>
  <c r="D2398" i="5"/>
  <c r="E2398" i="5" s="1"/>
  <c r="D427" i="7" s="1"/>
  <c r="L2397" i="5"/>
  <c r="M2397" i="5" s="1"/>
  <c r="H426" i="7" s="1"/>
  <c r="J2397" i="5"/>
  <c r="K2397" i="5" s="1"/>
  <c r="G426" i="7" s="1"/>
  <c r="H2397" i="5"/>
  <c r="I2397" i="5" s="1"/>
  <c r="F426" i="7" s="1"/>
  <c r="F2397" i="5"/>
  <c r="G2397" i="5" s="1"/>
  <c r="E426" i="7" s="1"/>
  <c r="D2397" i="5"/>
  <c r="E2397" i="5" s="1"/>
  <c r="D426" i="7" s="1"/>
  <c r="L2395" i="5"/>
  <c r="M2395" i="5" s="1"/>
  <c r="H424" i="7" s="1"/>
  <c r="J2395" i="5"/>
  <c r="K2395" i="5" s="1"/>
  <c r="G424" i="7" s="1"/>
  <c r="H2395" i="5"/>
  <c r="I2395" i="5" s="1"/>
  <c r="F424" i="7" s="1"/>
  <c r="F2395" i="5"/>
  <c r="G2395" i="5" s="1"/>
  <c r="E424" i="7" s="1"/>
  <c r="D2395" i="5"/>
  <c r="E2395" i="5" s="1"/>
  <c r="D424" i="7" s="1"/>
  <c r="L2337" i="5"/>
  <c r="M2337" i="5" s="1"/>
  <c r="H418" i="7" s="1"/>
  <c r="J2337" i="5"/>
  <c r="K2337" i="5" s="1"/>
  <c r="G418" i="7" s="1"/>
  <c r="H2337" i="5"/>
  <c r="I2337" i="5" s="1"/>
  <c r="F418" i="7" s="1"/>
  <c r="F2337" i="5"/>
  <c r="G2337" i="5" s="1"/>
  <c r="E418" i="7" s="1"/>
  <c r="D2337" i="5"/>
  <c r="E2337" i="5" s="1"/>
  <c r="D418" i="7" s="1"/>
  <c r="L2336" i="5"/>
  <c r="M2336" i="5" s="1"/>
  <c r="H417" i="7" s="1"/>
  <c r="J2336" i="5"/>
  <c r="K2336" i="5" s="1"/>
  <c r="G417" i="7" s="1"/>
  <c r="H2336" i="5"/>
  <c r="I2336" i="5" s="1"/>
  <c r="F417" i="7" s="1"/>
  <c r="F2336" i="5"/>
  <c r="G2336" i="5" s="1"/>
  <c r="E417" i="7" s="1"/>
  <c r="D2336" i="5"/>
  <c r="E2336" i="5" s="1"/>
  <c r="D417" i="7" s="1"/>
  <c r="L437" i="5"/>
  <c r="M437" i="5" s="1"/>
  <c r="H85" i="7" s="1"/>
  <c r="J437" i="5"/>
  <c r="K437" i="5" s="1"/>
  <c r="G85" i="7" s="1"/>
  <c r="H437" i="5"/>
  <c r="I437" i="5" s="1"/>
  <c r="F85" i="7" s="1"/>
  <c r="F437" i="5"/>
  <c r="G437" i="5" s="1"/>
  <c r="E85" i="7" s="1"/>
  <c r="D437" i="5"/>
  <c r="E437" i="5" s="1"/>
  <c r="D85" i="7" s="1"/>
  <c r="L436" i="5"/>
  <c r="M436" i="5" s="1"/>
  <c r="H84" i="7" s="1"/>
  <c r="J436" i="5"/>
  <c r="K436" i="5" s="1"/>
  <c r="G84" i="7" s="1"/>
  <c r="H436" i="5"/>
  <c r="I436" i="5" s="1"/>
  <c r="F84" i="7" s="1"/>
  <c r="F436" i="5"/>
  <c r="D436" i="5"/>
  <c r="E436" i="5" s="1"/>
  <c r="D84" i="7" s="1"/>
  <c r="L435" i="5"/>
  <c r="M435" i="5" s="1"/>
  <c r="H83" i="7" s="1"/>
  <c r="J435" i="5"/>
  <c r="K435" i="5" s="1"/>
  <c r="G83" i="7" s="1"/>
  <c r="H435" i="5"/>
  <c r="I435" i="5" s="1"/>
  <c r="F83" i="7" s="1"/>
  <c r="F435" i="5"/>
  <c r="G435" i="5" s="1"/>
  <c r="E83" i="7" s="1"/>
  <c r="D435" i="5"/>
  <c r="E435" i="5" s="1"/>
  <c r="D83" i="7" s="1"/>
  <c r="L508" i="5"/>
  <c r="M508" i="5" s="1"/>
  <c r="H97" i="7" s="1"/>
  <c r="J508" i="5"/>
  <c r="K508" i="5" s="1"/>
  <c r="G97" i="7" s="1"/>
  <c r="H508" i="5"/>
  <c r="I508" i="5" s="1"/>
  <c r="F97" i="7" s="1"/>
  <c r="F508" i="5"/>
  <c r="G508" i="5" s="1"/>
  <c r="E97" i="7" s="1"/>
  <c r="D508" i="5"/>
  <c r="E508" i="5" s="1"/>
  <c r="D97" i="7" s="1"/>
  <c r="L507" i="5"/>
  <c r="M507" i="5" s="1"/>
  <c r="H96" i="7" s="1"/>
  <c r="J507" i="5"/>
  <c r="K507" i="5" s="1"/>
  <c r="G96" i="7" s="1"/>
  <c r="H507" i="5"/>
  <c r="I507" i="5" s="1"/>
  <c r="F96" i="7" s="1"/>
  <c r="F507" i="5"/>
  <c r="G507" i="5" s="1"/>
  <c r="E96" i="7" s="1"/>
  <c r="D507" i="5"/>
  <c r="E507" i="5" s="1"/>
  <c r="D96" i="7" s="1"/>
  <c r="L506" i="5"/>
  <c r="M506" i="5" s="1"/>
  <c r="H95" i="7" s="1"/>
  <c r="J506" i="5"/>
  <c r="K506" i="5" s="1"/>
  <c r="G95" i="7" s="1"/>
  <c r="H506" i="5"/>
  <c r="I506" i="5" s="1"/>
  <c r="F95" i="7" s="1"/>
  <c r="F506" i="5"/>
  <c r="G506" i="5" s="1"/>
  <c r="E95" i="7" s="1"/>
  <c r="D506" i="5"/>
  <c r="E506" i="5" s="1"/>
  <c r="D95" i="7" s="1"/>
  <c r="L578" i="5"/>
  <c r="M578" i="5" s="1"/>
  <c r="H108" i="7" s="1"/>
  <c r="J578" i="5"/>
  <c r="K578" i="5" s="1"/>
  <c r="G108" i="7" s="1"/>
  <c r="H578" i="5"/>
  <c r="I578" i="5" s="1"/>
  <c r="F108" i="7" s="1"/>
  <c r="F578" i="5"/>
  <c r="G578" i="5" s="1"/>
  <c r="E108" i="7" s="1"/>
  <c r="D578" i="5"/>
  <c r="E578" i="5" s="1"/>
  <c r="D108" i="7" s="1"/>
  <c r="L577" i="5"/>
  <c r="M577" i="5" s="1"/>
  <c r="H107" i="7" s="1"/>
  <c r="J577" i="5"/>
  <c r="K577" i="5" s="1"/>
  <c r="G107" i="7" s="1"/>
  <c r="H577" i="5"/>
  <c r="I577" i="5" s="1"/>
  <c r="F107" i="7" s="1"/>
  <c r="F577" i="5"/>
  <c r="G577" i="5" s="1"/>
  <c r="E107" i="7" s="1"/>
  <c r="D577" i="5"/>
  <c r="E577" i="5" s="1"/>
  <c r="D107" i="7" s="1"/>
  <c r="L648" i="5"/>
  <c r="M648" i="5" s="1"/>
  <c r="H120" i="7" s="1"/>
  <c r="J648" i="5"/>
  <c r="K648" i="5" s="1"/>
  <c r="G120" i="7" s="1"/>
  <c r="H648" i="5"/>
  <c r="I648" i="5" s="1"/>
  <c r="F120" i="7" s="1"/>
  <c r="F648" i="5"/>
  <c r="G648" i="5" s="1"/>
  <c r="E120" i="7" s="1"/>
  <c r="D648" i="5"/>
  <c r="E648" i="5" s="1"/>
  <c r="D120" i="7" s="1"/>
  <c r="L647" i="5"/>
  <c r="M647" i="5" s="1"/>
  <c r="H119" i="7" s="1"/>
  <c r="J647" i="5"/>
  <c r="K647" i="5" s="1"/>
  <c r="G119" i="7" s="1"/>
  <c r="H647" i="5"/>
  <c r="I647" i="5" s="1"/>
  <c r="F119" i="7" s="1"/>
  <c r="F647" i="5"/>
  <c r="G647" i="5" s="1"/>
  <c r="E119" i="7" s="1"/>
  <c r="D647" i="5"/>
  <c r="E647" i="5" s="1"/>
  <c r="D119" i="7" s="1"/>
  <c r="L718" i="5"/>
  <c r="M718" i="5" s="1"/>
  <c r="H132" i="7" s="1"/>
  <c r="J718" i="5"/>
  <c r="K718" i="5" s="1"/>
  <c r="G132" i="7" s="1"/>
  <c r="H718" i="5"/>
  <c r="I718" i="5" s="1"/>
  <c r="F132" i="7" s="1"/>
  <c r="F718" i="5"/>
  <c r="G718" i="5" s="1"/>
  <c r="E132" i="7" s="1"/>
  <c r="D718" i="5"/>
  <c r="E718" i="5" s="1"/>
  <c r="D132" i="7" s="1"/>
  <c r="L717" i="5"/>
  <c r="M717" i="5" s="1"/>
  <c r="H131" i="7" s="1"/>
  <c r="J717" i="5"/>
  <c r="K717" i="5" s="1"/>
  <c r="G131" i="7" s="1"/>
  <c r="H717" i="5"/>
  <c r="I717" i="5" s="1"/>
  <c r="F131" i="7" s="1"/>
  <c r="F717" i="5"/>
  <c r="G717" i="5" s="1"/>
  <c r="E131" i="7" s="1"/>
  <c r="D717" i="5"/>
  <c r="E717" i="5" s="1"/>
  <c r="D131" i="7" s="1"/>
  <c r="L788" i="5"/>
  <c r="M788" i="5" s="1"/>
  <c r="H144" i="7" s="1"/>
  <c r="J788" i="5"/>
  <c r="K788" i="5" s="1"/>
  <c r="G144" i="7" s="1"/>
  <c r="H788" i="5"/>
  <c r="I788" i="5" s="1"/>
  <c r="F144" i="7" s="1"/>
  <c r="F788" i="5"/>
  <c r="G788" i="5" s="1"/>
  <c r="E144" i="7" s="1"/>
  <c r="D788" i="5"/>
  <c r="E788" i="5" s="1"/>
  <c r="D144" i="7" s="1"/>
  <c r="L787" i="5"/>
  <c r="M787" i="5" s="1"/>
  <c r="H143" i="7" s="1"/>
  <c r="J787" i="5"/>
  <c r="K787" i="5" s="1"/>
  <c r="G143" i="7" s="1"/>
  <c r="H787" i="5"/>
  <c r="I787" i="5" s="1"/>
  <c r="F143" i="7" s="1"/>
  <c r="F787" i="5"/>
  <c r="G787" i="5" s="1"/>
  <c r="E143" i="7" s="1"/>
  <c r="D787" i="5"/>
  <c r="E787" i="5" s="1"/>
  <c r="D143" i="7" s="1"/>
  <c r="L862" i="5"/>
  <c r="M862" i="5" s="1"/>
  <c r="H160" i="7" s="1"/>
  <c r="J862" i="5"/>
  <c r="K862" i="5" s="1"/>
  <c r="G160" i="7" s="1"/>
  <c r="H862" i="5"/>
  <c r="I862" i="5" s="1"/>
  <c r="F160" i="7" s="1"/>
  <c r="F862" i="5"/>
  <c r="G862" i="5" s="1"/>
  <c r="E160" i="7" s="1"/>
  <c r="D862" i="5"/>
  <c r="E862" i="5" s="1"/>
  <c r="D160" i="7" s="1"/>
  <c r="L861" i="5"/>
  <c r="M861" i="5" s="1"/>
  <c r="H159" i="7" s="1"/>
  <c r="J861" i="5"/>
  <c r="K861" i="5" s="1"/>
  <c r="G159" i="7" s="1"/>
  <c r="H861" i="5"/>
  <c r="I861" i="5" s="1"/>
  <c r="F159" i="7" s="1"/>
  <c r="F861" i="5"/>
  <c r="G861" i="5" s="1"/>
  <c r="E159" i="7" s="1"/>
  <c r="D861" i="5"/>
  <c r="E861" i="5" s="1"/>
  <c r="D159" i="7" s="1"/>
  <c r="L860" i="5"/>
  <c r="M860" i="5" s="1"/>
  <c r="H158" i="7" s="1"/>
  <c r="J860" i="5"/>
  <c r="K860" i="5" s="1"/>
  <c r="G158" i="7" s="1"/>
  <c r="H860" i="5"/>
  <c r="I860" i="5" s="1"/>
  <c r="F158" i="7" s="1"/>
  <c r="F860" i="5"/>
  <c r="G860" i="5" s="1"/>
  <c r="E158" i="7" s="1"/>
  <c r="D860" i="5"/>
  <c r="E860" i="5" s="1"/>
  <c r="D158" i="7" s="1"/>
  <c r="L859" i="5"/>
  <c r="M859" i="5" s="1"/>
  <c r="H157" i="7" s="1"/>
  <c r="J859" i="5"/>
  <c r="K859" i="5" s="1"/>
  <c r="G157" i="7" s="1"/>
  <c r="H859" i="5"/>
  <c r="I859" i="5" s="1"/>
  <c r="F157" i="7" s="1"/>
  <c r="F859" i="5"/>
  <c r="G859" i="5" s="1"/>
  <c r="E157" i="7" s="1"/>
  <c r="D859" i="5"/>
  <c r="E859" i="5" s="1"/>
  <c r="D157" i="7" s="1"/>
  <c r="L858" i="5"/>
  <c r="M858" i="5" s="1"/>
  <c r="H156" i="7" s="1"/>
  <c r="J858" i="5"/>
  <c r="K858" i="5" s="1"/>
  <c r="G156" i="7" s="1"/>
  <c r="H858" i="5"/>
  <c r="I858" i="5" s="1"/>
  <c r="F156" i="7" s="1"/>
  <c r="F858" i="5"/>
  <c r="G858" i="5" s="1"/>
  <c r="E156" i="7" s="1"/>
  <c r="D858" i="5"/>
  <c r="E858" i="5" s="1"/>
  <c r="D156" i="7" s="1"/>
  <c r="L857" i="5"/>
  <c r="M857" i="5" s="1"/>
  <c r="H155" i="7" s="1"/>
  <c r="J857" i="5"/>
  <c r="K857" i="5" s="1"/>
  <c r="G155" i="7" s="1"/>
  <c r="H857" i="5"/>
  <c r="I857" i="5" s="1"/>
  <c r="F155" i="7" s="1"/>
  <c r="F857" i="5"/>
  <c r="G857" i="5" s="1"/>
  <c r="E155" i="7" s="1"/>
  <c r="D857" i="5"/>
  <c r="E857" i="5" s="1"/>
  <c r="D155" i="7" s="1"/>
  <c r="L937" i="5"/>
  <c r="M937" i="5" s="1"/>
  <c r="H173" i="7" s="1"/>
  <c r="J937" i="5"/>
  <c r="K937" i="5" s="1"/>
  <c r="G173" i="7" s="1"/>
  <c r="H937" i="5"/>
  <c r="I937" i="5" s="1"/>
  <c r="F173" i="7" s="1"/>
  <c r="F937" i="5"/>
  <c r="G937" i="5" s="1"/>
  <c r="E173" i="7" s="1"/>
  <c r="D937" i="5"/>
  <c r="E937" i="5" s="1"/>
  <c r="D173" i="7" s="1"/>
  <c r="L936" i="5"/>
  <c r="M936" i="5" s="1"/>
  <c r="H172" i="7" s="1"/>
  <c r="J936" i="5"/>
  <c r="K936" i="5" s="1"/>
  <c r="G172" i="7" s="1"/>
  <c r="H936" i="5"/>
  <c r="I936" i="5" s="1"/>
  <c r="F172" i="7" s="1"/>
  <c r="F936" i="5"/>
  <c r="G936" i="5" s="1"/>
  <c r="E172" i="7" s="1"/>
  <c r="D936" i="5"/>
  <c r="E936" i="5" s="1"/>
  <c r="D172" i="7" s="1"/>
  <c r="L935" i="5"/>
  <c r="M935" i="5" s="1"/>
  <c r="H171" i="7" s="1"/>
  <c r="J935" i="5"/>
  <c r="K935" i="5" s="1"/>
  <c r="G171" i="7" s="1"/>
  <c r="H935" i="5"/>
  <c r="I935" i="5" s="1"/>
  <c r="F171" i="7" s="1"/>
  <c r="F935" i="5"/>
  <c r="G935" i="5" s="1"/>
  <c r="E171" i="7" s="1"/>
  <c r="D935" i="5"/>
  <c r="E935" i="5" s="1"/>
  <c r="D171" i="7" s="1"/>
  <c r="L934" i="5"/>
  <c r="M934" i="5" s="1"/>
  <c r="H170" i="7" s="1"/>
  <c r="J934" i="5"/>
  <c r="K934" i="5" s="1"/>
  <c r="G170" i="7" s="1"/>
  <c r="H934" i="5"/>
  <c r="I934" i="5" s="1"/>
  <c r="F170" i="7" s="1"/>
  <c r="F934" i="5"/>
  <c r="G934" i="5" s="1"/>
  <c r="E170" i="7" s="1"/>
  <c r="D934" i="5"/>
  <c r="E934" i="5" s="1"/>
  <c r="D170" i="7" s="1"/>
  <c r="L933" i="5"/>
  <c r="M933" i="5" s="1"/>
  <c r="H169" i="7" s="1"/>
  <c r="J933" i="5"/>
  <c r="K933" i="5" s="1"/>
  <c r="G169" i="7" s="1"/>
  <c r="H933" i="5"/>
  <c r="I933" i="5" s="1"/>
  <c r="F169" i="7" s="1"/>
  <c r="F933" i="5"/>
  <c r="G933" i="5" s="1"/>
  <c r="E169" i="7" s="1"/>
  <c r="D933" i="5"/>
  <c r="E933" i="5" s="1"/>
  <c r="D169" i="7" s="1"/>
  <c r="L932" i="5"/>
  <c r="M932" i="5" s="1"/>
  <c r="H168" i="7" s="1"/>
  <c r="J932" i="5"/>
  <c r="K932" i="5" s="1"/>
  <c r="G168" i="7" s="1"/>
  <c r="H932" i="5"/>
  <c r="I932" i="5" s="1"/>
  <c r="F168" i="7" s="1"/>
  <c r="F932" i="5"/>
  <c r="G932" i="5" s="1"/>
  <c r="E168" i="7" s="1"/>
  <c r="D932" i="5"/>
  <c r="E932" i="5" s="1"/>
  <c r="D168" i="7" s="1"/>
  <c r="L1008" i="5"/>
  <c r="M1008" i="5" s="1"/>
  <c r="H180" i="7" s="1"/>
  <c r="J1008" i="5"/>
  <c r="K1008" i="5" s="1"/>
  <c r="G180" i="7" s="1"/>
  <c r="H1008" i="5"/>
  <c r="I1008" i="5" s="1"/>
  <c r="F180" i="7" s="1"/>
  <c r="F1008" i="5"/>
  <c r="G1008" i="5" s="1"/>
  <c r="E180" i="7" s="1"/>
  <c r="D1008" i="5"/>
  <c r="E1008" i="5" s="1"/>
  <c r="D180" i="7" s="1"/>
  <c r="L1007" i="5"/>
  <c r="M1007" i="5" s="1"/>
  <c r="H179" i="7" s="1"/>
  <c r="J1007" i="5"/>
  <c r="K1007" i="5" s="1"/>
  <c r="G179" i="7" s="1"/>
  <c r="H1007" i="5"/>
  <c r="I1007" i="5" s="1"/>
  <c r="F179" i="7" s="1"/>
  <c r="F1007" i="5"/>
  <c r="G1007" i="5" s="1"/>
  <c r="E179" i="7" s="1"/>
  <c r="D1007" i="5"/>
  <c r="E1007" i="5" s="1"/>
  <c r="D179" i="7" s="1"/>
  <c r="L1081" i="5"/>
  <c r="M1081" i="5" s="1"/>
  <c r="H195" i="7" s="1"/>
  <c r="J1081" i="5"/>
  <c r="K1081" i="5" s="1"/>
  <c r="G195" i="7" s="1"/>
  <c r="H1081" i="5"/>
  <c r="I1081" i="5" s="1"/>
  <c r="F195" i="7" s="1"/>
  <c r="F1081" i="5"/>
  <c r="G1081" i="5" s="1"/>
  <c r="E195" i="7" s="1"/>
  <c r="D1081" i="5"/>
  <c r="E1081" i="5" s="1"/>
  <c r="D195" i="7" s="1"/>
  <c r="L1080" i="5"/>
  <c r="M1080" i="5" s="1"/>
  <c r="H194" i="7" s="1"/>
  <c r="J1080" i="5"/>
  <c r="K1080" i="5" s="1"/>
  <c r="G194" i="7" s="1"/>
  <c r="H1080" i="5"/>
  <c r="I1080" i="5" s="1"/>
  <c r="F194" i="7" s="1"/>
  <c r="F1080" i="5"/>
  <c r="G1080" i="5" s="1"/>
  <c r="E194" i="7" s="1"/>
  <c r="D1080" i="5"/>
  <c r="E1080" i="5" s="1"/>
  <c r="D194" i="7" s="1"/>
  <c r="L1079" i="5"/>
  <c r="M1079" i="5" s="1"/>
  <c r="H193" i="7" s="1"/>
  <c r="J1079" i="5"/>
  <c r="K1079" i="5" s="1"/>
  <c r="G193" i="7" s="1"/>
  <c r="H1079" i="5"/>
  <c r="I1079" i="5" s="1"/>
  <c r="F193" i="7" s="1"/>
  <c r="F1079" i="5"/>
  <c r="G1079" i="5" s="1"/>
  <c r="E193" i="7" s="1"/>
  <c r="D1079" i="5"/>
  <c r="E1079" i="5" s="1"/>
  <c r="D193" i="7" s="1"/>
  <c r="L1078" i="5"/>
  <c r="M1078" i="5" s="1"/>
  <c r="H192" i="7" s="1"/>
  <c r="J1078" i="5"/>
  <c r="K1078" i="5" s="1"/>
  <c r="G192" i="7" s="1"/>
  <c r="H1078" i="5"/>
  <c r="I1078" i="5" s="1"/>
  <c r="F192" i="7" s="1"/>
  <c r="F1078" i="5"/>
  <c r="G1078" i="5" s="1"/>
  <c r="E192" i="7" s="1"/>
  <c r="D1078" i="5"/>
  <c r="E1078" i="5" s="1"/>
  <c r="D192" i="7" s="1"/>
  <c r="L1077" i="5"/>
  <c r="M1077" i="5" s="1"/>
  <c r="H191" i="7" s="1"/>
  <c r="J1077" i="5"/>
  <c r="K1077" i="5" s="1"/>
  <c r="G191" i="7" s="1"/>
  <c r="H1077" i="5"/>
  <c r="I1077" i="5" s="1"/>
  <c r="F191" i="7" s="1"/>
  <c r="F1077" i="5"/>
  <c r="G1077" i="5" s="1"/>
  <c r="E191" i="7" s="1"/>
  <c r="D1077" i="5"/>
  <c r="E1077" i="5" s="1"/>
  <c r="D191" i="7" s="1"/>
  <c r="L1152" i="5"/>
  <c r="M1152" i="5" s="1"/>
  <c r="H204" i="7" s="1"/>
  <c r="J1152" i="5"/>
  <c r="K1152" i="5" s="1"/>
  <c r="G204" i="7" s="1"/>
  <c r="H1152" i="5"/>
  <c r="I1152" i="5" s="1"/>
  <c r="F204" i="7" s="1"/>
  <c r="F1152" i="5"/>
  <c r="G1152" i="5" s="1"/>
  <c r="E204" i="7" s="1"/>
  <c r="D1152" i="5"/>
  <c r="E1152" i="5" s="1"/>
  <c r="D204" i="7" s="1"/>
  <c r="L1151" i="5"/>
  <c r="M1151" i="5" s="1"/>
  <c r="H203" i="7" s="1"/>
  <c r="J1151" i="5"/>
  <c r="K1151" i="5" s="1"/>
  <c r="G203" i="7" s="1"/>
  <c r="H1151" i="5"/>
  <c r="I1151" i="5" s="1"/>
  <c r="F203" i="7" s="1"/>
  <c r="F1151" i="5"/>
  <c r="G1151" i="5" s="1"/>
  <c r="E203" i="7" s="1"/>
  <c r="D1151" i="5"/>
  <c r="E1151" i="5" s="1"/>
  <c r="D203" i="7" s="1"/>
  <c r="L1222" i="5"/>
  <c r="M1222" i="5" s="1"/>
  <c r="H216" i="7" s="1"/>
  <c r="J1222" i="5"/>
  <c r="K1222" i="5" s="1"/>
  <c r="G216" i="7" s="1"/>
  <c r="H1222" i="5"/>
  <c r="I1222" i="5" s="1"/>
  <c r="F216" i="7" s="1"/>
  <c r="F1222" i="5"/>
  <c r="G1222" i="5" s="1"/>
  <c r="E216" i="7" s="1"/>
  <c r="D1222" i="5"/>
  <c r="E1222" i="5" s="1"/>
  <c r="D216" i="7" s="1"/>
  <c r="L1221" i="5"/>
  <c r="M1221" i="5" s="1"/>
  <c r="H215" i="7" s="1"/>
  <c r="J1221" i="5"/>
  <c r="K1221" i="5" s="1"/>
  <c r="G215" i="7" s="1"/>
  <c r="H1221" i="5"/>
  <c r="I1221" i="5" s="1"/>
  <c r="F215" i="7" s="1"/>
  <c r="F1221" i="5"/>
  <c r="G1221" i="5" s="1"/>
  <c r="E215" i="7" s="1"/>
  <c r="D1221" i="5"/>
  <c r="E1221" i="5" s="1"/>
  <c r="D215" i="7" s="1"/>
  <c r="L1293" i="5"/>
  <c r="M1293" i="5" s="1"/>
  <c r="H229" i="7" s="1"/>
  <c r="J1293" i="5"/>
  <c r="K1293" i="5" s="1"/>
  <c r="G229" i="7" s="1"/>
  <c r="H1293" i="5"/>
  <c r="I1293" i="5" s="1"/>
  <c r="F229" i="7" s="1"/>
  <c r="F1293" i="5"/>
  <c r="G1293" i="5" s="1"/>
  <c r="E229" i="7" s="1"/>
  <c r="D1293" i="5"/>
  <c r="E1293" i="5" s="1"/>
  <c r="D229" i="7" s="1"/>
  <c r="L1292" i="5"/>
  <c r="M1292" i="5" s="1"/>
  <c r="H228" i="7" s="1"/>
  <c r="J1292" i="5"/>
  <c r="K1292" i="5" s="1"/>
  <c r="G228" i="7" s="1"/>
  <c r="H1292" i="5"/>
  <c r="I1292" i="5" s="1"/>
  <c r="F228" i="7" s="1"/>
  <c r="F1292" i="5"/>
  <c r="G1292" i="5" s="1"/>
  <c r="E228" i="7" s="1"/>
  <c r="D1292" i="5"/>
  <c r="E1292" i="5" s="1"/>
  <c r="D228" i="7" s="1"/>
  <c r="L1291" i="5"/>
  <c r="M1291" i="5" s="1"/>
  <c r="H227" i="7" s="1"/>
  <c r="J1291" i="5"/>
  <c r="K1291" i="5" s="1"/>
  <c r="G227" i="7" s="1"/>
  <c r="H1291" i="5"/>
  <c r="I1291" i="5" s="1"/>
  <c r="F227" i="7" s="1"/>
  <c r="F1291" i="5"/>
  <c r="G1291" i="5" s="1"/>
  <c r="E227" i="7" s="1"/>
  <c r="D1291" i="5"/>
  <c r="E1291" i="5" s="1"/>
  <c r="D227" i="7" s="1"/>
  <c r="L1364" i="5"/>
  <c r="M1364" i="5" s="1"/>
  <c r="H241" i="7" s="1"/>
  <c r="J1364" i="5"/>
  <c r="K1364" i="5" s="1"/>
  <c r="G241" i="7" s="1"/>
  <c r="H1364" i="5"/>
  <c r="I1364" i="5" s="1"/>
  <c r="F241" i="7" s="1"/>
  <c r="F1364" i="5"/>
  <c r="G1364" i="5" s="1"/>
  <c r="E241" i="7" s="1"/>
  <c r="D1364" i="5"/>
  <c r="E1364" i="5" s="1"/>
  <c r="D241" i="7" s="1"/>
  <c r="L1363" i="5"/>
  <c r="M1363" i="5" s="1"/>
  <c r="H240" i="7" s="1"/>
  <c r="J1363" i="5"/>
  <c r="K1363" i="5" s="1"/>
  <c r="G240" i="7" s="1"/>
  <c r="H1363" i="5"/>
  <c r="I1363" i="5" s="1"/>
  <c r="F240" i="7" s="1"/>
  <c r="F1363" i="5"/>
  <c r="G1363" i="5" s="1"/>
  <c r="E240" i="7" s="1"/>
  <c r="D1363" i="5"/>
  <c r="E1363" i="5" s="1"/>
  <c r="D240" i="7" s="1"/>
  <c r="L1362" i="5"/>
  <c r="M1362" i="5" s="1"/>
  <c r="H239" i="7" s="1"/>
  <c r="J1362" i="5"/>
  <c r="K1362" i="5" s="1"/>
  <c r="G239" i="7" s="1"/>
  <c r="H1362" i="5"/>
  <c r="I1362" i="5" s="1"/>
  <c r="F239" i="7" s="1"/>
  <c r="F1362" i="5"/>
  <c r="G1362" i="5" s="1"/>
  <c r="E239" i="7" s="1"/>
  <c r="D1362" i="5"/>
  <c r="E1362" i="5" s="1"/>
  <c r="D239" i="7" s="1"/>
  <c r="L1436" i="5"/>
  <c r="M1436" i="5" s="1"/>
  <c r="H254" i="7" s="1"/>
  <c r="J1436" i="5"/>
  <c r="K1436" i="5" s="1"/>
  <c r="G254" i="7" s="1"/>
  <c r="H1436" i="5"/>
  <c r="I1436" i="5" s="1"/>
  <c r="F254" i="7" s="1"/>
  <c r="F1436" i="5"/>
  <c r="G1436" i="5" s="1"/>
  <c r="E254" i="7" s="1"/>
  <c r="D1436" i="5"/>
  <c r="E1436" i="5" s="1"/>
  <c r="D254" i="7" s="1"/>
  <c r="L1435" i="5"/>
  <c r="M1435" i="5" s="1"/>
  <c r="H253" i="7" s="1"/>
  <c r="J1435" i="5"/>
  <c r="K1435" i="5" s="1"/>
  <c r="G253" i="7" s="1"/>
  <c r="H1435" i="5"/>
  <c r="I1435" i="5" s="1"/>
  <c r="F253" i="7" s="1"/>
  <c r="F1435" i="5"/>
  <c r="G1435" i="5" s="1"/>
  <c r="E253" i="7" s="1"/>
  <c r="D1435" i="5"/>
  <c r="E1435" i="5" s="1"/>
  <c r="D253" i="7" s="1"/>
  <c r="L1434" i="5"/>
  <c r="M1434" i="5" s="1"/>
  <c r="H252" i="7" s="1"/>
  <c r="J1434" i="5"/>
  <c r="K1434" i="5" s="1"/>
  <c r="G252" i="7" s="1"/>
  <c r="H1434" i="5"/>
  <c r="I1434" i="5" s="1"/>
  <c r="F252" i="7" s="1"/>
  <c r="F1434" i="5"/>
  <c r="G1434" i="5" s="1"/>
  <c r="E252" i="7" s="1"/>
  <c r="D1434" i="5"/>
  <c r="E1434" i="5" s="1"/>
  <c r="D252" i="7" s="1"/>
  <c r="L1509" i="5"/>
  <c r="M1509" i="5" s="1"/>
  <c r="H267" i="7" s="1"/>
  <c r="J1509" i="5"/>
  <c r="K1509" i="5" s="1"/>
  <c r="G267" i="7" s="1"/>
  <c r="H1509" i="5"/>
  <c r="I1509" i="5" s="1"/>
  <c r="F267" i="7" s="1"/>
  <c r="F1509" i="5"/>
  <c r="G1509" i="5" s="1"/>
  <c r="E267" i="7" s="1"/>
  <c r="D1509" i="5"/>
  <c r="E1509" i="5" s="1"/>
  <c r="D267" i="7" s="1"/>
  <c r="L1508" i="5"/>
  <c r="M1508" i="5" s="1"/>
  <c r="H266" i="7" s="1"/>
  <c r="J1508" i="5"/>
  <c r="K1508" i="5" s="1"/>
  <c r="G266" i="7" s="1"/>
  <c r="H1508" i="5"/>
  <c r="I1508" i="5" s="1"/>
  <c r="F266" i="7" s="1"/>
  <c r="F1508" i="5"/>
  <c r="E266" i="7" s="1"/>
  <c r="D1508" i="5"/>
  <c r="E1508" i="5" s="1"/>
  <c r="D266" i="7" s="1"/>
  <c r="L1507" i="5"/>
  <c r="M1507" i="5" s="1"/>
  <c r="H265" i="7" s="1"/>
  <c r="J1507" i="5"/>
  <c r="K1507" i="5" s="1"/>
  <c r="G265" i="7" s="1"/>
  <c r="H1507" i="5"/>
  <c r="I1507" i="5" s="1"/>
  <c r="F265" i="7" s="1"/>
  <c r="F1507" i="5"/>
  <c r="E265" i="7" s="1"/>
  <c r="D1507" i="5"/>
  <c r="E1507" i="5" s="1"/>
  <c r="D265" i="7" s="1"/>
  <c r="L1506" i="5"/>
  <c r="M1506" i="5" s="1"/>
  <c r="H264" i="7" s="1"/>
  <c r="J1506" i="5"/>
  <c r="K1506" i="5" s="1"/>
  <c r="G264" i="7" s="1"/>
  <c r="H1506" i="5"/>
  <c r="I1506" i="5" s="1"/>
  <c r="F264" i="7" s="1"/>
  <c r="F1506" i="5"/>
  <c r="E264" i="7" s="1"/>
  <c r="D1506" i="5"/>
  <c r="E1506" i="5" s="1"/>
  <c r="D264" i="7" s="1"/>
  <c r="L1870" i="5"/>
  <c r="M1870" i="5" s="1"/>
  <c r="H327" i="7" s="1"/>
  <c r="J1870" i="5"/>
  <c r="K1870" i="5" s="1"/>
  <c r="G327" i="7" s="1"/>
  <c r="H1870" i="5"/>
  <c r="I1870" i="5" s="1"/>
  <c r="F327" i="7" s="1"/>
  <c r="F1870" i="5"/>
  <c r="G1870" i="5" s="1"/>
  <c r="E327" i="7" s="1"/>
  <c r="D1870" i="5"/>
  <c r="E1870" i="5" s="1"/>
  <c r="D327" i="7" s="1"/>
  <c r="L1869" i="5"/>
  <c r="M1869" i="5" s="1"/>
  <c r="H326" i="7" s="1"/>
  <c r="J1869" i="5"/>
  <c r="K1869" i="5" s="1"/>
  <c r="G326" i="7" s="1"/>
  <c r="H1869" i="5"/>
  <c r="I1869" i="5" s="1"/>
  <c r="F326" i="7" s="1"/>
  <c r="F1869" i="5"/>
  <c r="G1869" i="5" s="1"/>
  <c r="E326" i="7" s="1"/>
  <c r="D1869" i="5"/>
  <c r="D326" i="7" s="1"/>
  <c r="L1868" i="5"/>
  <c r="M1868" i="5" s="1"/>
  <c r="H325" i="7" s="1"/>
  <c r="J1868" i="5"/>
  <c r="K1868" i="5" s="1"/>
  <c r="G325" i="7" s="1"/>
  <c r="H1868" i="5"/>
  <c r="I1868" i="5" s="1"/>
  <c r="F325" i="7" s="1"/>
  <c r="F1868" i="5"/>
  <c r="G1868" i="5" s="1"/>
  <c r="E325" i="7" s="1"/>
  <c r="D1868" i="5"/>
  <c r="E1868" i="5" s="1"/>
  <c r="D325" i="7" s="1"/>
  <c r="L1867" i="5"/>
  <c r="M1867" i="5" s="1"/>
  <c r="H324" i="7" s="1"/>
  <c r="J1867" i="5"/>
  <c r="K1867" i="5" s="1"/>
  <c r="G324" i="7" s="1"/>
  <c r="H1867" i="5"/>
  <c r="I1867" i="5" s="1"/>
  <c r="F324" i="7" s="1"/>
  <c r="F1867" i="5"/>
  <c r="G1867" i="5" s="1"/>
  <c r="E324" i="7" s="1"/>
  <c r="D1867" i="5"/>
  <c r="E1867" i="5" s="1"/>
  <c r="D324" i="7" s="1"/>
  <c r="L1866" i="5"/>
  <c r="M1866" i="5" s="1"/>
  <c r="H323" i="7" s="1"/>
  <c r="J1866" i="5"/>
  <c r="K1866" i="5" s="1"/>
  <c r="G323" i="7" s="1"/>
  <c r="H1866" i="5"/>
  <c r="I1866" i="5" s="1"/>
  <c r="F323" i="7" s="1"/>
  <c r="F1866" i="5"/>
  <c r="G1866" i="5" s="1"/>
  <c r="E323" i="7" s="1"/>
  <c r="D1866" i="5"/>
  <c r="E1866" i="5" s="1"/>
  <c r="D323" i="7" s="1"/>
  <c r="L1997" i="5"/>
  <c r="M1997" i="5" s="1"/>
  <c r="H340" i="7" s="1"/>
  <c r="J1997" i="5"/>
  <c r="K1997" i="5" s="1"/>
  <c r="G340" i="7" s="1"/>
  <c r="H1997" i="5"/>
  <c r="I1997" i="5" s="1"/>
  <c r="F340" i="7" s="1"/>
  <c r="F1997" i="5"/>
  <c r="G1997" i="5" s="1"/>
  <c r="E340" i="7" s="1"/>
  <c r="D1997" i="5"/>
  <c r="E1997" i="5" s="1"/>
  <c r="D340" i="7" s="1"/>
  <c r="H2275" i="5"/>
  <c r="I2275" i="5" s="1"/>
  <c r="F408" i="7" s="1"/>
  <c r="H2270" i="5"/>
  <c r="I2270" i="5" s="1"/>
  <c r="F403" i="7" s="1"/>
  <c r="H2268" i="5"/>
  <c r="I2268" i="5" s="1"/>
  <c r="F401" i="7" s="1"/>
  <c r="H2267" i="5"/>
  <c r="I2267" i="5" s="1"/>
  <c r="F400" i="7" s="1"/>
  <c r="H2266" i="5"/>
  <c r="I2266" i="5" s="1"/>
  <c r="F399" i="7" s="1"/>
  <c r="H2265" i="5"/>
  <c r="I2265" i="5" s="1"/>
  <c r="F398" i="7" s="1"/>
  <c r="H2264" i="5"/>
  <c r="I2264" i="5" s="1"/>
  <c r="F397" i="7" s="1"/>
  <c r="T2277" i="5"/>
  <c r="U2277" i="5" s="1"/>
  <c r="L410" i="7" s="1"/>
  <c r="P2277" i="5"/>
  <c r="Q2277" i="5" s="1"/>
  <c r="J410" i="7" s="1"/>
  <c r="L2277" i="5"/>
  <c r="M2277" i="5" s="1"/>
  <c r="H410" i="7" s="1"/>
  <c r="H2277" i="5"/>
  <c r="I2277" i="5" s="1"/>
  <c r="F410" i="7" s="1"/>
  <c r="D2277" i="5"/>
  <c r="E2277" i="5" s="1"/>
  <c r="D410" i="7" s="1"/>
  <c r="T2276" i="5"/>
  <c r="U2276" i="5" s="1"/>
  <c r="L409" i="7" s="1"/>
  <c r="P2276" i="5"/>
  <c r="Q2276" i="5" s="1"/>
  <c r="J409" i="7" s="1"/>
  <c r="L2276" i="5"/>
  <c r="M2276" i="5" s="1"/>
  <c r="H409" i="7" s="1"/>
  <c r="H2276" i="5"/>
  <c r="I2276" i="5" s="1"/>
  <c r="F409" i="7" s="1"/>
  <c r="D2276" i="5"/>
  <c r="E2276" i="5" s="1"/>
  <c r="D409" i="7" s="1"/>
  <c r="T2275" i="5"/>
  <c r="U2275" i="5" s="1"/>
  <c r="L408" i="7" s="1"/>
  <c r="P2275" i="5"/>
  <c r="Q2275" i="5" s="1"/>
  <c r="J408" i="7" s="1"/>
  <c r="L2275" i="5"/>
  <c r="M2275" i="5" s="1"/>
  <c r="H408" i="7" s="1"/>
  <c r="D2275" i="5"/>
  <c r="D408" i="7" s="1"/>
  <c r="T2273" i="5"/>
  <c r="U2273" i="5" s="1"/>
  <c r="L406" i="7" s="1"/>
  <c r="P2273" i="5"/>
  <c r="Q2273" i="5" s="1"/>
  <c r="J406" i="7" s="1"/>
  <c r="L2273" i="5"/>
  <c r="M2273" i="5" s="1"/>
  <c r="H406" i="7" s="1"/>
  <c r="D2273" i="5"/>
  <c r="E2273" i="5" s="1"/>
  <c r="D406" i="7" s="1"/>
  <c r="T2272" i="5"/>
  <c r="U2272" i="5" s="1"/>
  <c r="L405" i="7" s="1"/>
  <c r="P2272" i="5"/>
  <c r="Q2272" i="5" s="1"/>
  <c r="J405" i="7" s="1"/>
  <c r="L2272" i="5"/>
  <c r="M2272" i="5" s="1"/>
  <c r="H405" i="7" s="1"/>
  <c r="D2272" i="5"/>
  <c r="E2272" i="5" s="1"/>
  <c r="D405" i="7" s="1"/>
  <c r="T2271" i="5"/>
  <c r="U2271" i="5" s="1"/>
  <c r="L404" i="7" s="1"/>
  <c r="P2271" i="5"/>
  <c r="Q2271" i="5" s="1"/>
  <c r="J404" i="7" s="1"/>
  <c r="L2271" i="5"/>
  <c r="M2271" i="5" s="1"/>
  <c r="H404" i="7" s="1"/>
  <c r="D2271" i="5"/>
  <c r="E2271" i="5" s="1"/>
  <c r="D404" i="7" s="1"/>
  <c r="T2270" i="5"/>
  <c r="U2270" i="5" s="1"/>
  <c r="L403" i="7" s="1"/>
  <c r="P2270" i="5"/>
  <c r="Q2270" i="5" s="1"/>
  <c r="J403" i="7" s="1"/>
  <c r="L2270" i="5"/>
  <c r="M2270" i="5" s="1"/>
  <c r="H403" i="7" s="1"/>
  <c r="D2270" i="5"/>
  <c r="E2270" i="5" s="1"/>
  <c r="D403" i="7" s="1"/>
  <c r="T2269" i="5"/>
  <c r="U2269" i="5" s="1"/>
  <c r="L402" i="7" s="1"/>
  <c r="P2269" i="5"/>
  <c r="Q2269" i="5" s="1"/>
  <c r="J402" i="7" s="1"/>
  <c r="L2269" i="5"/>
  <c r="M2269" i="5" s="1"/>
  <c r="H402" i="7" s="1"/>
  <c r="H2269" i="5"/>
  <c r="I2269" i="5" s="1"/>
  <c r="F402" i="7" s="1"/>
  <c r="D2269" i="5"/>
  <c r="E2269" i="5" s="1"/>
  <c r="D402" i="7" s="1"/>
  <c r="T2268" i="5"/>
  <c r="U2268" i="5" s="1"/>
  <c r="L401" i="7" s="1"/>
  <c r="P2268" i="5"/>
  <c r="Q2268" i="5" s="1"/>
  <c r="J401" i="7" s="1"/>
  <c r="L2268" i="5"/>
  <c r="M2268" i="5" s="1"/>
  <c r="H401" i="7" s="1"/>
  <c r="D2268" i="5"/>
  <c r="E2268" i="5" s="1"/>
  <c r="D401" i="7" s="1"/>
  <c r="T2267" i="5"/>
  <c r="U2267" i="5" s="1"/>
  <c r="L400" i="7" s="1"/>
  <c r="P2267" i="5"/>
  <c r="Q2267" i="5" s="1"/>
  <c r="J400" i="7" s="1"/>
  <c r="L2267" i="5"/>
  <c r="M2267" i="5" s="1"/>
  <c r="H400" i="7" s="1"/>
  <c r="D2267" i="5"/>
  <c r="E2267" i="5" s="1"/>
  <c r="D400" i="7" s="1"/>
  <c r="T2266" i="5"/>
  <c r="U2266" i="5" s="1"/>
  <c r="L399" i="7" s="1"/>
  <c r="P2266" i="5"/>
  <c r="Q2266" i="5" s="1"/>
  <c r="J399" i="7" s="1"/>
  <c r="L2266" i="5"/>
  <c r="M2266" i="5" s="1"/>
  <c r="H399" i="7" s="1"/>
  <c r="D2266" i="5"/>
  <c r="E2266" i="5" s="1"/>
  <c r="D399" i="7" s="1"/>
  <c r="T2265" i="5"/>
  <c r="U2265" i="5" s="1"/>
  <c r="L398" i="7" s="1"/>
  <c r="P2265" i="5"/>
  <c r="Q2265" i="5" s="1"/>
  <c r="J398" i="7" s="1"/>
  <c r="L2265" i="5"/>
  <c r="M2265" i="5" s="1"/>
  <c r="H398" i="7" s="1"/>
  <c r="D2265" i="5"/>
  <c r="E2265" i="5" s="1"/>
  <c r="D398" i="7" s="1"/>
  <c r="T2264" i="5"/>
  <c r="U2264" i="5" s="1"/>
  <c r="L397" i="7" s="1"/>
  <c r="P2264" i="5"/>
  <c r="Q2264" i="5" s="1"/>
  <c r="J397" i="7" s="1"/>
  <c r="L2264" i="5"/>
  <c r="M2264" i="5" s="1"/>
  <c r="H397" i="7" s="1"/>
  <c r="D2264" i="5"/>
  <c r="E2264" i="5" s="1"/>
  <c r="D397" i="7" s="1"/>
  <c r="J2204" i="5"/>
  <c r="K2204" i="5" s="1"/>
  <c r="G389" i="7" s="1"/>
  <c r="H2204" i="5"/>
  <c r="I2204" i="5" s="1"/>
  <c r="F389" i="7" s="1"/>
  <c r="J2202" i="5"/>
  <c r="K2202" i="5" s="1"/>
  <c r="G387" i="7" s="1"/>
  <c r="H2201" i="5"/>
  <c r="I2201" i="5" s="1"/>
  <c r="F386" i="7" s="1"/>
  <c r="J2200" i="5"/>
  <c r="K2200" i="5" s="1"/>
  <c r="G385" i="7" s="1"/>
  <c r="V2205" i="5"/>
  <c r="W2205" i="5" s="1"/>
  <c r="M390" i="7" s="1"/>
  <c r="T2205" i="5"/>
  <c r="U2205" i="5" s="1"/>
  <c r="L390" i="7" s="1"/>
  <c r="R2205" i="5"/>
  <c r="S2205" i="5" s="1"/>
  <c r="K390" i="7" s="1"/>
  <c r="P2205" i="5"/>
  <c r="Q2205" i="5" s="1"/>
  <c r="J390" i="7" s="1"/>
  <c r="N2205" i="5"/>
  <c r="O2205" i="5" s="1"/>
  <c r="I390" i="7" s="1"/>
  <c r="L2205" i="5"/>
  <c r="M2205" i="5" s="1"/>
  <c r="H390" i="7" s="1"/>
  <c r="J2205" i="5"/>
  <c r="K2205" i="5" s="1"/>
  <c r="G390" i="7" s="1"/>
  <c r="H2205" i="5"/>
  <c r="I2205" i="5" s="1"/>
  <c r="F390" i="7" s="1"/>
  <c r="F2205" i="5"/>
  <c r="G2205" i="5" s="1"/>
  <c r="E390" i="7" s="1"/>
  <c r="D2205" i="5"/>
  <c r="E2205" i="5" s="1"/>
  <c r="D390" i="7" s="1"/>
  <c r="V2204" i="5"/>
  <c r="W2204" i="5" s="1"/>
  <c r="M389" i="7" s="1"/>
  <c r="T2204" i="5"/>
  <c r="U2204" i="5" s="1"/>
  <c r="L389" i="7" s="1"/>
  <c r="R2204" i="5"/>
  <c r="S2204" i="5" s="1"/>
  <c r="K389" i="7" s="1"/>
  <c r="P2204" i="5"/>
  <c r="Q2204" i="5" s="1"/>
  <c r="J389" i="7" s="1"/>
  <c r="N2204" i="5"/>
  <c r="O2204" i="5" s="1"/>
  <c r="I389" i="7" s="1"/>
  <c r="L2204" i="5"/>
  <c r="M2204" i="5" s="1"/>
  <c r="H389" i="7" s="1"/>
  <c r="F2204" i="5"/>
  <c r="G2204" i="5" s="1"/>
  <c r="E389" i="7" s="1"/>
  <c r="D2204" i="5"/>
  <c r="E2204" i="5" s="1"/>
  <c r="D389" i="7" s="1"/>
  <c r="V2203" i="5"/>
  <c r="W2203" i="5" s="1"/>
  <c r="M388" i="7" s="1"/>
  <c r="T2203" i="5"/>
  <c r="U2203" i="5" s="1"/>
  <c r="L388" i="7" s="1"/>
  <c r="R2203" i="5"/>
  <c r="S2203" i="5" s="1"/>
  <c r="K388" i="7" s="1"/>
  <c r="P2203" i="5"/>
  <c r="Q2203" i="5" s="1"/>
  <c r="J388" i="7" s="1"/>
  <c r="N2203" i="5"/>
  <c r="O2203" i="5" s="1"/>
  <c r="I388" i="7" s="1"/>
  <c r="L2203" i="5"/>
  <c r="M2203" i="5" s="1"/>
  <c r="H388" i="7" s="1"/>
  <c r="J2203" i="5"/>
  <c r="K2203" i="5" s="1"/>
  <c r="G388" i="7" s="1"/>
  <c r="H2203" i="5"/>
  <c r="I2203" i="5" s="1"/>
  <c r="F388" i="7" s="1"/>
  <c r="F2203" i="5"/>
  <c r="G2203" i="5" s="1"/>
  <c r="E388" i="7" s="1"/>
  <c r="D2203" i="5"/>
  <c r="E2203" i="5" s="1"/>
  <c r="D388" i="7" s="1"/>
  <c r="V2202" i="5"/>
  <c r="W2202" i="5" s="1"/>
  <c r="M387" i="7" s="1"/>
  <c r="T2202" i="5"/>
  <c r="U2202" i="5" s="1"/>
  <c r="L387" i="7" s="1"/>
  <c r="R2202" i="5"/>
  <c r="S2202" i="5" s="1"/>
  <c r="K387" i="7" s="1"/>
  <c r="P2202" i="5"/>
  <c r="Q2202" i="5" s="1"/>
  <c r="J387" i="7" s="1"/>
  <c r="N2202" i="5"/>
  <c r="O2202" i="5" s="1"/>
  <c r="I387" i="7" s="1"/>
  <c r="L2202" i="5"/>
  <c r="M2202" i="5" s="1"/>
  <c r="H387" i="7" s="1"/>
  <c r="H2202" i="5"/>
  <c r="I2202" i="5" s="1"/>
  <c r="F387" i="7" s="1"/>
  <c r="F2202" i="5"/>
  <c r="G2202" i="5" s="1"/>
  <c r="E387" i="7" s="1"/>
  <c r="D2202" i="5"/>
  <c r="E2202" i="5" s="1"/>
  <c r="D387" i="7" s="1"/>
  <c r="V2201" i="5"/>
  <c r="W2201" i="5" s="1"/>
  <c r="M386" i="7" s="1"/>
  <c r="T2201" i="5"/>
  <c r="U2201" i="5" s="1"/>
  <c r="L386" i="7" s="1"/>
  <c r="R2201" i="5"/>
  <c r="S2201" i="5" s="1"/>
  <c r="K386" i="7" s="1"/>
  <c r="P2201" i="5"/>
  <c r="Q2201" i="5" s="1"/>
  <c r="J386" i="7" s="1"/>
  <c r="N2201" i="5"/>
  <c r="O2201" i="5" s="1"/>
  <c r="I386" i="7" s="1"/>
  <c r="L2201" i="5"/>
  <c r="M2201" i="5" s="1"/>
  <c r="H386" i="7" s="1"/>
  <c r="J2201" i="5"/>
  <c r="K2201" i="5" s="1"/>
  <c r="G386" i="7" s="1"/>
  <c r="F2201" i="5"/>
  <c r="G2201" i="5" s="1"/>
  <c r="E386" i="7" s="1"/>
  <c r="D2201" i="5"/>
  <c r="D386" i="7" s="1"/>
  <c r="V2200" i="5"/>
  <c r="W2200" i="5" s="1"/>
  <c r="M385" i="7" s="1"/>
  <c r="T2200" i="5"/>
  <c r="U2200" i="5" s="1"/>
  <c r="L385" i="7" s="1"/>
  <c r="R2200" i="5"/>
  <c r="S2200" i="5" s="1"/>
  <c r="K385" i="7" s="1"/>
  <c r="P2200" i="5"/>
  <c r="Q2200" i="5" s="1"/>
  <c r="J385" i="7" s="1"/>
  <c r="N2200" i="5"/>
  <c r="O2200" i="5" s="1"/>
  <c r="I385" i="7" s="1"/>
  <c r="L2200" i="5"/>
  <c r="M2200" i="5" s="1"/>
  <c r="H385" i="7" s="1"/>
  <c r="H2200" i="5"/>
  <c r="I2200" i="5" s="1"/>
  <c r="F385" i="7" s="1"/>
  <c r="F2200" i="5"/>
  <c r="G2200" i="5" s="1"/>
  <c r="E385" i="7" s="1"/>
  <c r="D2200" i="5"/>
  <c r="E2200" i="5" s="1"/>
  <c r="D385" i="7" s="1"/>
  <c r="V2199" i="5"/>
  <c r="W2199" i="5" s="1"/>
  <c r="M384" i="7" s="1"/>
  <c r="T2199" i="5"/>
  <c r="U2199" i="5" s="1"/>
  <c r="L384" i="7" s="1"/>
  <c r="R2199" i="5"/>
  <c r="S2199" i="5" s="1"/>
  <c r="K384" i="7" s="1"/>
  <c r="P2199" i="5"/>
  <c r="Q2199" i="5" s="1"/>
  <c r="J384" i="7" s="1"/>
  <c r="N2199" i="5"/>
  <c r="O2199" i="5" s="1"/>
  <c r="I384" i="7" s="1"/>
  <c r="L2199" i="5"/>
  <c r="M2199" i="5" s="1"/>
  <c r="H384" i="7" s="1"/>
  <c r="J2199" i="5"/>
  <c r="K2199" i="5" s="1"/>
  <c r="G384" i="7" s="1"/>
  <c r="F2199" i="5"/>
  <c r="G2199" i="5" s="1"/>
  <c r="E384" i="7" s="1"/>
  <c r="D2199" i="5"/>
  <c r="E2199" i="5" s="1"/>
  <c r="D384" i="7" s="1"/>
  <c r="V2198" i="5"/>
  <c r="W2198" i="5" s="1"/>
  <c r="M383" i="7" s="1"/>
  <c r="T2198" i="5"/>
  <c r="U2198" i="5" s="1"/>
  <c r="L383" i="7" s="1"/>
  <c r="R2198" i="5"/>
  <c r="S2198" i="5" s="1"/>
  <c r="K383" i="7" s="1"/>
  <c r="P2198" i="5"/>
  <c r="Q2198" i="5" s="1"/>
  <c r="J383" i="7" s="1"/>
  <c r="N2198" i="5"/>
  <c r="O2198" i="5" s="1"/>
  <c r="I383" i="7" s="1"/>
  <c r="L2198" i="5"/>
  <c r="M2198" i="5" s="1"/>
  <c r="H383" i="7" s="1"/>
  <c r="H2198" i="5"/>
  <c r="I2198" i="5" s="1"/>
  <c r="F383" i="7" s="1"/>
  <c r="F2198" i="5"/>
  <c r="G2198" i="5" s="1"/>
  <c r="E383" i="7" s="1"/>
  <c r="D2198" i="5"/>
  <c r="E2198" i="5" s="1"/>
  <c r="D383" i="7" s="1"/>
  <c r="V2197" i="5"/>
  <c r="W2197" i="5" s="1"/>
  <c r="M382" i="7" s="1"/>
  <c r="T2197" i="5"/>
  <c r="U2197" i="5" s="1"/>
  <c r="L382" i="7" s="1"/>
  <c r="R2197" i="5"/>
  <c r="S2197" i="5" s="1"/>
  <c r="K382" i="7" s="1"/>
  <c r="P2197" i="5"/>
  <c r="Q2197" i="5" s="1"/>
  <c r="J382" i="7" s="1"/>
  <c r="N2197" i="5"/>
  <c r="O2197" i="5" s="1"/>
  <c r="I382" i="7" s="1"/>
  <c r="L2197" i="5"/>
  <c r="M2197" i="5" s="1"/>
  <c r="H382" i="7" s="1"/>
  <c r="J2197" i="5"/>
  <c r="K2197" i="5" s="1"/>
  <c r="G382" i="7" s="1"/>
  <c r="H2197" i="5"/>
  <c r="I2197" i="5" s="1"/>
  <c r="F382" i="7" s="1"/>
  <c r="F2197" i="5"/>
  <c r="G2197" i="5" s="1"/>
  <c r="E382" i="7" s="1"/>
  <c r="D2197" i="5"/>
  <c r="E2197" i="5" s="1"/>
  <c r="D382" i="7" s="1"/>
  <c r="V2196" i="5"/>
  <c r="W2196" i="5" s="1"/>
  <c r="M381" i="7" s="1"/>
  <c r="T2196" i="5"/>
  <c r="U2196" i="5" s="1"/>
  <c r="L381" i="7" s="1"/>
  <c r="R2196" i="5"/>
  <c r="S2196" i="5" s="1"/>
  <c r="K381" i="7" s="1"/>
  <c r="P2196" i="5"/>
  <c r="Q2196" i="5" s="1"/>
  <c r="J381" i="7" s="1"/>
  <c r="N2196" i="5"/>
  <c r="O2196" i="5" s="1"/>
  <c r="I381" i="7" s="1"/>
  <c r="L2196" i="5"/>
  <c r="M2196" i="5" s="1"/>
  <c r="H381" i="7" s="1"/>
  <c r="F2196" i="5"/>
  <c r="G2196" i="5" s="1"/>
  <c r="E381" i="7" s="1"/>
  <c r="D2196" i="5"/>
  <c r="E2196" i="5" s="1"/>
  <c r="D381" i="7" s="1"/>
  <c r="J2137" i="5"/>
  <c r="K2137" i="5" s="1"/>
  <c r="G374" i="7" s="1"/>
  <c r="J2135" i="5"/>
  <c r="K2135" i="5" s="1"/>
  <c r="G372" i="7" s="1"/>
  <c r="H2135" i="5"/>
  <c r="I2135" i="5" s="1"/>
  <c r="F372" i="7" s="1"/>
  <c r="J2128" i="5"/>
  <c r="K2128" i="5" s="1"/>
  <c r="G365" i="7" s="1"/>
  <c r="J2124" i="5"/>
  <c r="K2124" i="5" s="1"/>
  <c r="G361" i="7" s="1"/>
  <c r="H2128" i="5"/>
  <c r="I2128" i="5" s="1"/>
  <c r="F365" i="7" s="1"/>
  <c r="H2127" i="5"/>
  <c r="I2127" i="5" s="1"/>
  <c r="F364" i="7" s="1"/>
  <c r="H2124" i="5"/>
  <c r="I2124" i="5" s="1"/>
  <c r="F361" i="7" s="1"/>
  <c r="V2137" i="5"/>
  <c r="W2137" i="5" s="1"/>
  <c r="M374" i="7" s="1"/>
  <c r="T2137" i="5"/>
  <c r="U2137" i="5" s="1"/>
  <c r="L374" i="7" s="1"/>
  <c r="R2137" i="5"/>
  <c r="S2137" i="5" s="1"/>
  <c r="K374" i="7" s="1"/>
  <c r="P2137" i="5"/>
  <c r="Q2137" i="5" s="1"/>
  <c r="J374" i="7" s="1"/>
  <c r="N2137" i="5"/>
  <c r="O2137" i="5" s="1"/>
  <c r="I374" i="7" s="1"/>
  <c r="L2137" i="5"/>
  <c r="M2137" i="5" s="1"/>
  <c r="H374" i="7" s="1"/>
  <c r="H2137" i="5"/>
  <c r="I2137" i="5" s="1"/>
  <c r="F374" i="7" s="1"/>
  <c r="F2137" i="5"/>
  <c r="G2137" i="5" s="1"/>
  <c r="E374" i="7" s="1"/>
  <c r="D2137" i="5"/>
  <c r="E2137" i="5" s="1"/>
  <c r="D374" i="7" s="1"/>
  <c r="V2136" i="5"/>
  <c r="W2136" i="5" s="1"/>
  <c r="M373" i="7" s="1"/>
  <c r="T2136" i="5"/>
  <c r="U2136" i="5" s="1"/>
  <c r="L373" i="7" s="1"/>
  <c r="R2136" i="5"/>
  <c r="S2136" i="5" s="1"/>
  <c r="K373" i="7" s="1"/>
  <c r="P2136" i="5"/>
  <c r="Q2136" i="5" s="1"/>
  <c r="J373" i="7" s="1"/>
  <c r="N2136" i="5"/>
  <c r="O2136" i="5" s="1"/>
  <c r="I373" i="7" s="1"/>
  <c r="L2136" i="5"/>
  <c r="M2136" i="5" s="1"/>
  <c r="H373" i="7" s="1"/>
  <c r="J2136" i="5"/>
  <c r="K2136" i="5" s="1"/>
  <c r="G373" i="7" s="1"/>
  <c r="H2136" i="5"/>
  <c r="I2136" i="5" s="1"/>
  <c r="F373" i="7" s="1"/>
  <c r="F2136" i="5"/>
  <c r="G2136" i="5" s="1"/>
  <c r="E373" i="7" s="1"/>
  <c r="D2136" i="5"/>
  <c r="E2136" i="5" s="1"/>
  <c r="D373" i="7" s="1"/>
  <c r="V2135" i="5"/>
  <c r="W2135" i="5" s="1"/>
  <c r="M372" i="7" s="1"/>
  <c r="T2135" i="5"/>
  <c r="U2135" i="5" s="1"/>
  <c r="L372" i="7" s="1"/>
  <c r="R2135" i="5"/>
  <c r="S2135" i="5" s="1"/>
  <c r="K372" i="7" s="1"/>
  <c r="P2135" i="5"/>
  <c r="Q2135" i="5" s="1"/>
  <c r="J372" i="7" s="1"/>
  <c r="N2135" i="5"/>
  <c r="O2135" i="5" s="1"/>
  <c r="I372" i="7" s="1"/>
  <c r="L2135" i="5"/>
  <c r="M2135" i="5" s="1"/>
  <c r="H372" i="7" s="1"/>
  <c r="F2135" i="5"/>
  <c r="G2135" i="5" s="1"/>
  <c r="E372" i="7" s="1"/>
  <c r="D2135" i="5"/>
  <c r="E2135" i="5" s="1"/>
  <c r="D372" i="7" s="1"/>
  <c r="V2133" i="5"/>
  <c r="W2133" i="5" s="1"/>
  <c r="M370" i="7" s="1"/>
  <c r="T2133" i="5"/>
  <c r="U2133" i="5" s="1"/>
  <c r="L370" i="7" s="1"/>
  <c r="R2133" i="5"/>
  <c r="S2133" i="5" s="1"/>
  <c r="K370" i="7" s="1"/>
  <c r="P2133" i="5"/>
  <c r="Q2133" i="5" s="1"/>
  <c r="J370" i="7" s="1"/>
  <c r="N2133" i="5"/>
  <c r="O2133" i="5" s="1"/>
  <c r="I370" i="7" s="1"/>
  <c r="L2133" i="5"/>
  <c r="M2133" i="5" s="1"/>
  <c r="H370" i="7" s="1"/>
  <c r="F2133" i="5"/>
  <c r="G2133" i="5" s="1"/>
  <c r="E370" i="7" s="1"/>
  <c r="D2133" i="5"/>
  <c r="E2133" i="5" s="1"/>
  <c r="D370" i="7" s="1"/>
  <c r="V2132" i="5"/>
  <c r="W2132" i="5" s="1"/>
  <c r="M369" i="7" s="1"/>
  <c r="T2132" i="5"/>
  <c r="U2132" i="5" s="1"/>
  <c r="L369" i="7" s="1"/>
  <c r="R2132" i="5"/>
  <c r="S2132" i="5" s="1"/>
  <c r="K369" i="7" s="1"/>
  <c r="P2132" i="5"/>
  <c r="Q2132" i="5" s="1"/>
  <c r="J369" i="7" s="1"/>
  <c r="N2132" i="5"/>
  <c r="O2132" i="5" s="1"/>
  <c r="I369" i="7" s="1"/>
  <c r="L2132" i="5"/>
  <c r="M2132" i="5" s="1"/>
  <c r="F2132" i="5"/>
  <c r="G2132" i="5" s="1"/>
  <c r="E369" i="7" s="1"/>
  <c r="D2132" i="5"/>
  <c r="E2132" i="5" s="1"/>
  <c r="D369" i="7" s="1"/>
  <c r="V2131" i="5"/>
  <c r="W2131" i="5" s="1"/>
  <c r="M368" i="7" s="1"/>
  <c r="T2131" i="5"/>
  <c r="U2131" i="5" s="1"/>
  <c r="L368" i="7" s="1"/>
  <c r="R2131" i="5"/>
  <c r="S2131" i="5" s="1"/>
  <c r="K368" i="7" s="1"/>
  <c r="P2131" i="5"/>
  <c r="Q2131" i="5" s="1"/>
  <c r="N2131" i="5"/>
  <c r="O2131" i="5" s="1"/>
  <c r="I368" i="7" s="1"/>
  <c r="L2131" i="5"/>
  <c r="M2131" i="5" s="1"/>
  <c r="H368" i="7" s="1"/>
  <c r="F2131" i="5"/>
  <c r="G2131" i="5" s="1"/>
  <c r="E368" i="7" s="1"/>
  <c r="D2131" i="5"/>
  <c r="E2131" i="5" s="1"/>
  <c r="D368" i="7" s="1"/>
  <c r="V2130" i="5"/>
  <c r="W2130" i="5" s="1"/>
  <c r="M367" i="7" s="1"/>
  <c r="T2130" i="5"/>
  <c r="U2130" i="5" s="1"/>
  <c r="L367" i="7" s="1"/>
  <c r="R2130" i="5"/>
  <c r="S2130" i="5" s="1"/>
  <c r="K367" i="7" s="1"/>
  <c r="P2130" i="5"/>
  <c r="Q2130" i="5" s="1"/>
  <c r="J367" i="7" s="1"/>
  <c r="N2130" i="5"/>
  <c r="O2130" i="5" s="1"/>
  <c r="I367" i="7" s="1"/>
  <c r="L2130" i="5"/>
  <c r="M2130" i="5" s="1"/>
  <c r="H367" i="7" s="1"/>
  <c r="J2130" i="5"/>
  <c r="K2130" i="5" s="1"/>
  <c r="G367" i="7" s="1"/>
  <c r="H2130" i="5"/>
  <c r="I2130" i="5" s="1"/>
  <c r="F367" i="7" s="1"/>
  <c r="F2130" i="5"/>
  <c r="G2130" i="5" s="1"/>
  <c r="E367" i="7" s="1"/>
  <c r="D2130" i="5"/>
  <c r="E2130" i="5" s="1"/>
  <c r="D367" i="7" s="1"/>
  <c r="V2129" i="5"/>
  <c r="W2129" i="5" s="1"/>
  <c r="M366" i="7" s="1"/>
  <c r="T2129" i="5"/>
  <c r="U2129" i="5" s="1"/>
  <c r="L366" i="7" s="1"/>
  <c r="R2129" i="5"/>
  <c r="S2129" i="5" s="1"/>
  <c r="K366" i="7" s="1"/>
  <c r="P2129" i="5"/>
  <c r="Q2129" i="5" s="1"/>
  <c r="J366" i="7" s="1"/>
  <c r="N2129" i="5"/>
  <c r="O2129" i="5" s="1"/>
  <c r="I366" i="7" s="1"/>
  <c r="L2129" i="5"/>
  <c r="M2129" i="5" s="1"/>
  <c r="H366" i="7" s="1"/>
  <c r="J2129" i="5"/>
  <c r="K2129" i="5" s="1"/>
  <c r="G366" i="7" s="1"/>
  <c r="H2129" i="5"/>
  <c r="I2129" i="5" s="1"/>
  <c r="F366" i="7" s="1"/>
  <c r="F2129" i="5"/>
  <c r="G2129" i="5" s="1"/>
  <c r="E366" i="7" s="1"/>
  <c r="D2129" i="5"/>
  <c r="E2129" i="5" s="1"/>
  <c r="D366" i="7" s="1"/>
  <c r="V2128" i="5"/>
  <c r="W2128" i="5" s="1"/>
  <c r="M365" i="7" s="1"/>
  <c r="T2128" i="5"/>
  <c r="U2128" i="5" s="1"/>
  <c r="L365" i="7" s="1"/>
  <c r="R2128" i="5"/>
  <c r="S2128" i="5" s="1"/>
  <c r="K365" i="7" s="1"/>
  <c r="P2128" i="5"/>
  <c r="Q2128" i="5" s="1"/>
  <c r="J365" i="7" s="1"/>
  <c r="N2128" i="5"/>
  <c r="O2128" i="5" s="1"/>
  <c r="I365" i="7" s="1"/>
  <c r="L2128" i="5"/>
  <c r="M2128" i="5" s="1"/>
  <c r="H365" i="7" s="1"/>
  <c r="F2128" i="5"/>
  <c r="G2128" i="5" s="1"/>
  <c r="E365" i="7" s="1"/>
  <c r="D2128" i="5"/>
  <c r="E2128" i="5" s="1"/>
  <c r="D365" i="7" s="1"/>
  <c r="V2127" i="5"/>
  <c r="W2127" i="5" s="1"/>
  <c r="M364" i="7" s="1"/>
  <c r="T2127" i="5"/>
  <c r="U2127" i="5" s="1"/>
  <c r="L364" i="7" s="1"/>
  <c r="R2127" i="5"/>
  <c r="S2127" i="5" s="1"/>
  <c r="K364" i="7" s="1"/>
  <c r="P2127" i="5"/>
  <c r="Q2127" i="5" s="1"/>
  <c r="J364" i="7" s="1"/>
  <c r="N2127" i="5"/>
  <c r="O2127" i="5" s="1"/>
  <c r="I364" i="7" s="1"/>
  <c r="L2127" i="5"/>
  <c r="M2127" i="5" s="1"/>
  <c r="H364" i="7" s="1"/>
  <c r="F2127" i="5"/>
  <c r="G2127" i="5" s="1"/>
  <c r="E364" i="7" s="1"/>
  <c r="D2127" i="5"/>
  <c r="E2127" i="5" s="1"/>
  <c r="D364" i="7" s="1"/>
  <c r="V2126" i="5"/>
  <c r="W2126" i="5" s="1"/>
  <c r="M363" i="7" s="1"/>
  <c r="T2126" i="5"/>
  <c r="U2126" i="5" s="1"/>
  <c r="L363" i="7" s="1"/>
  <c r="R2126" i="5"/>
  <c r="S2126" i="5" s="1"/>
  <c r="K363" i="7" s="1"/>
  <c r="P2126" i="5"/>
  <c r="Q2126" i="5" s="1"/>
  <c r="J363" i="7" s="1"/>
  <c r="N2126" i="5"/>
  <c r="O2126" i="5" s="1"/>
  <c r="I363" i="7" s="1"/>
  <c r="L2126" i="5"/>
  <c r="M2126" i="5" s="1"/>
  <c r="H363" i="7" s="1"/>
  <c r="H2126" i="5"/>
  <c r="I2126" i="5" s="1"/>
  <c r="F363" i="7" s="1"/>
  <c r="F2126" i="5"/>
  <c r="G2126" i="5" s="1"/>
  <c r="E363" i="7" s="1"/>
  <c r="D2126" i="5"/>
  <c r="E2126" i="5" s="1"/>
  <c r="D363" i="7" s="1"/>
  <c r="V2125" i="5"/>
  <c r="W2125" i="5" s="1"/>
  <c r="M362" i="7" s="1"/>
  <c r="T2125" i="5"/>
  <c r="U2125" i="5" s="1"/>
  <c r="L362" i="7" s="1"/>
  <c r="R2125" i="5"/>
  <c r="S2125" i="5" s="1"/>
  <c r="K362" i="7" s="1"/>
  <c r="P2125" i="5"/>
  <c r="Q2125" i="5" s="1"/>
  <c r="J362" i="7" s="1"/>
  <c r="N2125" i="5"/>
  <c r="O2125" i="5" s="1"/>
  <c r="I362" i="7" s="1"/>
  <c r="L2125" i="5"/>
  <c r="M2125" i="5" s="1"/>
  <c r="H362" i="7" s="1"/>
  <c r="H2125" i="5"/>
  <c r="I2125" i="5" s="1"/>
  <c r="F2125" i="5"/>
  <c r="G2125" i="5" s="1"/>
  <c r="E362" i="7" s="1"/>
  <c r="D2125" i="5"/>
  <c r="E2125" i="5" s="1"/>
  <c r="D362" i="7" s="1"/>
  <c r="V2124" i="5"/>
  <c r="T2124" i="5"/>
  <c r="U2124" i="5" s="1"/>
  <c r="L361" i="7" s="1"/>
  <c r="R2124" i="5"/>
  <c r="S2124" i="5" s="1"/>
  <c r="K361" i="7" s="1"/>
  <c r="P2124" i="5"/>
  <c r="Q2124" i="5" s="1"/>
  <c r="J361" i="7" s="1"/>
  <c r="N2124" i="5"/>
  <c r="O2124" i="5" s="1"/>
  <c r="I361" i="7" s="1"/>
  <c r="L2124" i="5"/>
  <c r="M2124" i="5" s="1"/>
  <c r="H361" i="7" s="1"/>
  <c r="F2124" i="5"/>
  <c r="G2124" i="5" s="1"/>
  <c r="E361" i="7" s="1"/>
  <c r="D2124" i="5"/>
  <c r="E2124" i="5" s="1"/>
  <c r="D361" i="7" s="1"/>
  <c r="J2059" i="5"/>
  <c r="K2059" i="5" s="1"/>
  <c r="G348" i="7" s="1"/>
  <c r="J2064" i="5"/>
  <c r="K2064" i="5" s="1"/>
  <c r="G353" i="7" s="1"/>
  <c r="J2063" i="5"/>
  <c r="K2063" i="5" s="1"/>
  <c r="G352" i="7" s="1"/>
  <c r="J2062" i="5"/>
  <c r="K2062" i="5" s="1"/>
  <c r="G351" i="7" s="1"/>
  <c r="J2057" i="5"/>
  <c r="K2057" i="5" s="1"/>
  <c r="G346" i="7" s="1"/>
  <c r="J2056" i="5"/>
  <c r="K2056" i="5" s="1"/>
  <c r="G345" i="7" s="1"/>
  <c r="H2064" i="5"/>
  <c r="I2064" i="5" s="1"/>
  <c r="F353" i="7" s="1"/>
  <c r="H2060" i="5"/>
  <c r="I2060" i="5" s="1"/>
  <c r="F349" i="7" s="1"/>
  <c r="H2056" i="5"/>
  <c r="I2056" i="5" s="1"/>
  <c r="F345" i="7" s="1"/>
  <c r="L2064" i="5"/>
  <c r="M2064" i="5" s="1"/>
  <c r="H353" i="7" s="1"/>
  <c r="N2064" i="5"/>
  <c r="O2064" i="5" s="1"/>
  <c r="I353" i="7" s="1"/>
  <c r="R2064" i="5"/>
  <c r="S2064" i="5" s="1"/>
  <c r="K353" i="7" s="1"/>
  <c r="V2064" i="5"/>
  <c r="W2064" i="5" s="1"/>
  <c r="M353" i="7" s="1"/>
  <c r="T2064" i="5"/>
  <c r="U2064" i="5" s="1"/>
  <c r="L353" i="7" s="1"/>
  <c r="P2064" i="5"/>
  <c r="Q2064" i="5" s="1"/>
  <c r="V2063" i="5"/>
  <c r="W2063" i="5" s="1"/>
  <c r="M352" i="7" s="1"/>
  <c r="T2063" i="5"/>
  <c r="U2063" i="5" s="1"/>
  <c r="L352" i="7" s="1"/>
  <c r="R2063" i="5"/>
  <c r="S2063" i="5" s="1"/>
  <c r="K352" i="7" s="1"/>
  <c r="P2063" i="5"/>
  <c r="Q2063" i="5" s="1"/>
  <c r="J352" i="7" s="1"/>
  <c r="N2063" i="5"/>
  <c r="O2063" i="5" s="1"/>
  <c r="I352" i="7" s="1"/>
  <c r="L2063" i="5"/>
  <c r="M2063" i="5" s="1"/>
  <c r="H352" i="7" s="1"/>
  <c r="H2063" i="5"/>
  <c r="I2063" i="5" s="1"/>
  <c r="F352" i="7" s="1"/>
  <c r="F2063" i="5"/>
  <c r="G2063" i="5" s="1"/>
  <c r="E352" i="7" s="1"/>
  <c r="D2063" i="5"/>
  <c r="E2063" i="5" s="1"/>
  <c r="D352" i="7" s="1"/>
  <c r="V2062" i="5"/>
  <c r="W2062" i="5" s="1"/>
  <c r="M351" i="7" s="1"/>
  <c r="T2062" i="5"/>
  <c r="U2062" i="5" s="1"/>
  <c r="L351" i="7" s="1"/>
  <c r="R2062" i="5"/>
  <c r="S2062" i="5" s="1"/>
  <c r="K351" i="7" s="1"/>
  <c r="P2062" i="5"/>
  <c r="Q2062" i="5" s="1"/>
  <c r="J351" i="7" s="1"/>
  <c r="N2062" i="5"/>
  <c r="O2062" i="5" s="1"/>
  <c r="I351" i="7" s="1"/>
  <c r="L2062" i="5"/>
  <c r="M2062" i="5" s="1"/>
  <c r="H351" i="7" s="1"/>
  <c r="H2062" i="5"/>
  <c r="I2062" i="5" s="1"/>
  <c r="F351" i="7" s="1"/>
  <c r="F2062" i="5"/>
  <c r="G2062" i="5" s="1"/>
  <c r="E351" i="7" s="1"/>
  <c r="D2062" i="5"/>
  <c r="D351" i="7" s="1"/>
  <c r="V2060" i="5"/>
  <c r="W2060" i="5" s="1"/>
  <c r="M349" i="7" s="1"/>
  <c r="T2060" i="5"/>
  <c r="U2060" i="5" s="1"/>
  <c r="L349" i="7" s="1"/>
  <c r="R2060" i="5"/>
  <c r="S2060" i="5" s="1"/>
  <c r="K349" i="7" s="1"/>
  <c r="P2060" i="5"/>
  <c r="Q2060" i="5" s="1"/>
  <c r="J349" i="7" s="1"/>
  <c r="N2060" i="5"/>
  <c r="O2060" i="5" s="1"/>
  <c r="I349" i="7" s="1"/>
  <c r="L2060" i="5"/>
  <c r="M2060" i="5" s="1"/>
  <c r="H349" i="7" s="1"/>
  <c r="J2060" i="5"/>
  <c r="K2060" i="5" s="1"/>
  <c r="G349" i="7" s="1"/>
  <c r="F2060" i="5"/>
  <c r="G2060" i="5" s="1"/>
  <c r="E349" i="7" s="1"/>
  <c r="D2060" i="5"/>
  <c r="E2060" i="5" s="1"/>
  <c r="D349" i="7" s="1"/>
  <c r="V2059" i="5"/>
  <c r="W2059" i="5" s="1"/>
  <c r="M348" i="7" s="1"/>
  <c r="T2059" i="5"/>
  <c r="U2059" i="5" s="1"/>
  <c r="L348" i="7" s="1"/>
  <c r="R2059" i="5"/>
  <c r="S2059" i="5" s="1"/>
  <c r="K348" i="7" s="1"/>
  <c r="P2059" i="5"/>
  <c r="Q2059" i="5" s="1"/>
  <c r="J348" i="7" s="1"/>
  <c r="N2059" i="5"/>
  <c r="O2059" i="5" s="1"/>
  <c r="I348" i="7" s="1"/>
  <c r="L2059" i="5"/>
  <c r="M2059" i="5" s="1"/>
  <c r="H348" i="7" s="1"/>
  <c r="F2059" i="5"/>
  <c r="G2059" i="5" s="1"/>
  <c r="E348" i="7" s="1"/>
  <c r="D2059" i="5"/>
  <c r="V2057" i="5"/>
  <c r="W2057" i="5" s="1"/>
  <c r="M346" i="7" s="1"/>
  <c r="T2057" i="5"/>
  <c r="U2057" i="5" s="1"/>
  <c r="L346" i="7" s="1"/>
  <c r="R2057" i="5"/>
  <c r="S2057" i="5" s="1"/>
  <c r="K346" i="7" s="1"/>
  <c r="P2057" i="5"/>
  <c r="Q2057" i="5" s="1"/>
  <c r="J346" i="7" s="1"/>
  <c r="N2057" i="5"/>
  <c r="O2057" i="5" s="1"/>
  <c r="I346" i="7" s="1"/>
  <c r="L2057" i="5"/>
  <c r="M2057" i="5" s="1"/>
  <c r="H346" i="7" s="1"/>
  <c r="H2057" i="5"/>
  <c r="I2057" i="5" s="1"/>
  <c r="F346" i="7" s="1"/>
  <c r="F2057" i="5"/>
  <c r="G2057" i="5" s="1"/>
  <c r="E346" i="7" s="1"/>
  <c r="D2057" i="5"/>
  <c r="E2057" i="5" s="1"/>
  <c r="D346" i="7" s="1"/>
  <c r="V2056" i="5"/>
  <c r="W2056" i="5" s="1"/>
  <c r="M345" i="7" s="1"/>
  <c r="T2056" i="5"/>
  <c r="U2056" i="5" s="1"/>
  <c r="L345" i="7" s="1"/>
  <c r="R2056" i="5"/>
  <c r="S2056" i="5" s="1"/>
  <c r="K345" i="7" s="1"/>
  <c r="P2056" i="5"/>
  <c r="Q2056" i="5" s="1"/>
  <c r="J345" i="7" s="1"/>
  <c r="N2056" i="5"/>
  <c r="L2056" i="5"/>
  <c r="M2056" i="5" s="1"/>
  <c r="H345" i="7" s="1"/>
  <c r="F2056" i="5"/>
  <c r="G2056" i="5" s="1"/>
  <c r="E345" i="7" s="1"/>
  <c r="D2056" i="5"/>
  <c r="E2056" i="5" s="1"/>
  <c r="D345" i="7" s="1"/>
  <c r="F1932" i="5"/>
  <c r="G1932" i="5" s="1"/>
  <c r="E333" i="7" s="1"/>
  <c r="H1933" i="5"/>
  <c r="F334" i="7" s="1"/>
  <c r="F1933" i="5"/>
  <c r="G1933" i="5" s="1"/>
  <c r="E334" i="7" s="1"/>
  <c r="H1932" i="5"/>
  <c r="F333" i="7" s="1"/>
  <c r="F294" i="5"/>
  <c r="G294" i="5" s="1"/>
  <c r="E60" i="7" s="1"/>
  <c r="F291" i="5"/>
  <c r="G291" i="5" s="1"/>
  <c r="E57" i="7" s="1"/>
  <c r="F290" i="5"/>
  <c r="G290" i="5" s="1"/>
  <c r="E56" i="7" s="1"/>
  <c r="H294" i="5"/>
  <c r="I294" i="5" s="1"/>
  <c r="F60" i="7" s="1"/>
  <c r="H293" i="5"/>
  <c r="I293" i="5" s="1"/>
  <c r="F59" i="7" s="1"/>
  <c r="F293" i="5"/>
  <c r="G293" i="5" s="1"/>
  <c r="E59" i="7" s="1"/>
  <c r="H292" i="5"/>
  <c r="I292" i="5" s="1"/>
  <c r="F58" i="7" s="1"/>
  <c r="F292" i="5"/>
  <c r="G292" i="5" s="1"/>
  <c r="E58" i="7" s="1"/>
  <c r="H291" i="5"/>
  <c r="I291" i="5" s="1"/>
  <c r="F57" i="7" s="1"/>
  <c r="H290" i="5"/>
  <c r="I290" i="5" s="1"/>
  <c r="F56" i="7" s="1"/>
  <c r="F169" i="5"/>
  <c r="G169" i="5" s="1"/>
  <c r="E44" i="7" s="1"/>
  <c r="F168" i="5"/>
  <c r="G168" i="5" s="1"/>
  <c r="E43" i="7" s="1"/>
  <c r="F165" i="5"/>
  <c r="G165" i="5" s="1"/>
  <c r="E40" i="7" s="1"/>
  <c r="H166" i="5"/>
  <c r="I166" i="5" s="1"/>
  <c r="F41" i="7" s="1"/>
  <c r="F166" i="5"/>
  <c r="G166" i="5" s="1"/>
  <c r="E41" i="7" s="1"/>
  <c r="D166" i="5"/>
  <c r="E166" i="5" s="1"/>
  <c r="D41" i="7" s="1"/>
  <c r="H169" i="5"/>
  <c r="I169" i="5" s="1"/>
  <c r="F44" i="7" s="1"/>
  <c r="H168" i="5"/>
  <c r="I168" i="5" s="1"/>
  <c r="F43" i="7" s="1"/>
  <c r="H167" i="5"/>
  <c r="I167" i="5" s="1"/>
  <c r="F42" i="7" s="1"/>
  <c r="F167" i="5"/>
  <c r="G167" i="5" s="1"/>
  <c r="E42" i="7" s="1"/>
  <c r="H165" i="5"/>
  <c r="I165" i="5" s="1"/>
  <c r="F40" i="7" s="1"/>
  <c r="F94" i="5"/>
  <c r="G94" i="5" s="1"/>
  <c r="E29" i="7" s="1"/>
  <c r="F93" i="5"/>
  <c r="G93" i="5" s="1"/>
  <c r="E28" i="7" s="1"/>
  <c r="F19" i="5"/>
  <c r="G19" i="5" s="1"/>
  <c r="E16" i="7" s="1"/>
  <c r="F18" i="5"/>
  <c r="G18" i="5" s="1"/>
  <c r="E15" i="7" s="1"/>
  <c r="F16" i="5"/>
  <c r="G16" i="5" s="1"/>
  <c r="E13" i="7" s="1"/>
  <c r="F15" i="5"/>
  <c r="G15" i="5" s="1"/>
  <c r="E12" i="7" s="1"/>
  <c r="F20" i="5"/>
  <c r="G20" i="5" s="1"/>
  <c r="E17" i="7" s="1"/>
  <c r="F17" i="5"/>
  <c r="G17" i="5" s="1"/>
  <c r="E14" i="7" s="1"/>
  <c r="E15" i="5"/>
  <c r="D12" i="7" s="1"/>
  <c r="C49" i="6"/>
  <c r="B2526" i="5" s="1"/>
  <c r="B47" i="6"/>
  <c r="C48" i="6"/>
  <c r="C43" i="6"/>
  <c r="B394" i="7" s="1"/>
  <c r="C42" i="6"/>
  <c r="B2192" i="5" s="1"/>
  <c r="C41" i="6"/>
  <c r="C40" i="6"/>
  <c r="B342" i="7" s="1"/>
  <c r="B39" i="6"/>
  <c r="C45" i="6"/>
  <c r="B2390" i="5" s="1"/>
  <c r="C44" i="6"/>
  <c r="C37" i="6"/>
  <c r="B337" i="7" s="1"/>
  <c r="B36" i="6"/>
  <c r="C34" i="6"/>
  <c r="B1927" i="5" s="1"/>
  <c r="C33" i="6"/>
  <c r="B1861" i="5"/>
  <c r="C32" i="6"/>
  <c r="B309" i="7" s="1"/>
  <c r="C31" i="6"/>
  <c r="B1720" i="5" s="1"/>
  <c r="C30" i="6"/>
  <c r="C29" i="6"/>
  <c r="B273" i="7" s="1"/>
  <c r="C28" i="6"/>
  <c r="B1501" i="5" s="1"/>
  <c r="C27" i="6"/>
  <c r="B1429" i="5" s="1"/>
  <c r="C26" i="6"/>
  <c r="B1357" i="5" s="1"/>
  <c r="C25" i="6"/>
  <c r="B1286" i="5" s="1"/>
  <c r="C24" i="6"/>
  <c r="B1216" i="5" s="1"/>
  <c r="C23" i="6"/>
  <c r="B1146" i="5" s="1"/>
  <c r="C22" i="6"/>
  <c r="B1072" i="5" s="1"/>
  <c r="C21" i="6"/>
  <c r="B1002" i="5" s="1"/>
  <c r="C20" i="6"/>
  <c r="C19" i="6"/>
  <c r="B852" i="5" s="1"/>
  <c r="C18" i="6"/>
  <c r="C17" i="6"/>
  <c r="B712" i="5" s="1"/>
  <c r="C16" i="6"/>
  <c r="B642" i="5" s="1"/>
  <c r="C15" i="6"/>
  <c r="C14" i="6"/>
  <c r="B501" i="5" s="1"/>
  <c r="C13" i="6"/>
  <c r="B430" i="5" s="1"/>
  <c r="C12" i="6"/>
  <c r="B66" i="7" s="1"/>
  <c r="C11" i="6"/>
  <c r="B52" i="7" s="1"/>
  <c r="C10" i="6"/>
  <c r="B36" i="7" s="1"/>
  <c r="C9" i="6"/>
  <c r="B24" i="7" s="1"/>
  <c r="C8" i="6"/>
  <c r="B10" i="5" s="1"/>
  <c r="B7" i="6"/>
  <c r="D4" i="6"/>
  <c r="B70" i="7"/>
  <c r="D69" i="7"/>
  <c r="D2474" i="5"/>
  <c r="E2474" i="5" s="1"/>
  <c r="D442" i="7" s="1"/>
  <c r="D379" i="5"/>
  <c r="E379" i="5" s="1"/>
  <c r="M77" i="7" s="1"/>
  <c r="D378" i="5"/>
  <c r="D377" i="5"/>
  <c r="E377" i="5" s="1"/>
  <c r="M75" i="7" s="1"/>
  <c r="D376" i="5"/>
  <c r="E376" i="5" s="1"/>
  <c r="M74" i="7" s="1"/>
  <c r="D375" i="5"/>
  <c r="E375" i="5" s="1"/>
  <c r="M73" i="7" s="1"/>
  <c r="D374" i="5"/>
  <c r="E374" i="5" s="1"/>
  <c r="M72" i="7" s="1"/>
  <c r="D373" i="5"/>
  <c r="E373" i="5" s="1"/>
  <c r="M71" i="7" s="1"/>
  <c r="D372" i="5"/>
  <c r="E372" i="5" s="1"/>
  <c r="M70" i="7" s="1"/>
  <c r="D371" i="5"/>
  <c r="E371" i="5" s="1"/>
  <c r="M69" i="7" s="1"/>
  <c r="D370" i="5"/>
  <c r="E370" i="5" s="1"/>
  <c r="M68" i="7" s="1"/>
  <c r="D369" i="5"/>
  <c r="E369" i="5" s="1"/>
  <c r="M67" i="7" s="1"/>
  <c r="D365" i="5"/>
  <c r="E365" i="5" s="1"/>
  <c r="D70" i="7" s="1"/>
  <c r="D301" i="5"/>
  <c r="E301" i="5" s="1"/>
  <c r="M56" i="7" s="1"/>
  <c r="D177" i="5"/>
  <c r="E177" i="5" s="1"/>
  <c r="M41" i="7" s="1"/>
  <c r="D101" i="5"/>
  <c r="E101" i="5" s="1"/>
  <c r="D29" i="5"/>
  <c r="E29" i="5" s="1"/>
  <c r="M14" i="7" s="1"/>
  <c r="D27" i="5"/>
  <c r="E27" i="5" s="1"/>
  <c r="M12" i="7" s="1"/>
  <c r="D28" i="5"/>
  <c r="E28" i="5" s="1"/>
  <c r="M13" i="7" s="1"/>
  <c r="B327" i="7"/>
  <c r="B326" i="7"/>
  <c r="B325" i="7"/>
  <c r="B324" i="7"/>
  <c r="B323" i="7"/>
  <c r="D1876" i="5"/>
  <c r="E1876" i="5" s="1"/>
  <c r="M322" i="7" s="1"/>
  <c r="D1875" i="5"/>
  <c r="E1875" i="5" s="1"/>
  <c r="M321" i="7" s="1"/>
  <c r="D1874" i="5"/>
  <c r="E1874" i="5" s="1"/>
  <c r="M320" i="7" s="1"/>
  <c r="B267" i="7"/>
  <c r="B266" i="7"/>
  <c r="B265" i="7"/>
  <c r="B264" i="7"/>
  <c r="D1523" i="5"/>
  <c r="D1522" i="5"/>
  <c r="E1522" i="5" s="1"/>
  <c r="M270" i="7" s="1"/>
  <c r="D1521" i="5"/>
  <c r="E1521" i="5" s="1"/>
  <c r="M269" i="7" s="1"/>
  <c r="D1520" i="5"/>
  <c r="E1520" i="5" s="1"/>
  <c r="M268" i="7" s="1"/>
  <c r="D1519" i="5"/>
  <c r="E1519" i="5" s="1"/>
  <c r="M267" i="7" s="1"/>
  <c r="D1518" i="5"/>
  <c r="E1518" i="5" s="1"/>
  <c r="M266" i="7" s="1"/>
  <c r="D1517" i="5"/>
  <c r="E1517" i="5" s="1"/>
  <c r="M265" i="7" s="1"/>
  <c r="D1516" i="5"/>
  <c r="E1516" i="5" s="1"/>
  <c r="M264" i="7" s="1"/>
  <c r="D1515" i="5"/>
  <c r="E1515" i="5" s="1"/>
  <c r="M263" i="7" s="1"/>
  <c r="D1514" i="5"/>
  <c r="E1514" i="5" s="1"/>
  <c r="M262" i="7" s="1"/>
  <c r="D1513" i="5"/>
  <c r="E1513" i="5" s="1"/>
  <c r="M261" i="7" s="1"/>
  <c r="B229" i="7"/>
  <c r="B228" i="7"/>
  <c r="B227" i="7"/>
  <c r="B216" i="7"/>
  <c r="B215" i="7"/>
  <c r="B204" i="7"/>
  <c r="B203" i="7"/>
  <c r="B239" i="7"/>
  <c r="D1306" i="5"/>
  <c r="D1305" i="5"/>
  <c r="E1305" i="5" s="1"/>
  <c r="M232" i="7" s="1"/>
  <c r="D1304" i="5"/>
  <c r="E1304" i="5" s="1"/>
  <c r="M231" i="7" s="1"/>
  <c r="D1303" i="5"/>
  <c r="E1303" i="5" s="1"/>
  <c r="M230" i="7" s="1"/>
  <c r="D1302" i="5"/>
  <c r="E1302" i="5" s="1"/>
  <c r="M229" i="7" s="1"/>
  <c r="D1301" i="5"/>
  <c r="E1301" i="5" s="1"/>
  <c r="M228" i="7" s="1"/>
  <c r="D1300" i="5"/>
  <c r="E1300" i="5" s="1"/>
  <c r="M227" i="7" s="1"/>
  <c r="D1299" i="5"/>
  <c r="E1299" i="5" s="1"/>
  <c r="M226" i="7" s="1"/>
  <c r="D1298" i="5"/>
  <c r="E1298" i="5" s="1"/>
  <c r="M225" i="7" s="1"/>
  <c r="D1297" i="5"/>
  <c r="E1297" i="5" s="1"/>
  <c r="M224" i="7" s="1"/>
  <c r="D1235" i="5"/>
  <c r="D1234" i="5"/>
  <c r="E1234" i="5" s="1"/>
  <c r="M220" i="7" s="1"/>
  <c r="D1233" i="5"/>
  <c r="E1233" i="5" s="1"/>
  <c r="M219" i="7" s="1"/>
  <c r="D1232" i="5"/>
  <c r="E1232" i="5" s="1"/>
  <c r="M218" i="7" s="1"/>
  <c r="D1231" i="5"/>
  <c r="E1231" i="5" s="1"/>
  <c r="M217" i="7" s="1"/>
  <c r="D1230" i="5"/>
  <c r="E1230" i="5" s="1"/>
  <c r="M216" i="7" s="1"/>
  <c r="D1229" i="5"/>
  <c r="E1229" i="5" s="1"/>
  <c r="M215" i="7" s="1"/>
  <c r="D1228" i="5"/>
  <c r="E1228" i="5" s="1"/>
  <c r="M214" i="7" s="1"/>
  <c r="D1227" i="5"/>
  <c r="E1227" i="5" s="1"/>
  <c r="M213" i="7" s="1"/>
  <c r="D1226" i="5"/>
  <c r="E1226" i="5" s="1"/>
  <c r="M212" i="7" s="1"/>
  <c r="D1165" i="5"/>
  <c r="D1164" i="5"/>
  <c r="E1164" i="5" s="1"/>
  <c r="M208" i="7" s="1"/>
  <c r="D1163" i="5"/>
  <c r="E1163" i="5" s="1"/>
  <c r="M207" i="7" s="1"/>
  <c r="D1162" i="5"/>
  <c r="E1162" i="5" s="1"/>
  <c r="M206" i="7" s="1"/>
  <c r="D1161" i="5"/>
  <c r="E1161" i="5" s="1"/>
  <c r="M205" i="7" s="1"/>
  <c r="D1160" i="5"/>
  <c r="E1160" i="5" s="1"/>
  <c r="M204" i="7" s="1"/>
  <c r="D1159" i="5"/>
  <c r="E1159" i="5" s="1"/>
  <c r="M203" i="7" s="1"/>
  <c r="D1158" i="5"/>
  <c r="E1158" i="5" s="1"/>
  <c r="M202" i="7" s="1"/>
  <c r="D1157" i="5"/>
  <c r="E1157" i="5" s="1"/>
  <c r="M201" i="7" s="1"/>
  <c r="D1156" i="5"/>
  <c r="E1156" i="5" s="1"/>
  <c r="M200" i="7" s="1"/>
  <c r="B180" i="7"/>
  <c r="B179" i="7"/>
  <c r="B144" i="7"/>
  <c r="B143" i="7"/>
  <c r="B132" i="7"/>
  <c r="B131" i="7"/>
  <c r="D1021" i="5"/>
  <c r="D1020" i="5"/>
  <c r="E1020" i="5" s="1"/>
  <c r="M184" i="7" s="1"/>
  <c r="D1019" i="5"/>
  <c r="E1019" i="5" s="1"/>
  <c r="M183" i="7" s="1"/>
  <c r="D1018" i="5"/>
  <c r="E1018" i="5" s="1"/>
  <c r="M182" i="7" s="1"/>
  <c r="D1017" i="5"/>
  <c r="E1017" i="5" s="1"/>
  <c r="M181" i="7" s="1"/>
  <c r="D1016" i="5"/>
  <c r="E1016" i="5" s="1"/>
  <c r="M180" i="7" s="1"/>
  <c r="D1015" i="5"/>
  <c r="E1015" i="5" s="1"/>
  <c r="M179" i="7" s="1"/>
  <c r="D1014" i="5"/>
  <c r="E1014" i="5" s="1"/>
  <c r="M178" i="7" s="1"/>
  <c r="D1013" i="5"/>
  <c r="E1013" i="5" s="1"/>
  <c r="M177" i="7" s="1"/>
  <c r="D1012" i="5"/>
  <c r="E1012" i="5" s="1"/>
  <c r="M176" i="7" s="1"/>
  <c r="D801" i="5"/>
  <c r="D800" i="5"/>
  <c r="E800" i="5" s="1"/>
  <c r="M148" i="7" s="1"/>
  <c r="D799" i="5"/>
  <c r="E799" i="5" s="1"/>
  <c r="M147" i="7" s="1"/>
  <c r="D798" i="5"/>
  <c r="E798" i="5" s="1"/>
  <c r="M146" i="7" s="1"/>
  <c r="D797" i="5"/>
  <c r="E797" i="5" s="1"/>
  <c r="M145" i="7" s="1"/>
  <c r="D796" i="5"/>
  <c r="E796" i="5" s="1"/>
  <c r="M144" i="7" s="1"/>
  <c r="D795" i="5"/>
  <c r="E795" i="5" s="1"/>
  <c r="M143" i="7" s="1"/>
  <c r="D794" i="5"/>
  <c r="E794" i="5" s="1"/>
  <c r="M142" i="7" s="1"/>
  <c r="D793" i="5"/>
  <c r="E793" i="5" s="1"/>
  <c r="M141" i="7" s="1"/>
  <c r="D792" i="5"/>
  <c r="E792" i="5" s="1"/>
  <c r="M140" i="7" s="1"/>
  <c r="D731" i="5"/>
  <c r="D730" i="5"/>
  <c r="E730" i="5" s="1"/>
  <c r="M136" i="7" s="1"/>
  <c r="D729" i="5"/>
  <c r="E729" i="5" s="1"/>
  <c r="M135" i="7" s="1"/>
  <c r="D728" i="5"/>
  <c r="E728" i="5" s="1"/>
  <c r="M134" i="7" s="1"/>
  <c r="D727" i="5"/>
  <c r="E727" i="5" s="1"/>
  <c r="M133" i="7" s="1"/>
  <c r="D726" i="5"/>
  <c r="E726" i="5" s="1"/>
  <c r="M132" i="7" s="1"/>
  <c r="D725" i="5"/>
  <c r="E725" i="5" s="1"/>
  <c r="M131" i="7" s="1"/>
  <c r="D724" i="5"/>
  <c r="E724" i="5" s="1"/>
  <c r="M130" i="7" s="1"/>
  <c r="D723" i="5"/>
  <c r="E723" i="5" s="1"/>
  <c r="M129" i="7" s="1"/>
  <c r="D722" i="5"/>
  <c r="E722" i="5" s="1"/>
  <c r="M128" i="7" s="1"/>
  <c r="J1726" i="5"/>
  <c r="K1726" i="5" s="1"/>
  <c r="G302" i="7" s="1"/>
  <c r="J1728" i="5"/>
  <c r="K1728" i="5" s="1"/>
  <c r="G304" i="7" s="1"/>
  <c r="J1729" i="5"/>
  <c r="K1729" i="5" s="1"/>
  <c r="G305" i="7" s="1"/>
  <c r="J1730" i="5"/>
  <c r="K1730" i="5" s="1"/>
  <c r="G306" i="7" s="1"/>
  <c r="J1731" i="5"/>
  <c r="K1731" i="5" s="1"/>
  <c r="G307" i="7" s="1"/>
  <c r="J1725" i="5"/>
  <c r="K1725" i="5" s="1"/>
  <c r="G301" i="7" s="1"/>
  <c r="J1652" i="5"/>
  <c r="K1652" i="5" s="1"/>
  <c r="G291" i="7" s="1"/>
  <c r="J1653" i="5"/>
  <c r="K1653" i="5" s="1"/>
  <c r="G292" i="7" s="1"/>
  <c r="J1654" i="5"/>
  <c r="K1654" i="5" s="1"/>
  <c r="G293" i="7" s="1"/>
  <c r="B120" i="7"/>
  <c r="B119" i="7"/>
  <c r="B108" i="7"/>
  <c r="B107" i="7"/>
  <c r="B97" i="7"/>
  <c r="B96" i="7"/>
  <c r="B95" i="7"/>
  <c r="B85" i="7"/>
  <c r="B84" i="7"/>
  <c r="B83" i="7"/>
  <c r="D591" i="5"/>
  <c r="D590" i="5"/>
  <c r="E590" i="5" s="1"/>
  <c r="M112" i="7" s="1"/>
  <c r="D589" i="5"/>
  <c r="E589" i="5" s="1"/>
  <c r="M111" i="7" s="1"/>
  <c r="D588" i="5"/>
  <c r="E588" i="5" s="1"/>
  <c r="M110" i="7" s="1"/>
  <c r="D587" i="5"/>
  <c r="E587" i="5" s="1"/>
  <c r="M109" i="7" s="1"/>
  <c r="D586" i="5"/>
  <c r="E586" i="5" s="1"/>
  <c r="M108" i="7" s="1"/>
  <c r="D585" i="5"/>
  <c r="E585" i="5" s="1"/>
  <c r="M107" i="7" s="1"/>
  <c r="D584" i="5"/>
  <c r="E584" i="5" s="1"/>
  <c r="M106" i="7" s="1"/>
  <c r="D583" i="5"/>
  <c r="E583" i="5" s="1"/>
  <c r="M105" i="7" s="1"/>
  <c r="D582" i="5"/>
  <c r="E582" i="5" s="1"/>
  <c r="M104" i="7" s="1"/>
  <c r="D521" i="5"/>
  <c r="D520" i="5"/>
  <c r="E520" i="5" s="1"/>
  <c r="M100" i="7" s="1"/>
  <c r="D519" i="5"/>
  <c r="E519" i="5" s="1"/>
  <c r="M99" i="7" s="1"/>
  <c r="D518" i="5"/>
  <c r="E518" i="5" s="1"/>
  <c r="M98" i="7" s="1"/>
  <c r="D517" i="5"/>
  <c r="E517" i="5" s="1"/>
  <c r="M97" i="7" s="1"/>
  <c r="D516" i="5"/>
  <c r="E516" i="5" s="1"/>
  <c r="M96" i="7" s="1"/>
  <c r="D515" i="5"/>
  <c r="E515" i="5" s="1"/>
  <c r="M95" i="7" s="1"/>
  <c r="D514" i="5"/>
  <c r="E514" i="5" s="1"/>
  <c r="M94" i="7" s="1"/>
  <c r="D513" i="5"/>
  <c r="E513" i="5" s="1"/>
  <c r="M93" i="7" s="1"/>
  <c r="D512" i="5"/>
  <c r="E512" i="5" s="1"/>
  <c r="M92" i="7" s="1"/>
  <c r="J1727" i="5"/>
  <c r="K1727" i="5" s="1"/>
  <c r="G303" i="7" s="1"/>
  <c r="J1651" i="5"/>
  <c r="K1651" i="5" s="1"/>
  <c r="G290" i="7" s="1"/>
  <c r="J1655" i="5"/>
  <c r="K1655" i="5" s="1"/>
  <c r="G294" i="7" s="1"/>
  <c r="J1656" i="5"/>
  <c r="K1656" i="5" s="1"/>
  <c r="G295" i="7" s="1"/>
  <c r="J1650" i="5"/>
  <c r="K1650" i="5" s="1"/>
  <c r="G289" i="7" s="1"/>
  <c r="D661" i="5"/>
  <c r="D660" i="5"/>
  <c r="E660" i="5" s="1"/>
  <c r="M124" i="7" s="1"/>
  <c r="D659" i="5"/>
  <c r="E659" i="5" s="1"/>
  <c r="M123" i="7" s="1"/>
  <c r="D658" i="5"/>
  <c r="E658" i="5" s="1"/>
  <c r="M122" i="7" s="1"/>
  <c r="D657" i="5"/>
  <c r="E657" i="5" s="1"/>
  <c r="M121" i="7" s="1"/>
  <c r="D656" i="5"/>
  <c r="E656" i="5" s="1"/>
  <c r="M120" i="7" s="1"/>
  <c r="D655" i="5"/>
  <c r="E655" i="5" s="1"/>
  <c r="M119" i="7" s="1"/>
  <c r="D654" i="5"/>
  <c r="E654" i="5" s="1"/>
  <c r="M118" i="7" s="1"/>
  <c r="D653" i="5"/>
  <c r="E653" i="5" s="1"/>
  <c r="M117" i="7" s="1"/>
  <c r="D652" i="5"/>
  <c r="E652" i="5" s="1"/>
  <c r="M116" i="7" s="1"/>
  <c r="D16" i="5"/>
  <c r="E16" i="5" s="1"/>
  <c r="D13" i="7" s="1"/>
  <c r="D17" i="5"/>
  <c r="E17" i="5" s="1"/>
  <c r="D14" i="7" s="1"/>
  <c r="D18" i="5"/>
  <c r="E18" i="5" s="1"/>
  <c r="D15" i="7" s="1"/>
  <c r="D19" i="5"/>
  <c r="E19" i="5" s="1"/>
  <c r="D16" i="7" s="1"/>
  <c r="D20" i="5"/>
  <c r="E20" i="5" s="1"/>
  <c r="D17" i="7" s="1"/>
  <c r="D24" i="5"/>
  <c r="E24" i="5" s="1"/>
  <c r="M9" i="7" s="1"/>
  <c r="D25" i="5"/>
  <c r="E25" i="5" s="1"/>
  <c r="M10" i="7" s="1"/>
  <c r="D26" i="5"/>
  <c r="E26" i="5" s="1"/>
  <c r="M11" i="7" s="1"/>
  <c r="D30" i="5"/>
  <c r="E30" i="5" s="1"/>
  <c r="M15" i="7" s="1"/>
  <c r="D31" i="5"/>
  <c r="E31" i="5" s="1"/>
  <c r="M16" i="7" s="1"/>
  <c r="D32" i="5"/>
  <c r="E32" i="5" s="1"/>
  <c r="M17" i="7" s="1"/>
  <c r="D33" i="5"/>
  <c r="E33" i="5" s="1"/>
  <c r="M18" i="7" s="1"/>
  <c r="D34" i="5"/>
  <c r="E34" i="5" s="1"/>
  <c r="M19" i="7" s="1"/>
  <c r="D35" i="5"/>
  <c r="E35" i="5" s="1"/>
  <c r="M20" i="7" s="1"/>
  <c r="D36" i="5"/>
  <c r="D37" i="5"/>
  <c r="E37" i="5" s="1"/>
  <c r="M22" i="7" s="1"/>
  <c r="D93" i="5"/>
  <c r="E93" i="5" s="1"/>
  <c r="D28" i="7" s="1"/>
  <c r="D94" i="5"/>
  <c r="E94" i="5" s="1"/>
  <c r="D29" i="7" s="1"/>
  <c r="D98" i="5"/>
  <c r="D99" i="5"/>
  <c r="E99" i="5" s="1"/>
  <c r="M26" i="7" s="1"/>
  <c r="D100" i="5"/>
  <c r="E100" i="5" s="1"/>
  <c r="M27" i="7" s="1"/>
  <c r="D102" i="5"/>
  <c r="E102" i="5" s="1"/>
  <c r="D103" i="5"/>
  <c r="E103" i="5" s="1"/>
  <c r="M28" i="7" s="1"/>
  <c r="D104" i="5"/>
  <c r="E104" i="5" s="1"/>
  <c r="M29" i="7" s="1"/>
  <c r="D105" i="5"/>
  <c r="E105" i="5" s="1"/>
  <c r="M30" i="7" s="1"/>
  <c r="D106" i="5"/>
  <c r="E106" i="5" s="1"/>
  <c r="M31" i="7" s="1"/>
  <c r="D107" i="5"/>
  <c r="E107" i="5" s="1"/>
  <c r="M32" i="7" s="1"/>
  <c r="D108" i="5"/>
  <c r="D109" i="5"/>
  <c r="E109" i="5" s="1"/>
  <c r="M34" i="7" s="1"/>
  <c r="D165" i="5"/>
  <c r="E165" i="5" s="1"/>
  <c r="D40" i="7" s="1"/>
  <c r="D167" i="5"/>
  <c r="E167" i="5" s="1"/>
  <c r="D42" i="7" s="1"/>
  <c r="D168" i="5"/>
  <c r="E168" i="5" s="1"/>
  <c r="D43" i="7" s="1"/>
  <c r="D169" i="5"/>
  <c r="E169" i="5" s="1"/>
  <c r="D44" i="7" s="1"/>
  <c r="D173" i="5"/>
  <c r="E173" i="5" s="1"/>
  <c r="M37" i="7" s="1"/>
  <c r="D174" i="5"/>
  <c r="E174" i="5" s="1"/>
  <c r="M38" i="7" s="1"/>
  <c r="D175" i="5"/>
  <c r="E175" i="5" s="1"/>
  <c r="M39" i="7" s="1"/>
  <c r="D176" i="5"/>
  <c r="E176" i="5" s="1"/>
  <c r="M40" i="7" s="1"/>
  <c r="D178" i="5"/>
  <c r="E178" i="5" s="1"/>
  <c r="M42" i="7" s="1"/>
  <c r="D179" i="5"/>
  <c r="E179" i="5" s="1"/>
  <c r="M43" i="7" s="1"/>
  <c r="D180" i="5"/>
  <c r="E180" i="5" s="1"/>
  <c r="M44" i="7" s="1"/>
  <c r="D181" i="5"/>
  <c r="E181" i="5" s="1"/>
  <c r="M45" i="7" s="1"/>
  <c r="D182" i="5"/>
  <c r="E182" i="5" s="1"/>
  <c r="M46" i="7" s="1"/>
  <c r="D183" i="5"/>
  <c r="E183" i="5" s="1"/>
  <c r="M47" i="7" s="1"/>
  <c r="D184" i="5"/>
  <c r="D185" i="5"/>
  <c r="E185" i="5" s="1"/>
  <c r="M49" i="7" s="1"/>
  <c r="D290" i="5"/>
  <c r="E290" i="5" s="1"/>
  <c r="D56" i="7" s="1"/>
  <c r="D291" i="5"/>
  <c r="E291" i="5" s="1"/>
  <c r="D57" i="7" s="1"/>
  <c r="D292" i="5"/>
  <c r="E292" i="5" s="1"/>
  <c r="D58" i="7" s="1"/>
  <c r="D293" i="5"/>
  <c r="E293" i="5" s="1"/>
  <c r="D59" i="7" s="1"/>
  <c r="D294" i="5"/>
  <c r="E294" i="5" s="1"/>
  <c r="D60" i="7" s="1"/>
  <c r="D298" i="5"/>
  <c r="E298" i="5" s="1"/>
  <c r="M53" i="7" s="1"/>
  <c r="D299" i="5"/>
  <c r="E299" i="5" s="1"/>
  <c r="M54" i="7" s="1"/>
  <c r="D300" i="5"/>
  <c r="E300" i="5" s="1"/>
  <c r="M55" i="7" s="1"/>
  <c r="D302" i="5"/>
  <c r="E302" i="5" s="1"/>
  <c r="M57" i="7" s="1"/>
  <c r="D303" i="5"/>
  <c r="E303" i="5" s="1"/>
  <c r="M58" i="7" s="1"/>
  <c r="D304" i="5"/>
  <c r="E304" i="5" s="1"/>
  <c r="M59" i="7" s="1"/>
  <c r="D305" i="5"/>
  <c r="E305" i="5" s="1"/>
  <c r="M60" i="7" s="1"/>
  <c r="D306" i="5"/>
  <c r="E306" i="5" s="1"/>
  <c r="M61" i="7" s="1"/>
  <c r="D307" i="5"/>
  <c r="E307" i="5" s="1"/>
  <c r="M62" i="7" s="1"/>
  <c r="D308" i="5"/>
  <c r="D309" i="5"/>
  <c r="E309" i="5" s="1"/>
  <c r="M64" i="7" s="1"/>
  <c r="D441" i="5"/>
  <c r="E441" i="5" s="1"/>
  <c r="M80" i="7" s="1"/>
  <c r="D442" i="5"/>
  <c r="E442" i="5" s="1"/>
  <c r="M81" i="7" s="1"/>
  <c r="D443" i="5"/>
  <c r="E443" i="5" s="1"/>
  <c r="M82" i="7" s="1"/>
  <c r="D444" i="5"/>
  <c r="E444" i="5" s="1"/>
  <c r="M83" i="7" s="1"/>
  <c r="D445" i="5"/>
  <c r="E445" i="5" s="1"/>
  <c r="M84" i="7" s="1"/>
  <c r="D446" i="5"/>
  <c r="E446" i="5" s="1"/>
  <c r="M85" i="7" s="1"/>
  <c r="D447" i="5"/>
  <c r="E447" i="5" s="1"/>
  <c r="M86" i="7" s="1"/>
  <c r="D448" i="5"/>
  <c r="D449" i="5"/>
  <c r="E449" i="5" s="1"/>
  <c r="M88" i="7" s="1"/>
  <c r="D450" i="5"/>
  <c r="D866" i="5"/>
  <c r="E866" i="5" s="1"/>
  <c r="M152" i="7" s="1"/>
  <c r="D867" i="5"/>
  <c r="E867" i="5" s="1"/>
  <c r="M153" i="7" s="1"/>
  <c r="D868" i="5"/>
  <c r="E868" i="5" s="1"/>
  <c r="M154" i="7" s="1"/>
  <c r="D869" i="5"/>
  <c r="E869" i="5" s="1"/>
  <c r="M155" i="7" s="1"/>
  <c r="D870" i="5"/>
  <c r="E870" i="5" s="1"/>
  <c r="M156" i="7" s="1"/>
  <c r="D871" i="5"/>
  <c r="D872" i="5"/>
  <c r="E872" i="5" s="1"/>
  <c r="M158" i="7" s="1"/>
  <c r="D873" i="5"/>
  <c r="E873" i="5" s="1"/>
  <c r="M159" i="7" s="1"/>
  <c r="D874" i="5"/>
  <c r="E874" i="5" s="1"/>
  <c r="M160" i="7" s="1"/>
  <c r="D875" i="5"/>
  <c r="E875" i="5" s="1"/>
  <c r="M161" i="7" s="1"/>
  <c r="D876" i="5"/>
  <c r="D941" i="5"/>
  <c r="D942" i="5"/>
  <c r="E942" i="5" s="1"/>
  <c r="M166" i="7" s="1"/>
  <c r="D943" i="5"/>
  <c r="E943" i="5" s="1"/>
  <c r="M167" i="7" s="1"/>
  <c r="D944" i="5"/>
  <c r="E944" i="5" s="1"/>
  <c r="M168" i="7" s="1"/>
  <c r="D945" i="5"/>
  <c r="E945" i="5" s="1"/>
  <c r="M169" i="7" s="1"/>
  <c r="D946" i="5"/>
  <c r="E946" i="5" s="1"/>
  <c r="D947" i="5"/>
  <c r="E947" i="5" s="1"/>
  <c r="M170" i="7" s="1"/>
  <c r="D948" i="5"/>
  <c r="E948" i="5" s="1"/>
  <c r="D949" i="5"/>
  <c r="E949" i="5" s="1"/>
  <c r="M171" i="7" s="1"/>
  <c r="D950" i="5"/>
  <c r="E950" i="5" s="1"/>
  <c r="M172" i="7" s="1"/>
  <c r="D951" i="5"/>
  <c r="D1085" i="5"/>
  <c r="E1085" i="5" s="1"/>
  <c r="M188" i="7" s="1"/>
  <c r="D1086" i="5"/>
  <c r="E1086" i="5" s="1"/>
  <c r="M189" i="7" s="1"/>
  <c r="D1087" i="5"/>
  <c r="E1087" i="5" s="1"/>
  <c r="M190" i="7" s="1"/>
  <c r="D1088" i="5"/>
  <c r="E1088" i="5" s="1"/>
  <c r="M191" i="7" s="1"/>
  <c r="D1089" i="5"/>
  <c r="E1089" i="5" s="1"/>
  <c r="D1090" i="5"/>
  <c r="E1090" i="5" s="1"/>
  <c r="M192" i="7" s="1"/>
  <c r="D1091" i="5"/>
  <c r="E1091" i="5" s="1"/>
  <c r="D1092" i="5"/>
  <c r="E1092" i="5" s="1"/>
  <c r="M194" i="7" s="1"/>
  <c r="D1093" i="5"/>
  <c r="E1093" i="5" s="1"/>
  <c r="M195" i="7" s="1"/>
  <c r="D1094" i="5"/>
  <c r="E1094" i="5" s="1"/>
  <c r="M196" i="7" s="1"/>
  <c r="D1095" i="5"/>
  <c r="D1368" i="5"/>
  <c r="E1368" i="5" s="1"/>
  <c r="M236" i="7" s="1"/>
  <c r="D1369" i="5"/>
  <c r="E1369" i="5" s="1"/>
  <c r="M237" i="7" s="1"/>
  <c r="D1370" i="5"/>
  <c r="E1370" i="5" s="1"/>
  <c r="M238" i="7" s="1"/>
  <c r="D1371" i="5"/>
  <c r="E1371" i="5" s="1"/>
  <c r="M239" i="7" s="1"/>
  <c r="D1372" i="5"/>
  <c r="E1372" i="5" s="1"/>
  <c r="M240" i="7" s="1"/>
  <c r="D1373" i="5"/>
  <c r="E1373" i="5" s="1"/>
  <c r="M241" i="7" s="1"/>
  <c r="D1374" i="5"/>
  <c r="E1374" i="5" s="1"/>
  <c r="M242" i="7" s="1"/>
  <c r="D1375" i="5"/>
  <c r="E1375" i="5" s="1"/>
  <c r="M243" i="7" s="1"/>
  <c r="D1376" i="5"/>
  <c r="E1376" i="5" s="1"/>
  <c r="M244" i="7" s="1"/>
  <c r="D1377" i="5"/>
  <c r="E1377" i="5" s="1"/>
  <c r="M245" i="7" s="1"/>
  <c r="D1378" i="5"/>
  <c r="D1440" i="5"/>
  <c r="E1440" i="5" s="1"/>
  <c r="M249" i="7" s="1"/>
  <c r="D1441" i="5"/>
  <c r="E1441" i="5" s="1"/>
  <c r="M250" i="7" s="1"/>
  <c r="D1442" i="5"/>
  <c r="E1442" i="5" s="1"/>
  <c r="M251" i="7" s="1"/>
  <c r="D1443" i="5"/>
  <c r="E1443" i="5" s="1"/>
  <c r="M252" i="7" s="1"/>
  <c r="D1444" i="5"/>
  <c r="E1444" i="5" s="1"/>
  <c r="D1445" i="5"/>
  <c r="E1445" i="5" s="1"/>
  <c r="M253" i="7" s="1"/>
  <c r="D1446" i="5"/>
  <c r="E1446" i="5" s="1"/>
  <c r="M254" i="7" s="1"/>
  <c r="D1447" i="5"/>
  <c r="E1447" i="5" s="1"/>
  <c r="M255" i="7" s="1"/>
  <c r="D1448" i="5"/>
  <c r="E1448" i="5" s="1"/>
  <c r="M256" i="7" s="1"/>
  <c r="D1449" i="5"/>
  <c r="E1449" i="5" s="1"/>
  <c r="M257" i="7" s="1"/>
  <c r="D1450" i="5"/>
  <c r="D1579" i="5"/>
  <c r="E1579" i="5" s="1"/>
  <c r="D277" i="7" s="1"/>
  <c r="D1580" i="5"/>
  <c r="E1580" i="5" s="1"/>
  <c r="D278" i="7" s="1"/>
  <c r="D1581" i="5"/>
  <c r="E1581" i="5" s="1"/>
  <c r="D279" i="7" s="1"/>
  <c r="D1585" i="5"/>
  <c r="E1585" i="5" s="1"/>
  <c r="M274" i="7" s="1"/>
  <c r="D1586" i="5"/>
  <c r="D1587" i="5"/>
  <c r="D1588" i="5"/>
  <c r="E1588" i="5" s="1"/>
  <c r="M277" i="7" s="1"/>
  <c r="D1589" i="5"/>
  <c r="E1589" i="5" s="1"/>
  <c r="M278" i="7" s="1"/>
  <c r="D1590" i="5"/>
  <c r="E1590" i="5" s="1"/>
  <c r="M279" i="7" s="1"/>
  <c r="D1591" i="5"/>
  <c r="E1591" i="5" s="1"/>
  <c r="M280" i="7" s="1"/>
  <c r="D1592" i="5"/>
  <c r="E1592" i="5" s="1"/>
  <c r="M281" i="7" s="1"/>
  <c r="D1593" i="5"/>
  <c r="D1594" i="5"/>
  <c r="E1594" i="5" s="1"/>
  <c r="M283" i="7" s="1"/>
  <c r="D1650" i="5"/>
  <c r="E1650" i="5" s="1"/>
  <c r="D289" i="7" s="1"/>
  <c r="D1651" i="5"/>
  <c r="E1651" i="5" s="1"/>
  <c r="D290" i="7" s="1"/>
  <c r="D1652" i="5"/>
  <c r="E1652" i="5" s="1"/>
  <c r="D291" i="7" s="1"/>
  <c r="D1653" i="5"/>
  <c r="E1653" i="5" s="1"/>
  <c r="D292" i="7" s="1"/>
  <c r="D1654" i="5"/>
  <c r="E1654" i="5" s="1"/>
  <c r="D293" i="7" s="1"/>
  <c r="D1655" i="5"/>
  <c r="E1655" i="5" s="1"/>
  <c r="D294" i="7" s="1"/>
  <c r="D1656" i="5"/>
  <c r="E1656" i="5" s="1"/>
  <c r="D295" i="7" s="1"/>
  <c r="D1660" i="5"/>
  <c r="E1660" i="5" s="1"/>
  <c r="M286" i="7" s="1"/>
  <c r="D1661" i="5"/>
  <c r="E1661" i="5" s="1"/>
  <c r="M287" i="7" s="1"/>
  <c r="D1662" i="5"/>
  <c r="E1662" i="5" s="1"/>
  <c r="M288" i="7" s="1"/>
  <c r="D1663" i="5"/>
  <c r="E1663" i="5" s="1"/>
  <c r="M289" i="7" s="1"/>
  <c r="D1664" i="5"/>
  <c r="E1664" i="5" s="1"/>
  <c r="M290" i="7" s="1"/>
  <c r="D1665" i="5"/>
  <c r="E1665" i="5" s="1"/>
  <c r="M291" i="7" s="1"/>
  <c r="D1666" i="5"/>
  <c r="E1666" i="5" s="1"/>
  <c r="M292" i="7" s="1"/>
  <c r="D1667" i="5"/>
  <c r="E1667" i="5" s="1"/>
  <c r="M293" i="7" s="1"/>
  <c r="D1668" i="5"/>
  <c r="D1669" i="5"/>
  <c r="E1669" i="5" s="1"/>
  <c r="M295" i="7" s="1"/>
  <c r="D1725" i="5"/>
  <c r="E1725" i="5" s="1"/>
  <c r="D301" i="7" s="1"/>
  <c r="D1726" i="5"/>
  <c r="E1726" i="5" s="1"/>
  <c r="D302" i="7" s="1"/>
  <c r="D1727" i="5"/>
  <c r="E1727" i="5" s="1"/>
  <c r="D303" i="7" s="1"/>
  <c r="D1728" i="5"/>
  <c r="E1728" i="5" s="1"/>
  <c r="D304" i="7" s="1"/>
  <c r="D1729" i="5"/>
  <c r="E1729" i="5" s="1"/>
  <c r="D305" i="7" s="1"/>
  <c r="D1730" i="5"/>
  <c r="E1730" i="5" s="1"/>
  <c r="D306" i="7" s="1"/>
  <c r="D1731" i="5"/>
  <c r="E1731" i="5" s="1"/>
  <c r="D307" i="7" s="1"/>
  <c r="D1735" i="5"/>
  <c r="E1735" i="5" s="1"/>
  <c r="M298" i="7" s="1"/>
  <c r="D1736" i="5"/>
  <c r="E1736" i="5" s="1"/>
  <c r="M299" i="7" s="1"/>
  <c r="D1737" i="5"/>
  <c r="E1737" i="5" s="1"/>
  <c r="M300" i="7" s="1"/>
  <c r="D1738" i="5"/>
  <c r="E1738" i="5" s="1"/>
  <c r="M301" i="7" s="1"/>
  <c r="D1739" i="5"/>
  <c r="E1739" i="5" s="1"/>
  <c r="M302" i="7" s="1"/>
  <c r="D1740" i="5"/>
  <c r="E1740" i="5" s="1"/>
  <c r="M303" i="7" s="1"/>
  <c r="D1741" i="5"/>
  <c r="E1741" i="5" s="1"/>
  <c r="M304" i="7" s="1"/>
  <c r="D1742" i="5"/>
  <c r="D1798" i="5"/>
  <c r="E1798" i="5" s="1"/>
  <c r="D313" i="7" s="1"/>
  <c r="D1799" i="5"/>
  <c r="E1799" i="5" s="1"/>
  <c r="D314" i="7" s="1"/>
  <c r="D1800" i="5"/>
  <c r="E1800" i="5" s="1"/>
  <c r="D315" i="7" s="1"/>
  <c r="D1801" i="5"/>
  <c r="E1801" i="5" s="1"/>
  <c r="D316" i="7" s="1"/>
  <c r="D1802" i="5"/>
  <c r="E1802" i="5" s="1"/>
  <c r="D317" i="7" s="1"/>
  <c r="D1806" i="5"/>
  <c r="E1806" i="5" s="1"/>
  <c r="M310" i="7" s="1"/>
  <c r="D1807" i="5"/>
  <c r="E1807" i="5" s="1"/>
  <c r="M311" i="7" s="1"/>
  <c r="D1808" i="5"/>
  <c r="E1808" i="5" s="1"/>
  <c r="M312" i="7" s="1"/>
  <c r="D1809" i="5"/>
  <c r="E1809" i="5" s="1"/>
  <c r="M313" i="7" s="1"/>
  <c r="D1810" i="5"/>
  <c r="E1810" i="5" s="1"/>
  <c r="M314" i="7" s="1"/>
  <c r="D1811" i="5"/>
  <c r="E1811" i="5" s="1"/>
  <c r="M315" i="7" s="1"/>
  <c r="D1932" i="5"/>
  <c r="E1932" i="5" s="1"/>
  <c r="D333" i="7" s="1"/>
  <c r="D1933" i="5"/>
  <c r="E1933" i="5" s="1"/>
  <c r="D334" i="7" s="1"/>
  <c r="D1937" i="5"/>
  <c r="E1937" i="5" s="1"/>
  <c r="M330" i="7" s="1"/>
  <c r="D1938" i="5"/>
  <c r="E1938" i="5" s="1"/>
  <c r="M331" i="7" s="1"/>
  <c r="D1939" i="5"/>
  <c r="E1939" i="5" s="1"/>
  <c r="M332" i="7" s="1"/>
  <c r="D1940" i="5"/>
  <c r="E1940" i="5" s="1"/>
  <c r="M333" i="7" s="1"/>
  <c r="D1941" i="5"/>
  <c r="E1941" i="5" s="1"/>
  <c r="M334" i="7" s="1"/>
  <c r="D1942" i="5"/>
  <c r="E1942" i="5" s="1"/>
  <c r="M335" i="7" s="1"/>
  <c r="D2001" i="5"/>
  <c r="E2001" i="5" s="1"/>
  <c r="M338" i="7" s="1"/>
  <c r="D2068" i="5"/>
  <c r="E2068" i="5" s="1"/>
  <c r="D355" i="7" s="1"/>
  <c r="D2069" i="5"/>
  <c r="E2069" i="5" s="1"/>
  <c r="D356" i="7" s="1"/>
  <c r="D2141" i="5"/>
  <c r="E2141" i="5" s="1"/>
  <c r="D376" i="7" s="1"/>
  <c r="D2209" i="5"/>
  <c r="E2209" i="5" s="1"/>
  <c r="D392" i="7" s="1"/>
  <c r="D2281" i="5"/>
  <c r="E2281" i="5" s="1"/>
  <c r="D412" i="7" s="1"/>
  <c r="D2410" i="5"/>
  <c r="E2410" i="5" s="1"/>
  <c r="M421" i="7" s="1"/>
  <c r="D2411" i="5"/>
  <c r="E2411" i="5" s="1"/>
  <c r="M422" i="7" s="1"/>
  <c r="D2412" i="5"/>
  <c r="E2412" i="5" s="1"/>
  <c r="M423" i="7" s="1"/>
  <c r="D2413" i="5"/>
  <c r="E2413" i="5" s="1"/>
  <c r="M424" i="7" s="1"/>
  <c r="D2414" i="5"/>
  <c r="E2414" i="5" s="1"/>
  <c r="M425" i="7" s="1"/>
  <c r="D2415" i="5"/>
  <c r="E2415" i="5" s="1"/>
  <c r="M426" i="7" s="1"/>
  <c r="D2416" i="5"/>
  <c r="E2416" i="5" s="1"/>
  <c r="M427" i="7" s="1"/>
  <c r="D2417" i="5"/>
  <c r="E2417" i="5" s="1"/>
  <c r="M428" i="7" s="1"/>
  <c r="D2471" i="5"/>
  <c r="E2471" i="5" s="1"/>
  <c r="D439" i="7" s="1"/>
  <c r="D2472" i="5"/>
  <c r="E2472" i="5" s="1"/>
  <c r="D440" i="7" s="1"/>
  <c r="D2473" i="5"/>
  <c r="E2473" i="5" s="1"/>
  <c r="D441" i="7" s="1"/>
  <c r="D2475" i="5"/>
  <c r="E2475" i="5" s="1"/>
  <c r="D443" i="7" s="1"/>
  <c r="D2529" i="5"/>
  <c r="E2529" i="5" s="1"/>
  <c r="D447" i="7" s="1"/>
  <c r="D2530" i="5"/>
  <c r="E2530" i="5" s="1"/>
  <c r="D448" i="7" s="1"/>
  <c r="D2531" i="5"/>
  <c r="E2531" i="5" s="1"/>
  <c r="D450" i="7" s="1"/>
  <c r="D2532" i="5"/>
  <c r="E2532" i="5" s="1"/>
  <c r="D452" i="7" s="1"/>
  <c r="L415" i="7"/>
  <c r="F2064" i="5"/>
  <c r="G2064" i="5" s="1"/>
  <c r="E353" i="7" s="1"/>
  <c r="D2064" i="5"/>
  <c r="E2064" i="5" s="1"/>
  <c r="D353" i="7" s="1"/>
  <c r="H1579" i="5"/>
  <c r="I1579" i="5" s="1"/>
  <c r="F277" i="7" s="1"/>
  <c r="H1580" i="5"/>
  <c r="I1580" i="5" s="1"/>
  <c r="F278" i="7" s="1"/>
  <c r="H1581" i="5"/>
  <c r="I1581" i="5" s="1"/>
  <c r="F279" i="7" s="1"/>
  <c r="F1580" i="5"/>
  <c r="G1580" i="5" s="1"/>
  <c r="E278" i="7" s="1"/>
  <c r="B254" i="7"/>
  <c r="B253" i="7"/>
  <c r="B252" i="7"/>
  <c r="B241" i="7"/>
  <c r="B240" i="7"/>
  <c r="B195" i="7"/>
  <c r="B194" i="7"/>
  <c r="B193" i="7"/>
  <c r="B192" i="7"/>
  <c r="B191" i="7"/>
  <c r="M193" i="7"/>
  <c r="F1579" i="5"/>
  <c r="G1579" i="5" s="1"/>
  <c r="E277" i="7" s="1"/>
  <c r="C1" i="5"/>
  <c r="E98" i="5"/>
  <c r="M25" i="7" s="1"/>
  <c r="H1731" i="5"/>
  <c r="I1731" i="5" s="1"/>
  <c r="F307" i="7" s="1"/>
  <c r="H1730" i="5"/>
  <c r="I1730" i="5" s="1"/>
  <c r="F306" i="7" s="1"/>
  <c r="H1729" i="5"/>
  <c r="I1729" i="5" s="1"/>
  <c r="F305" i="7" s="1"/>
  <c r="H1728" i="5"/>
  <c r="I1728" i="5" s="1"/>
  <c r="F304" i="7" s="1"/>
  <c r="H1727" i="5"/>
  <c r="I1727" i="5" s="1"/>
  <c r="F303" i="7" s="1"/>
  <c r="H1726" i="5"/>
  <c r="I1726" i="5" s="1"/>
  <c r="F302" i="7" s="1"/>
  <c r="H1725" i="5"/>
  <c r="I1725" i="5" s="1"/>
  <c r="F301" i="7" s="1"/>
  <c r="F1731" i="5"/>
  <c r="G1731" i="5" s="1"/>
  <c r="E307" i="7" s="1"/>
  <c r="F1730" i="5"/>
  <c r="G1730" i="5" s="1"/>
  <c r="E306" i="7" s="1"/>
  <c r="F1729" i="5"/>
  <c r="G1729" i="5" s="1"/>
  <c r="E305" i="7" s="1"/>
  <c r="F1728" i="5"/>
  <c r="G1728" i="5" s="1"/>
  <c r="E304" i="7" s="1"/>
  <c r="F1727" i="5"/>
  <c r="G1727" i="5" s="1"/>
  <c r="E303" i="7" s="1"/>
  <c r="F1726" i="5"/>
  <c r="G1726" i="5" s="1"/>
  <c r="E302" i="7" s="1"/>
  <c r="F1725" i="5"/>
  <c r="G1725" i="5" s="1"/>
  <c r="E301" i="7" s="1"/>
  <c r="H1656" i="5"/>
  <c r="I1656" i="5" s="1"/>
  <c r="F295" i="7" s="1"/>
  <c r="H1655" i="5"/>
  <c r="I1655" i="5" s="1"/>
  <c r="F294" i="7" s="1"/>
  <c r="H1654" i="5"/>
  <c r="I1654" i="5" s="1"/>
  <c r="F293" i="7" s="1"/>
  <c r="H1653" i="5"/>
  <c r="I1653" i="5" s="1"/>
  <c r="F292" i="7" s="1"/>
  <c r="H1652" i="5"/>
  <c r="I1652" i="5" s="1"/>
  <c r="F291" i="7" s="1"/>
  <c r="H1651" i="5"/>
  <c r="I1651" i="5" s="1"/>
  <c r="F290" i="7" s="1"/>
  <c r="H1650" i="5"/>
  <c r="I1650" i="5" s="1"/>
  <c r="F289" i="7" s="1"/>
  <c r="F1656" i="5"/>
  <c r="G1656" i="5" s="1"/>
  <c r="E295" i="7" s="1"/>
  <c r="F1655" i="5"/>
  <c r="G1655" i="5" s="1"/>
  <c r="E294" i="7" s="1"/>
  <c r="F1654" i="5"/>
  <c r="G1654" i="5" s="1"/>
  <c r="E293" i="7" s="1"/>
  <c r="F1653" i="5"/>
  <c r="G1653" i="5" s="1"/>
  <c r="E292" i="7" s="1"/>
  <c r="F1652" i="5"/>
  <c r="G1652" i="5" s="1"/>
  <c r="E291" i="7" s="1"/>
  <c r="F1651" i="5"/>
  <c r="G1651" i="5" s="1"/>
  <c r="E290" i="7" s="1"/>
  <c r="F1650" i="5"/>
  <c r="G1650" i="5" s="1"/>
  <c r="E289" i="7" s="1"/>
  <c r="B173" i="7"/>
  <c r="B172" i="7"/>
  <c r="B171" i="7"/>
  <c r="B170" i="7"/>
  <c r="B169" i="7"/>
  <c r="E871" i="5"/>
  <c r="M157" i="7" s="1"/>
  <c r="B160" i="7"/>
  <c r="B159" i="7"/>
  <c r="B158" i="7"/>
  <c r="E448" i="5"/>
  <c r="M87" i="7" s="1"/>
  <c r="L4" i="7"/>
  <c r="L3" i="7"/>
  <c r="L2" i="7"/>
  <c r="E941" i="5"/>
  <c r="M165" i="7" s="1"/>
  <c r="B307" i="7"/>
  <c r="B306" i="7"/>
  <c r="B305" i="7"/>
  <c r="B304" i="7"/>
  <c r="B303" i="7"/>
  <c r="B302" i="7"/>
  <c r="B295" i="7"/>
  <c r="B294" i="7"/>
  <c r="B293" i="7"/>
  <c r="B292" i="7"/>
  <c r="B291" i="7"/>
  <c r="B290" i="7"/>
  <c r="B157" i="7"/>
  <c r="B156" i="7"/>
  <c r="B155" i="7"/>
  <c r="B60" i="7"/>
  <c r="B59" i="7"/>
  <c r="B58" i="7"/>
  <c r="B334" i="7"/>
  <c r="B333" i="7"/>
  <c r="B317" i="7"/>
  <c r="B316" i="7"/>
  <c r="B315" i="7"/>
  <c r="B314" i="7"/>
  <c r="B313" i="7"/>
  <c r="B301" i="7"/>
  <c r="B289" i="7"/>
  <c r="B279" i="7"/>
  <c r="B278" i="7"/>
  <c r="B277" i="7"/>
  <c r="B168" i="7"/>
  <c r="B57" i="7"/>
  <c r="B56" i="7"/>
  <c r="B44" i="7"/>
  <c r="B43" i="7"/>
  <c r="B42" i="7"/>
  <c r="B41" i="7"/>
  <c r="B40" i="7"/>
  <c r="B29" i="7"/>
  <c r="B28" i="7"/>
  <c r="B17" i="7"/>
  <c r="B16" i="7"/>
  <c r="B15" i="7"/>
  <c r="B14" i="7"/>
  <c r="B13" i="7"/>
  <c r="B12" i="7"/>
  <c r="C69" i="7"/>
  <c r="B88" i="5"/>
  <c r="B782" i="5"/>
  <c r="B139" i="7" s="1"/>
  <c r="B1645" i="5"/>
  <c r="B285" i="7"/>
  <c r="B1793" i="5"/>
  <c r="B2332" i="5"/>
  <c r="B414" i="7" s="1"/>
  <c r="B445" i="7"/>
  <c r="B572" i="5"/>
  <c r="B103" i="7" s="1"/>
  <c r="B420" i="7"/>
  <c r="B2468" i="5"/>
  <c r="B437" i="7" s="1"/>
  <c r="J2198" i="5"/>
  <c r="K2198" i="5" s="1"/>
  <c r="G383" i="7" s="1"/>
  <c r="H2199" i="5"/>
  <c r="I2199" i="5" s="1"/>
  <c r="F384" i="7" s="1"/>
  <c r="J2196" i="5"/>
  <c r="K2196" i="5" s="1"/>
  <c r="G381" i="7" s="1"/>
  <c r="H2196" i="5"/>
  <c r="I2196" i="5" s="1"/>
  <c r="F381" i="7" s="1"/>
  <c r="J2131" i="5"/>
  <c r="K2131" i="5" s="1"/>
  <c r="G368" i="7" s="1"/>
  <c r="J2127" i="5"/>
  <c r="K2127" i="5" s="1"/>
  <c r="G364" i="7" s="1"/>
  <c r="J2126" i="5"/>
  <c r="K2126" i="5" s="1"/>
  <c r="G363" i="7" s="1"/>
  <c r="J2125" i="5"/>
  <c r="K2125" i="5" s="1"/>
  <c r="G362" i="7" s="1"/>
  <c r="H2059" i="5"/>
  <c r="I2059" i="5" s="1"/>
  <c r="F348" i="7" s="1"/>
  <c r="H2271" i="5"/>
  <c r="I2271" i="5" s="1"/>
  <c r="F404" i="7" s="1"/>
  <c r="J2132" i="5"/>
  <c r="K2132" i="5" s="1"/>
  <c r="G369" i="7" s="1"/>
  <c r="J2133" i="5"/>
  <c r="K2133" i="5" s="1"/>
  <c r="G370" i="7" s="1"/>
  <c r="H2131" i="5"/>
  <c r="I2131" i="5" s="1"/>
  <c r="F368" i="7" s="1"/>
  <c r="H2272" i="5"/>
  <c r="I2272" i="5" s="1"/>
  <c r="F405" i="7" s="1"/>
  <c r="H2273" i="5"/>
  <c r="I2273" i="5" s="1"/>
  <c r="F406" i="7" s="1"/>
  <c r="H2132" i="5"/>
  <c r="I2132" i="5" s="1"/>
  <c r="F369" i="7" s="1"/>
  <c r="H2133" i="5"/>
  <c r="I2133" i="5" s="1"/>
  <c r="F370" i="7" s="1"/>
  <c r="B2475" i="5"/>
  <c r="B443" i="7" s="1"/>
  <c r="F1865" i="5"/>
  <c r="E322" i="7" s="1"/>
  <c r="B714" i="5"/>
  <c r="B128" i="7" s="1"/>
  <c r="C1863" i="5"/>
  <c r="C320" i="7" s="1"/>
  <c r="B173" i="5"/>
  <c r="L37" i="7" s="1"/>
  <c r="B297" i="7"/>
  <c r="B2260" i="5"/>
  <c r="B285" i="5"/>
  <c r="B8" i="7"/>
  <c r="T642" i="5"/>
  <c r="B730" i="5"/>
  <c r="L136" i="7" s="1"/>
  <c r="F1995" i="5"/>
  <c r="E338" i="7" s="1"/>
  <c r="B2528" i="5"/>
  <c r="B446" i="7" s="1"/>
  <c r="E2052" i="5"/>
  <c r="F342" i="7" s="1"/>
  <c r="B784" i="5"/>
  <c r="B140" i="7" s="1"/>
  <c r="B160" i="5"/>
  <c r="B378" i="7"/>
  <c r="B22" i="5"/>
  <c r="B1156" i="5"/>
  <c r="L200" i="7" s="1"/>
  <c r="C1795" i="5"/>
  <c r="C310" i="7" s="1"/>
  <c r="L2262" i="5"/>
  <c r="H395" i="7" s="1"/>
  <c r="D91" i="5"/>
  <c r="D26" i="7" s="1"/>
  <c r="B797" i="5"/>
  <c r="L145" i="7" s="1"/>
  <c r="B1517" i="5"/>
  <c r="L265" i="7" s="1"/>
  <c r="B2266" i="5"/>
  <c r="B399" i="7" s="1"/>
  <c r="B1231" i="5"/>
  <c r="L217" i="7" s="1"/>
  <c r="B1440" i="5"/>
  <c r="L249" i="7" s="1"/>
  <c r="B1809" i="5"/>
  <c r="L313" i="7" s="1"/>
  <c r="H1288" i="5"/>
  <c r="F224" i="7" s="1"/>
  <c r="C1938" i="5"/>
  <c r="B1016" i="5"/>
  <c r="L180" i="7" s="1"/>
  <c r="B439" i="5"/>
  <c r="F930" i="5"/>
  <c r="E166" i="7" s="1"/>
  <c r="B2269" i="5"/>
  <c r="B402" i="7" s="1"/>
  <c r="B171" i="5"/>
  <c r="H432" i="5"/>
  <c r="F80" i="7" s="1"/>
  <c r="F1504" i="5"/>
  <c r="E262" i="7" s="1"/>
  <c r="E661" i="5"/>
  <c r="M125" i="7" s="1"/>
  <c r="J575" i="5"/>
  <c r="G105" i="7" s="1"/>
  <c r="B1378" i="5"/>
  <c r="L246" i="7" s="1"/>
  <c r="C1930" i="5"/>
  <c r="C331" i="7" s="1"/>
  <c r="E1742" i="5"/>
  <c r="M305" i="7" s="1"/>
  <c r="B2124" i="5"/>
  <c r="B361" i="7" s="1"/>
  <c r="N2055" i="5"/>
  <c r="I344" i="7" s="1"/>
  <c r="F1929" i="5"/>
  <c r="E330" i="7" s="1"/>
  <c r="B512" i="5"/>
  <c r="L92" i="7" s="1"/>
  <c r="L2393" i="5"/>
  <c r="H422" i="7" s="1"/>
  <c r="B731" i="5"/>
  <c r="L137" i="7" s="1"/>
  <c r="T2123" i="5"/>
  <c r="L360" i="7" s="1"/>
  <c r="F1219" i="5"/>
  <c r="E213" i="7" s="1"/>
  <c r="B1516" i="5"/>
  <c r="L264" i="7" s="1"/>
  <c r="L1503" i="5"/>
  <c r="H261" i="7" s="1"/>
  <c r="B515" i="5"/>
  <c r="L95" i="7" s="1"/>
  <c r="B1369" i="5"/>
  <c r="L237" i="7" s="1"/>
  <c r="B28" i="5"/>
  <c r="L13" i="7" s="1"/>
  <c r="C362" i="5"/>
  <c r="C67" i="7" s="1"/>
  <c r="B1438" i="5"/>
  <c r="D1219" i="5"/>
  <c r="D213" i="7" s="1"/>
  <c r="H504" i="5"/>
  <c r="F93" i="7" s="1"/>
  <c r="B1373" i="5"/>
  <c r="L241" i="7" s="1"/>
  <c r="B574" i="5"/>
  <c r="B104" i="7" s="1"/>
  <c r="B1594" i="5"/>
  <c r="L283" i="7" s="1"/>
  <c r="B1218" i="5"/>
  <c r="B212" i="7" s="1"/>
  <c r="C785" i="5"/>
  <c r="C141" i="7" s="1"/>
  <c r="B1359" i="5"/>
  <c r="B236" i="7" s="1"/>
  <c r="H1865" i="5"/>
  <c r="F322" i="7" s="1"/>
  <c r="H644" i="5"/>
  <c r="F116" i="7" s="1"/>
  <c r="B1722" i="5"/>
  <c r="B298" i="7" s="1"/>
  <c r="B2275" i="5"/>
  <c r="B408" i="7" s="1"/>
  <c r="B1224" i="5"/>
  <c r="Q8" i="5"/>
  <c r="B1093" i="5"/>
  <c r="L195" i="7" s="1"/>
  <c r="B519" i="5"/>
  <c r="L99" i="7" s="1"/>
  <c r="B796" i="5"/>
  <c r="L144" i="7" s="1"/>
  <c r="C13" i="5"/>
  <c r="C10" i="7" s="1"/>
  <c r="H1148" i="5"/>
  <c r="F200" i="7" s="1"/>
  <c r="D1360" i="5"/>
  <c r="D237" i="7" s="1"/>
  <c r="D856" i="5"/>
  <c r="D154" i="7" s="1"/>
  <c r="B32" i="5"/>
  <c r="L17" i="7" s="1"/>
  <c r="B2136" i="5"/>
  <c r="B373" i="7" s="1"/>
  <c r="E1306" i="5"/>
  <c r="M233" i="7" s="1"/>
  <c r="D1076" i="5"/>
  <c r="D190" i="7" s="1"/>
  <c r="L644" i="5"/>
  <c r="H116" i="7" s="1"/>
  <c r="F432" i="5"/>
  <c r="E80" i="7" s="1"/>
  <c r="L1864" i="5"/>
  <c r="H321" i="7" s="1"/>
  <c r="J929" i="5"/>
  <c r="G165" i="7" s="1"/>
  <c r="E2" i="5"/>
  <c r="B103" i="5"/>
  <c r="L28" i="7" s="1"/>
  <c r="B30" i="5"/>
  <c r="L15" i="7" s="1"/>
  <c r="D1005" i="5"/>
  <c r="D177" i="7" s="1"/>
  <c r="B1863" i="5"/>
  <c r="B320" i="7" s="1"/>
  <c r="B98" i="5"/>
  <c r="L25" i="7" s="1"/>
  <c r="L1004" i="5"/>
  <c r="H176" i="7" s="1"/>
  <c r="C1864" i="5"/>
  <c r="C321" i="7" s="1"/>
  <c r="B950" i="5"/>
  <c r="L172" i="7" s="1"/>
  <c r="V2195" i="5"/>
  <c r="M380" i="7" s="1"/>
  <c r="L645" i="5"/>
  <c r="H117" i="7" s="1"/>
  <c r="D1433" i="5"/>
  <c r="D251" i="7" s="1"/>
  <c r="B2127" i="5"/>
  <c r="B364" i="7" s="1"/>
  <c r="B1366" i="5"/>
  <c r="B2471" i="5"/>
  <c r="B439" i="7" s="1"/>
  <c r="T7" i="5"/>
  <c r="B2267" i="5"/>
  <c r="B400" i="7" s="1"/>
  <c r="C1504" i="5"/>
  <c r="C262" i="7" s="1"/>
  <c r="C2392" i="5"/>
  <c r="C421" i="7" s="1"/>
  <c r="P2055" i="5"/>
  <c r="J344" i="7" s="1"/>
  <c r="C1942" i="5"/>
  <c r="F434" i="5"/>
  <c r="E82" i="7" s="1"/>
  <c r="F1074" i="5"/>
  <c r="E188" i="7" s="1"/>
  <c r="B589" i="5"/>
  <c r="L111" i="7" s="1"/>
  <c r="B1522" i="5"/>
  <c r="L270" i="7" s="1"/>
  <c r="B108" i="5"/>
  <c r="L33" i="7" s="1"/>
  <c r="B1085" i="5"/>
  <c r="L188" i="7" s="1"/>
  <c r="D2195" i="5"/>
  <c r="D380" i="7" s="1"/>
  <c r="C1074" i="5"/>
  <c r="C188" i="7" s="1"/>
  <c r="B2400" i="5"/>
  <c r="B429" i="7" s="1"/>
  <c r="H2263" i="5"/>
  <c r="F396" i="7" s="1"/>
  <c r="C2194" i="5"/>
  <c r="C379" i="7" s="1"/>
  <c r="B375" i="5"/>
  <c r="L73" i="7" s="1"/>
  <c r="C930" i="5"/>
  <c r="C166" i="7" s="1"/>
  <c r="B90" i="5"/>
  <c r="B25" i="7" s="1"/>
  <c r="C1647" i="5"/>
  <c r="C286" i="7" s="1"/>
  <c r="D1150" i="5"/>
  <c r="D202" i="7" s="1"/>
  <c r="J784" i="5"/>
  <c r="G140" i="7" s="1"/>
  <c r="C504" i="5"/>
  <c r="C93" i="7" s="1"/>
  <c r="B1995" i="5"/>
  <c r="B338" i="7" s="1"/>
  <c r="B1431" i="5"/>
  <c r="B249" i="7" s="1"/>
  <c r="D1361" i="5"/>
  <c r="D238" i="7" s="1"/>
  <c r="C644" i="5"/>
  <c r="C116" i="7" s="1"/>
  <c r="H716" i="5"/>
  <c r="F130" i="7" s="1"/>
  <c r="B2408" i="5"/>
  <c r="J785" i="5"/>
  <c r="G141" i="7" s="1"/>
  <c r="F1360" i="5"/>
  <c r="E237" i="7" s="1"/>
  <c r="B927" i="5"/>
  <c r="T1002" i="5" s="1"/>
  <c r="B164" i="7"/>
  <c r="B1993" i="5"/>
  <c r="T2052" i="5" s="1"/>
  <c r="B874" i="5"/>
  <c r="L160" i="7" s="1"/>
  <c r="B1158" i="5"/>
  <c r="L202" i="7" s="1"/>
  <c r="B1942" i="5"/>
  <c r="U2" i="5"/>
  <c r="K2" i="7" s="1"/>
  <c r="B2398" i="5"/>
  <c r="B427" i="7" s="1"/>
  <c r="E731" i="5"/>
  <c r="M137" i="7" s="1"/>
  <c r="B176" i="5"/>
  <c r="L40" i="7" s="1"/>
  <c r="B1738" i="5"/>
  <c r="L301" i="7" s="1"/>
  <c r="B873" i="5"/>
  <c r="L159" i="7" s="1"/>
  <c r="B588" i="5"/>
  <c r="L110" i="7" s="1"/>
  <c r="F14" i="5"/>
  <c r="E11" i="7" s="1"/>
  <c r="B729" i="5"/>
  <c r="L135" i="7" s="1"/>
  <c r="E1" i="5"/>
  <c r="B2056" i="5"/>
  <c r="B345" i="7" s="1"/>
  <c r="D363" i="5"/>
  <c r="D68" i="7" s="1"/>
  <c r="B300" i="5"/>
  <c r="L55" i="7" s="1"/>
  <c r="B942" i="5"/>
  <c r="L166" i="7" s="1"/>
  <c r="H1649" i="5"/>
  <c r="F288" i="7" s="1"/>
  <c r="B287" i="5"/>
  <c r="B53" i="7" s="1"/>
  <c r="E1021" i="5"/>
  <c r="M185" i="7" s="1"/>
  <c r="L929" i="5"/>
  <c r="H165" i="7" s="1"/>
  <c r="C92" i="5"/>
  <c r="C27" i="7" s="1"/>
  <c r="B177" i="5"/>
  <c r="L41" i="7" s="1"/>
  <c r="B727" i="5"/>
  <c r="L133" i="7" s="1"/>
  <c r="C1149" i="5"/>
  <c r="C201" i="7" s="1"/>
  <c r="B2120" i="5"/>
  <c r="B358" i="7"/>
  <c r="B179" i="5"/>
  <c r="L43" i="7" s="1"/>
  <c r="H1219" i="5"/>
  <c r="F213" i="7" s="1"/>
  <c r="B1736" i="5"/>
  <c r="L299" i="7" s="1"/>
  <c r="H1930" i="5"/>
  <c r="F331" i="7" s="1"/>
  <c r="B723" i="5"/>
  <c r="L129" i="7" s="1"/>
  <c r="H1432" i="5"/>
  <c r="F250" i="7" s="1"/>
  <c r="B864" i="5"/>
  <c r="B449" i="5"/>
  <c r="L88" i="7" s="1"/>
  <c r="B360" i="5"/>
  <c r="S1927" i="5"/>
  <c r="F12" i="5"/>
  <c r="AD14" i="5" s="1"/>
  <c r="F90" i="5"/>
  <c r="AD92" i="5" s="1"/>
  <c r="B1443" i="5"/>
  <c r="L252" i="7" s="1"/>
  <c r="B1647" i="5"/>
  <c r="B286" i="7" s="1"/>
  <c r="B1376" i="5"/>
  <c r="L244" i="7" s="1"/>
  <c r="L1996" i="5"/>
  <c r="H339" i="7" s="1"/>
  <c r="B100" i="5"/>
  <c r="L27" i="7" s="1"/>
  <c r="H714" i="5"/>
  <c r="F128" i="7" s="1"/>
  <c r="L2335" i="5"/>
  <c r="H416" i="7" s="1"/>
  <c r="B929" i="5"/>
  <c r="B165" i="7" s="1"/>
  <c r="T2418" i="5"/>
  <c r="B1574" i="5"/>
  <c r="T360" i="5"/>
  <c r="B187" i="7"/>
  <c r="C1578" i="5"/>
  <c r="C276" i="7" s="1"/>
  <c r="B2130" i="5"/>
  <c r="B367" i="7" s="1"/>
  <c r="B1370" i="5"/>
  <c r="L238" i="7" s="1"/>
  <c r="W2124" i="5" l="1"/>
  <c r="M361" i="7" s="1"/>
  <c r="O2056" i="5"/>
  <c r="I345" i="7" s="1"/>
  <c r="L784" i="5"/>
  <c r="H140" i="7" s="1"/>
  <c r="F92" i="5"/>
  <c r="E27" i="7" s="1"/>
  <c r="D1006" i="5"/>
  <c r="D178" i="7" s="1"/>
  <c r="B2474" i="5"/>
  <c r="B442" i="7" s="1"/>
  <c r="V7" i="5"/>
  <c r="F1648" i="5"/>
  <c r="E287" i="7" s="1"/>
  <c r="L1433" i="5"/>
  <c r="H251" i="7" s="1"/>
  <c r="B2194" i="5"/>
  <c r="B379" i="7" s="1"/>
  <c r="B1004" i="5"/>
  <c r="B176" i="7" s="1"/>
  <c r="H433" i="5"/>
  <c r="F81" i="7" s="1"/>
  <c r="B1163" i="5"/>
  <c r="L207" i="7" s="1"/>
  <c r="B1092" i="5"/>
  <c r="L194" i="7" s="1"/>
  <c r="B1518" i="5"/>
  <c r="L266" i="7" s="1"/>
  <c r="B1164" i="5"/>
  <c r="L208" i="7" s="1"/>
  <c r="C1865" i="5"/>
  <c r="C322" i="7" s="1"/>
  <c r="C1433" i="5"/>
  <c r="C251" i="7" s="1"/>
  <c r="B656" i="5"/>
  <c r="L120" i="7" s="1"/>
  <c r="B299" i="5"/>
  <c r="L54" i="7" s="1"/>
  <c r="B1089" i="5"/>
  <c r="B447" i="5"/>
  <c r="L86" i="7" s="1"/>
  <c r="B1018" i="5"/>
  <c r="L182" i="7" s="1"/>
  <c r="D2528" i="5"/>
  <c r="D446" i="7" s="1"/>
  <c r="H931" i="5"/>
  <c r="F167" i="7" s="1"/>
  <c r="H2194" i="5"/>
  <c r="F379" i="7" s="1"/>
  <c r="H505" i="5"/>
  <c r="F94" i="7" s="1"/>
  <c r="B1514" i="5"/>
  <c r="L262" i="7" s="1"/>
  <c r="B1941" i="5"/>
  <c r="L334" i="7" s="1"/>
  <c r="B1511" i="5"/>
  <c r="B1157" i="5"/>
  <c r="L201" i="7" s="1"/>
  <c r="B2122" i="5"/>
  <c r="B359" i="7" s="1"/>
  <c r="B2529" i="5"/>
  <c r="B447" i="7" s="1"/>
  <c r="E1586" i="5"/>
  <c r="M275" i="7" s="1"/>
  <c r="B2061" i="5"/>
  <c r="B350" i="7" s="1"/>
  <c r="F1578" i="5"/>
  <c r="E276" i="7" s="1"/>
  <c r="B25" i="5"/>
  <c r="L10" i="7" s="1"/>
  <c r="C2262" i="5"/>
  <c r="C395" i="7" s="1"/>
  <c r="B1375" i="5"/>
  <c r="L243" i="7" s="1"/>
  <c r="B1447" i="5"/>
  <c r="L255" i="7" s="1"/>
  <c r="H856" i="5"/>
  <c r="F154" i="7" s="1"/>
  <c r="B514" i="5"/>
  <c r="L94" i="7" s="1"/>
  <c r="U5" i="5"/>
  <c r="K4" i="7" s="1"/>
  <c r="B1235" i="5"/>
  <c r="L221" i="7" s="1"/>
  <c r="J1864" i="5"/>
  <c r="G321" i="7" s="1"/>
  <c r="J1648" i="5"/>
  <c r="G287" i="7" s="1"/>
  <c r="B2125" i="5"/>
  <c r="B362" i="7" s="1"/>
  <c r="F7" i="5"/>
  <c r="B109" i="5"/>
  <c r="L34" i="7" s="1"/>
  <c r="B446" i="5"/>
  <c r="L85" i="7" s="1"/>
  <c r="F644" i="5"/>
  <c r="E116" i="7" s="1"/>
  <c r="H1648" i="5"/>
  <c r="F287" i="7" s="1"/>
  <c r="D576" i="5"/>
  <c r="D106" i="7" s="1"/>
  <c r="B174" i="5"/>
  <c r="L38" i="7" s="1"/>
  <c r="B1090" i="5"/>
  <c r="L192" i="7" s="1"/>
  <c r="C2413" i="5"/>
  <c r="L424" i="7" s="1"/>
  <c r="B1086" i="5"/>
  <c r="L189" i="7" s="1"/>
  <c r="H7" i="5"/>
  <c r="B31" i="5"/>
  <c r="L16" i="7" s="1"/>
  <c r="L433" i="5"/>
  <c r="H81" i="7" s="1"/>
  <c r="B2265" i="5"/>
  <c r="B398" i="7" s="1"/>
  <c r="C646" i="5"/>
  <c r="C118" i="7" s="1"/>
  <c r="P7" i="5"/>
  <c r="D1649" i="5"/>
  <c r="D288" i="7" s="1"/>
  <c r="H1863" i="5"/>
  <c r="F320" i="7" s="1"/>
  <c r="H1864" i="5"/>
  <c r="F321" i="7" s="1"/>
  <c r="B1441" i="5"/>
  <c r="L250" i="7" s="1"/>
  <c r="B1806" i="5"/>
  <c r="L310" i="7" s="1"/>
  <c r="J433" i="5"/>
  <c r="G81" i="7" s="1"/>
  <c r="B442" i="5"/>
  <c r="L81" i="7" s="1"/>
  <c r="B1576" i="5"/>
  <c r="B274" i="7" s="1"/>
  <c r="B582" i="5"/>
  <c r="L104" i="7" s="1"/>
  <c r="B305" i="5"/>
  <c r="L60" i="7" s="1"/>
  <c r="H1075" i="5"/>
  <c r="F189" i="7" s="1"/>
  <c r="B720" i="5"/>
  <c r="B1017" i="5"/>
  <c r="L181" i="7" s="1"/>
  <c r="F784" i="5"/>
  <c r="E140" i="7" s="1"/>
  <c r="B2339" i="5"/>
  <c r="K415" i="7" s="1"/>
  <c r="B302" i="5"/>
  <c r="L57" i="7" s="1"/>
  <c r="C929" i="5"/>
  <c r="C165" i="7" s="1"/>
  <c r="B37" i="5"/>
  <c r="L22" i="7" s="1"/>
  <c r="B1521" i="5"/>
  <c r="L269" i="7" s="1"/>
  <c r="L2123" i="5"/>
  <c r="H360" i="7" s="1"/>
  <c r="L2054" i="5"/>
  <c r="H343" i="7" s="1"/>
  <c r="B586" i="5"/>
  <c r="L108" i="7" s="1"/>
  <c r="J1865" i="5"/>
  <c r="G322" i="7" s="1"/>
  <c r="N2195" i="5"/>
  <c r="I380" i="7" s="1"/>
  <c r="B445" i="5"/>
  <c r="L84" i="7" s="1"/>
  <c r="E2134" i="5"/>
  <c r="D371" i="7" s="1"/>
  <c r="L1075" i="5"/>
  <c r="H189" i="7" s="1"/>
  <c r="D1431" i="5"/>
  <c r="D249" i="7" s="1"/>
  <c r="C2054" i="5"/>
  <c r="C343" i="7" s="1"/>
  <c r="E801" i="5"/>
  <c r="M149" i="7" s="1"/>
  <c r="D1864" i="5"/>
  <c r="D321" i="7" s="1"/>
  <c r="B1288" i="5"/>
  <c r="B224" i="7" s="1"/>
  <c r="B2264" i="5"/>
  <c r="B397" i="7" s="1"/>
  <c r="E378" i="5"/>
  <c r="M76" i="7" s="1"/>
  <c r="B1587" i="5"/>
  <c r="L276" i="7" s="1"/>
  <c r="D2393" i="5"/>
  <c r="D422" i="7" s="1"/>
  <c r="D715" i="5"/>
  <c r="D129" i="7" s="1"/>
  <c r="F1431" i="5"/>
  <c r="E249" i="7" s="1"/>
  <c r="T2194" i="5"/>
  <c r="L379" i="7" s="1"/>
  <c r="B583" i="5"/>
  <c r="L105" i="7" s="1"/>
  <c r="L1076" i="5"/>
  <c r="H190" i="7" s="1"/>
  <c r="B1589" i="5"/>
  <c r="L278" i="7" s="1"/>
  <c r="B2001" i="5"/>
  <c r="L338" i="7" s="1"/>
  <c r="C1995" i="5"/>
  <c r="C338" i="7" s="1"/>
  <c r="F785" i="5"/>
  <c r="E141" i="7" s="1"/>
  <c r="D2335" i="5"/>
  <c r="D416" i="7" s="1"/>
  <c r="T2263" i="5"/>
  <c r="L396" i="7" s="1"/>
  <c r="B948" i="5"/>
  <c r="B1583" i="5"/>
  <c r="B1302" i="5"/>
  <c r="L229" i="7" s="1"/>
  <c r="F714" i="5"/>
  <c r="E128" i="7" s="1"/>
  <c r="H1433" i="5"/>
  <c r="F251" i="7" s="1"/>
  <c r="U4" i="5"/>
  <c r="K3" i="7" s="1"/>
  <c r="B652" i="5"/>
  <c r="L116" i="7" s="1"/>
  <c r="B2403" i="5"/>
  <c r="B432" i="7" s="1"/>
  <c r="C1220" i="5"/>
  <c r="C214" i="7" s="1"/>
  <c r="F646" i="5"/>
  <c r="E118" i="7" s="1"/>
  <c r="D930" i="5"/>
  <c r="D166" i="7" s="1"/>
  <c r="B1668" i="5"/>
  <c r="L294" i="7" s="1"/>
  <c r="B104" i="5"/>
  <c r="L29" i="7" s="1"/>
  <c r="B2203" i="5"/>
  <c r="B388" i="7" s="1"/>
  <c r="B520" i="5"/>
  <c r="L100" i="7" s="1"/>
  <c r="B27" i="5"/>
  <c r="L12" i="7" s="1"/>
  <c r="H503" i="5"/>
  <c r="F92" i="7" s="1"/>
  <c r="B503" i="5"/>
  <c r="B92" i="7" s="1"/>
  <c r="C2055" i="5"/>
  <c r="C344" i="7" s="1"/>
  <c r="D1930" i="5"/>
  <c r="D331" i="7" s="1"/>
  <c r="B2473" i="5"/>
  <c r="B441" i="7" s="1"/>
  <c r="S8" i="5"/>
  <c r="B2131" i="5"/>
  <c r="B368" i="7" s="1"/>
  <c r="B1154" i="5"/>
  <c r="L786" i="5"/>
  <c r="H142" i="7" s="1"/>
  <c r="B653" i="5"/>
  <c r="L117" i="7" s="1"/>
  <c r="C854" i="5"/>
  <c r="C152" i="7" s="1"/>
  <c r="B1669" i="5"/>
  <c r="L295" i="7" s="1"/>
  <c r="B659" i="5"/>
  <c r="L123" i="7" s="1"/>
  <c r="J856" i="5"/>
  <c r="G154" i="7" s="1"/>
  <c r="B1523" i="5"/>
  <c r="L271" i="7" s="1"/>
  <c r="B1997" i="5"/>
  <c r="B340" i="7" s="1"/>
  <c r="C1996" i="5"/>
  <c r="C339" i="7" s="1"/>
  <c r="B101" i="5"/>
  <c r="F2055" i="5"/>
  <c r="E344" i="7" s="1"/>
  <c r="E1593" i="5"/>
  <c r="M282" i="7" s="1"/>
  <c r="H1006" i="5"/>
  <c r="F178" i="7" s="1"/>
  <c r="B8" i="5"/>
  <c r="B6" i="7" s="1"/>
  <c r="B794" i="5"/>
  <c r="L142" i="7" s="1"/>
  <c r="B1015" i="5"/>
  <c r="L179" i="7" s="1"/>
  <c r="L1218" i="5"/>
  <c r="H212" i="7" s="1"/>
  <c r="B2337" i="5"/>
  <c r="B418" i="7" s="1"/>
  <c r="B2129" i="5"/>
  <c r="B366" i="7" s="1"/>
  <c r="B871" i="5"/>
  <c r="L157" i="7" s="1"/>
  <c r="B2059" i="5"/>
  <c r="B348" i="7" s="1"/>
  <c r="F2392" i="5"/>
  <c r="E421" i="7" s="1"/>
  <c r="F1863" i="5"/>
  <c r="E320" i="7" s="1"/>
  <c r="B1014" i="5"/>
  <c r="L178" i="7" s="1"/>
  <c r="C645" i="5"/>
  <c r="C117" i="7" s="1"/>
  <c r="C1931" i="5"/>
  <c r="C332" i="7" s="1"/>
  <c r="B793" i="5"/>
  <c r="L141" i="7" s="1"/>
  <c r="F289" i="5"/>
  <c r="E55" i="7" s="1"/>
  <c r="H786" i="5"/>
  <c r="F142" i="7" s="1"/>
  <c r="D164" i="5"/>
  <c r="D39" i="7" s="1"/>
  <c r="L716" i="5"/>
  <c r="H130" i="7" s="1"/>
  <c r="B585" i="5"/>
  <c r="L107" i="7" s="1"/>
  <c r="B945" i="5"/>
  <c r="L169" i="7" s="1"/>
  <c r="H2123" i="5"/>
  <c r="F360" i="7" s="1"/>
  <c r="B2262" i="5"/>
  <c r="B395" i="7" s="1"/>
  <c r="C287" i="5"/>
  <c r="C53" i="7" s="1"/>
  <c r="F1433" i="5"/>
  <c r="E251" i="7" s="1"/>
  <c r="J715" i="5"/>
  <c r="G129" i="7" s="1"/>
  <c r="L1505" i="5"/>
  <c r="H263" i="7" s="1"/>
  <c r="C715" i="5"/>
  <c r="C129" i="7" s="1"/>
  <c r="J503" i="5"/>
  <c r="G92" i="7" s="1"/>
  <c r="C1796" i="5"/>
  <c r="C311" i="7" s="1"/>
  <c r="B1012" i="5"/>
  <c r="L176" i="7" s="1"/>
  <c r="H646" i="5"/>
  <c r="F118" i="7" s="1"/>
  <c r="B870" i="5"/>
  <c r="L156" i="7" s="1"/>
  <c r="D1647" i="5"/>
  <c r="D286" i="7" s="1"/>
  <c r="H855" i="5"/>
  <c r="F153" i="7" s="1"/>
  <c r="B1874" i="5"/>
  <c r="L320" i="7" s="1"/>
  <c r="C1432" i="5"/>
  <c r="C250" i="7" s="1"/>
  <c r="L1431" i="5"/>
  <c r="H249" i="7" s="1"/>
  <c r="D786" i="5"/>
  <c r="D142" i="7" s="1"/>
  <c r="B443" i="5"/>
  <c r="L82" i="7" s="1"/>
  <c r="L2263" i="5"/>
  <c r="H396" i="7" s="1"/>
  <c r="B2202" i="5"/>
  <c r="B387" i="7" s="1"/>
  <c r="B2530" i="5"/>
  <c r="B448" i="7" s="1"/>
  <c r="D855" i="5"/>
  <c r="D153" i="7" s="1"/>
  <c r="C1577" i="5"/>
  <c r="C275" i="7" s="1"/>
  <c r="B867" i="5"/>
  <c r="L153" i="7" s="1"/>
  <c r="B2141" i="5"/>
  <c r="C376" i="7" s="1"/>
  <c r="B306" i="5"/>
  <c r="L61" i="7" s="1"/>
  <c r="B26" i="5"/>
  <c r="L11" i="7" s="1"/>
  <c r="J1995" i="5"/>
  <c r="G338" i="7" s="1"/>
  <c r="L1361" i="5"/>
  <c r="H238" i="7" s="1"/>
  <c r="E951" i="5"/>
  <c r="M173" i="7" s="1"/>
  <c r="F1220" i="5"/>
  <c r="E214" i="7" s="1"/>
  <c r="B661" i="5"/>
  <c r="L125" i="7" s="1"/>
  <c r="H1929" i="5"/>
  <c r="F330" i="7" s="1"/>
  <c r="H162" i="5"/>
  <c r="D1723" i="5"/>
  <c r="D299" i="7" s="1"/>
  <c r="H1503" i="5"/>
  <c r="F261" i="7" s="1"/>
  <c r="D434" i="5"/>
  <c r="D82" i="7" s="1"/>
  <c r="C786" i="5"/>
  <c r="C142" i="7" s="1"/>
  <c r="E2120" i="5"/>
  <c r="F358" i="7" s="1"/>
  <c r="E450" i="5"/>
  <c r="M89" i="7" s="1"/>
  <c r="J1503" i="5"/>
  <c r="G261" i="7" s="1"/>
  <c r="D1290" i="5"/>
  <c r="D226" i="7" s="1"/>
  <c r="B1660" i="5"/>
  <c r="L286" i="7" s="1"/>
  <c r="C1359" i="5"/>
  <c r="C236" i="7" s="1"/>
  <c r="D716" i="5"/>
  <c r="D130" i="7" s="1"/>
  <c r="F503" i="5"/>
  <c r="E92" i="7" s="1"/>
  <c r="B2201" i="5"/>
  <c r="B386" i="7" s="1"/>
  <c r="D1795" i="5"/>
  <c r="D310" i="7" s="1"/>
  <c r="J1004" i="5"/>
  <c r="G176" i="7" s="1"/>
  <c r="B309" i="5"/>
  <c r="L64" i="7" s="1"/>
  <c r="B304" i="5"/>
  <c r="L59" i="7" s="1"/>
  <c r="B1661" i="5"/>
  <c r="L287" i="7" s="1"/>
  <c r="R2055" i="5"/>
  <c r="K344" i="7" s="1"/>
  <c r="E2260" i="5"/>
  <c r="F394" i="7" s="1"/>
  <c r="E1095" i="5"/>
  <c r="M197" i="7" s="1"/>
  <c r="B1940" i="5"/>
  <c r="L333" i="7" s="1"/>
  <c r="F1505" i="5"/>
  <c r="E263" i="7" s="1"/>
  <c r="B1091" i="5"/>
  <c r="L193" i="7" s="1"/>
  <c r="H2262" i="5"/>
  <c r="F395" i="7" s="1"/>
  <c r="B2058" i="5"/>
  <c r="B347" i="7" s="1"/>
  <c r="C856" i="5"/>
  <c r="C154" i="7" s="1"/>
  <c r="J1996" i="5"/>
  <c r="G339" i="7" s="1"/>
  <c r="B1088" i="5"/>
  <c r="L191" i="7" s="1"/>
  <c r="L1005" i="5"/>
  <c r="H177" i="7" s="1"/>
  <c r="B2204" i="5"/>
  <c r="B389" i="7" s="1"/>
  <c r="F1503" i="5"/>
  <c r="E261" i="7" s="1"/>
  <c r="H1931" i="5"/>
  <c r="F332" i="7" s="1"/>
  <c r="B650" i="5"/>
  <c r="B2137" i="5"/>
  <c r="B374" i="7" s="1"/>
  <c r="F2334" i="5"/>
  <c r="E415" i="7" s="1"/>
  <c r="T732" i="5"/>
  <c r="D2470" i="5"/>
  <c r="D438" i="7" s="1"/>
  <c r="B2199" i="5"/>
  <c r="B384" i="7" s="1"/>
  <c r="J1649" i="5"/>
  <c r="G288" i="7" s="1"/>
  <c r="B1298" i="5"/>
  <c r="L225" i="7" s="1"/>
  <c r="H1361" i="5"/>
  <c r="F238" i="7" s="1"/>
  <c r="B724" i="5"/>
  <c r="L130" i="7" s="1"/>
  <c r="D287" i="5"/>
  <c r="B854" i="5"/>
  <c r="B152" i="7" s="1"/>
  <c r="L2122" i="5"/>
  <c r="H359" i="7" s="1"/>
  <c r="B655" i="5"/>
  <c r="L119" i="7" s="1"/>
  <c r="K8" i="5"/>
  <c r="H2392" i="5"/>
  <c r="F421" i="7" s="1"/>
  <c r="B2271" i="5"/>
  <c r="B404" i="7" s="1"/>
  <c r="J2334" i="5"/>
  <c r="G415" i="7" s="1"/>
  <c r="D1149" i="5"/>
  <c r="D201" i="7" s="1"/>
  <c r="H1722" i="5"/>
  <c r="F298" i="7" s="1"/>
  <c r="T1524" i="5"/>
  <c r="T2055" i="5"/>
  <c r="L344" i="7" s="1"/>
  <c r="L574" i="5"/>
  <c r="H104" i="7" s="1"/>
  <c r="B2397" i="5"/>
  <c r="B426" i="7" s="1"/>
  <c r="E1523" i="5"/>
  <c r="M271" i="7" s="1"/>
  <c r="P2123" i="5"/>
  <c r="J360" i="7" s="1"/>
  <c r="S1861" i="5"/>
  <c r="J1149" i="5"/>
  <c r="G201" i="7" s="1"/>
  <c r="R2195" i="5"/>
  <c r="K380" i="7" s="1"/>
  <c r="D7" i="5"/>
  <c r="C1722" i="5"/>
  <c r="C298" i="7" s="1"/>
  <c r="C162" i="5"/>
  <c r="C37" i="7" s="1"/>
  <c r="T310" i="5"/>
  <c r="H164" i="5"/>
  <c r="F39" i="7" s="1"/>
  <c r="D1797" i="5"/>
  <c r="D312" i="7" s="1"/>
  <c r="J1647" i="5"/>
  <c r="G286" i="7" s="1"/>
  <c r="B2399" i="5"/>
  <c r="B428" i="7" s="1"/>
  <c r="B801" i="5"/>
  <c r="L149" i="7" s="1"/>
  <c r="L1289" i="5"/>
  <c r="H225" i="7" s="1"/>
  <c r="B866" i="5"/>
  <c r="L152" i="7" s="1"/>
  <c r="C2393" i="5"/>
  <c r="C422" i="7" s="1"/>
  <c r="T2192" i="5"/>
  <c r="B178" i="5"/>
  <c r="L42" i="7" s="1"/>
  <c r="D1722" i="5"/>
  <c r="D298" i="7" s="1"/>
  <c r="B1807" i="5"/>
  <c r="L311" i="7" s="1"/>
  <c r="B106" i="5"/>
  <c r="L31" i="7" s="1"/>
  <c r="B1795" i="5"/>
  <c r="B310" i="7" s="1"/>
  <c r="L930" i="5"/>
  <c r="H166" i="7" s="1"/>
  <c r="D645" i="5"/>
  <c r="D117" i="7" s="1"/>
  <c r="B2198" i="5"/>
  <c r="B383" i="7" s="1"/>
  <c r="H2055" i="5"/>
  <c r="F344" i="7" s="1"/>
  <c r="B1667" i="5"/>
  <c r="L293" i="7" s="1"/>
  <c r="B875" i="5"/>
  <c r="L161" i="7" s="1"/>
  <c r="B1520" i="5"/>
  <c r="L268" i="7" s="1"/>
  <c r="D1577" i="5"/>
  <c r="D275" i="7" s="1"/>
  <c r="L1220" i="5"/>
  <c r="H214" i="7" s="1"/>
  <c r="B441" i="5"/>
  <c r="L80" i="7" s="1"/>
  <c r="H715" i="5"/>
  <c r="F129" i="7" s="1"/>
  <c r="F1218" i="5"/>
  <c r="E212" i="7" s="1"/>
  <c r="J1722" i="5"/>
  <c r="G298" i="7" s="1"/>
  <c r="J1289" i="5"/>
  <c r="G225" i="7" s="1"/>
  <c r="D1578" i="5"/>
  <c r="D276" i="7" s="1"/>
  <c r="J931" i="5"/>
  <c r="G167" i="7" s="1"/>
  <c r="B1087" i="5"/>
  <c r="L190" i="7" s="1"/>
  <c r="J716" i="5"/>
  <c r="G130" i="7" s="1"/>
  <c r="L1504" i="5"/>
  <c r="H262" i="7" s="1"/>
  <c r="B1658" i="5"/>
  <c r="D433" i="5"/>
  <c r="D81" i="7" s="1"/>
  <c r="B362" i="5"/>
  <c r="B67" i="7" s="1"/>
  <c r="H434" i="5"/>
  <c r="F82" i="7" s="1"/>
  <c r="F1004" i="5"/>
  <c r="E176" i="7" s="1"/>
  <c r="B34" i="5"/>
  <c r="L19" i="7" s="1"/>
  <c r="C1004" i="5"/>
  <c r="C176" i="7" s="1"/>
  <c r="B432" i="5"/>
  <c r="B80" i="7" s="1"/>
  <c r="L1149" i="5"/>
  <c r="H201" i="7" s="1"/>
  <c r="B377" i="5"/>
  <c r="L75" i="7" s="1"/>
  <c r="B1665" i="5"/>
  <c r="L291" i="7" s="1"/>
  <c r="H2054" i="5"/>
  <c r="F343" i="7" s="1"/>
  <c r="B951" i="5"/>
  <c r="L173" i="7" s="1"/>
  <c r="B1739" i="5"/>
  <c r="L302" i="7" s="1"/>
  <c r="D1865" i="5"/>
  <c r="D322" i="7" s="1"/>
  <c r="B1230" i="5"/>
  <c r="L216" i="7" s="1"/>
  <c r="C14" i="5"/>
  <c r="C11" i="7" s="1"/>
  <c r="L503" i="5"/>
  <c r="H92" i="7" s="1"/>
  <c r="B1593" i="5"/>
  <c r="L282" i="7" s="1"/>
  <c r="H1004" i="5"/>
  <c r="F176" i="7" s="1"/>
  <c r="F929" i="5"/>
  <c r="E165" i="7" s="1"/>
  <c r="L1360" i="5"/>
  <c r="H237" i="7" s="1"/>
  <c r="B1083" i="5"/>
  <c r="B939" i="5"/>
  <c r="F645" i="5"/>
  <c r="E117" i="7" s="1"/>
  <c r="C2414" i="5"/>
  <c r="L425" i="7" s="1"/>
  <c r="B872" i="5"/>
  <c r="L158" i="7" s="1"/>
  <c r="W8" i="5"/>
  <c r="F1996" i="5"/>
  <c r="E339" i="7" s="1"/>
  <c r="J854" i="5"/>
  <c r="G152" i="7" s="1"/>
  <c r="C2417" i="5"/>
  <c r="L428" i="7" s="1"/>
  <c r="U1595" i="5"/>
  <c r="H785" i="5"/>
  <c r="F141" i="7" s="1"/>
  <c r="B1020" i="5"/>
  <c r="L184" i="7" s="1"/>
  <c r="B181" i="5"/>
  <c r="L45" i="7" s="1"/>
  <c r="H1996" i="5"/>
  <c r="F339" i="7" s="1"/>
  <c r="F164" i="5"/>
  <c r="E39" i="7" s="1"/>
  <c r="B1303" i="5"/>
  <c r="L230" i="7" s="1"/>
  <c r="T852" i="5"/>
  <c r="B590" i="5"/>
  <c r="L112" i="7" s="1"/>
  <c r="B2060" i="5"/>
  <c r="B349" i="7" s="1"/>
  <c r="D1075" i="5"/>
  <c r="D189" i="7" s="1"/>
  <c r="B33" i="5"/>
  <c r="L18" i="7" s="1"/>
  <c r="E591" i="5"/>
  <c r="M113" i="7" s="1"/>
  <c r="O8" i="5"/>
  <c r="C1361" i="5"/>
  <c r="C238" i="7" s="1"/>
  <c r="D163" i="5"/>
  <c r="D38" i="7" s="1"/>
  <c r="C1006" i="5"/>
  <c r="C178" i="7" s="1"/>
  <c r="C2412" i="5"/>
  <c r="L423" i="7" s="1"/>
  <c r="L1288" i="5"/>
  <c r="H224" i="7" s="1"/>
  <c r="F1722" i="5"/>
  <c r="E298" i="7" s="1"/>
  <c r="D1289" i="5"/>
  <c r="D225" i="7" s="1"/>
  <c r="B2133" i="5"/>
  <c r="B370" i="7" s="1"/>
  <c r="C1723" i="5"/>
  <c r="C299" i="7" s="1"/>
  <c r="B2401" i="5"/>
  <c r="B430" i="7" s="1"/>
  <c r="J1504" i="5"/>
  <c r="G262" i="7" s="1"/>
  <c r="N2123" i="5"/>
  <c r="I360" i="7" s="1"/>
  <c r="J1075" i="5"/>
  <c r="G189" i="7" s="1"/>
  <c r="D362" i="5"/>
  <c r="D67" i="7" s="1"/>
  <c r="B1305" i="5"/>
  <c r="L232" i="7" s="1"/>
  <c r="B1935" i="5"/>
  <c r="J434" i="5"/>
  <c r="G82" i="7" s="1"/>
  <c r="H929" i="5"/>
  <c r="F165" i="7" s="1"/>
  <c r="B1010" i="5"/>
  <c r="E2192" i="5"/>
  <c r="F378" i="7" s="1"/>
  <c r="L715" i="5"/>
  <c r="H129" i="7" s="1"/>
  <c r="F1075" i="5"/>
  <c r="E189" i="7" s="1"/>
  <c r="H1289" i="5"/>
  <c r="F225" i="7" s="1"/>
  <c r="H2334" i="5"/>
  <c r="F415" i="7" s="1"/>
  <c r="B2270" i="5"/>
  <c r="B403" i="7" s="1"/>
  <c r="D2055" i="5"/>
  <c r="D344" i="7" s="1"/>
  <c r="L1359" i="5"/>
  <c r="H236" i="7" s="1"/>
  <c r="C1360" i="5"/>
  <c r="C237" i="7" s="1"/>
  <c r="B2068" i="5"/>
  <c r="C355" i="7" s="1"/>
  <c r="C1075" i="5"/>
  <c r="C189" i="7" s="1"/>
  <c r="B2277" i="5"/>
  <c r="B410" i="7" s="1"/>
  <c r="B1588" i="5"/>
  <c r="L277" i="7" s="1"/>
  <c r="B726" i="5"/>
  <c r="L132" i="7" s="1"/>
  <c r="J574" i="5"/>
  <c r="G104" i="7" s="1"/>
  <c r="B1377" i="5"/>
  <c r="L245" i="7" s="1"/>
  <c r="J1148" i="5"/>
  <c r="G200" i="7" s="1"/>
  <c r="L854" i="5"/>
  <c r="H152" i="7" s="1"/>
  <c r="B798" i="5"/>
  <c r="L146" i="7" s="1"/>
  <c r="L504" i="5"/>
  <c r="H93" i="7" s="1"/>
  <c r="F575" i="5"/>
  <c r="E105" i="7" s="1"/>
  <c r="H1149" i="5"/>
  <c r="F201" i="7" s="1"/>
  <c r="D2263" i="5"/>
  <c r="D396" i="7" s="1"/>
  <c r="B1306" i="5"/>
  <c r="L233" i="7" s="1"/>
  <c r="F786" i="5"/>
  <c r="E142" i="7" s="1"/>
  <c r="F287" i="5"/>
  <c r="AD289" i="5" s="1"/>
  <c r="F1006" i="5"/>
  <c r="E178" i="7" s="1"/>
  <c r="D785" i="5"/>
  <c r="D141" i="7" s="1"/>
  <c r="F1864" i="5"/>
  <c r="E321" i="7" s="1"/>
  <c r="H930" i="5"/>
  <c r="F166" i="7" s="1"/>
  <c r="J1432" i="5"/>
  <c r="G250" i="7" s="1"/>
  <c r="B876" i="5"/>
  <c r="L162" i="7" s="1"/>
  <c r="B1811" i="5"/>
  <c r="L315" i="7" s="1"/>
  <c r="C784" i="5"/>
  <c r="C140" i="7" s="1"/>
  <c r="D1505" i="5"/>
  <c r="D263" i="7" s="1"/>
  <c r="P2054" i="5"/>
  <c r="J343" i="7" s="1"/>
  <c r="B943" i="5"/>
  <c r="L167" i="7" s="1"/>
  <c r="C1648" i="5"/>
  <c r="C287" i="7" s="1"/>
  <c r="F2123" i="5"/>
  <c r="E360" i="7" s="1"/>
  <c r="C2263" i="5"/>
  <c r="C396" i="7" s="1"/>
  <c r="F854" i="5"/>
  <c r="E152" i="7" s="1"/>
  <c r="L1995" i="5"/>
  <c r="H338" i="7" s="1"/>
  <c r="J1288" i="5"/>
  <c r="G224" i="7" s="1"/>
  <c r="B2532" i="5"/>
  <c r="B452" i="7" s="1"/>
  <c r="C2195" i="5"/>
  <c r="C380" i="7" s="1"/>
  <c r="B1742" i="5"/>
  <c r="L305" i="7" s="1"/>
  <c r="C363" i="5"/>
  <c r="C68" i="7" s="1"/>
  <c r="B947" i="5"/>
  <c r="L170" i="7" s="1"/>
  <c r="L2334" i="5"/>
  <c r="H415" i="7" s="1"/>
  <c r="B2276" i="5"/>
  <c r="B409" i="7" s="1"/>
  <c r="D14" i="5"/>
  <c r="D11" i="7" s="1"/>
  <c r="E2274" i="5"/>
  <c r="D407" i="7" s="1"/>
  <c r="L432" i="5"/>
  <c r="H80" i="7" s="1"/>
  <c r="C434" i="5"/>
  <c r="C82" i="7" s="1"/>
  <c r="H645" i="5"/>
  <c r="F117" i="7" s="1"/>
  <c r="J714" i="5"/>
  <c r="G128" i="7" s="1"/>
  <c r="J646" i="5"/>
  <c r="G118" i="7" s="1"/>
  <c r="B1450" i="5"/>
  <c r="L258" i="7" s="1"/>
  <c r="B370" i="5"/>
  <c r="L68" i="7" s="1"/>
  <c r="L1865" i="5"/>
  <c r="H322" i="7" s="1"/>
  <c r="B99" i="5"/>
  <c r="L26" i="7" s="1"/>
  <c r="F504" i="5"/>
  <c r="E93" i="7" s="1"/>
  <c r="C505" i="5"/>
  <c r="C94" i="7" s="1"/>
  <c r="B448" i="5"/>
  <c r="L87" i="7" s="1"/>
  <c r="B1295" i="5"/>
  <c r="B2281" i="5"/>
  <c r="C412" i="7" s="1"/>
  <c r="T186" i="5"/>
  <c r="T2332" i="5"/>
  <c r="T1743" i="5"/>
  <c r="T1811" i="5"/>
  <c r="T2468" i="5"/>
  <c r="T2476" i="5"/>
  <c r="B199" i="7"/>
  <c r="T1216" i="5"/>
  <c r="U1096" i="5"/>
  <c r="B329" i="7"/>
  <c r="T1993" i="5"/>
  <c r="T1943" i="5"/>
  <c r="B319" i="7"/>
  <c r="T2282" i="5"/>
  <c r="B2052" i="5"/>
  <c r="B151" i="7"/>
  <c r="B79" i="7"/>
  <c r="L335" i="7"/>
  <c r="J353" i="7"/>
  <c r="H369" i="7"/>
  <c r="J368" i="7"/>
  <c r="F362" i="7"/>
  <c r="E2059" i="5"/>
  <c r="D348" i="7" s="1"/>
  <c r="T877" i="5"/>
  <c r="E53" i="7"/>
  <c r="T2390" i="5"/>
  <c r="S285" i="5"/>
  <c r="G436" i="5"/>
  <c r="E84" i="7" s="1"/>
  <c r="B1" i="7"/>
  <c r="D433" i="7"/>
  <c r="S110" i="5"/>
  <c r="S160" i="5"/>
  <c r="S38" i="5"/>
  <c r="T1357" i="5"/>
  <c r="U1236" i="5"/>
  <c r="B223" i="7"/>
  <c r="T1286" i="5"/>
  <c r="U1166" i="5"/>
  <c r="B211" i="7"/>
  <c r="B260" i="7"/>
  <c r="T1574" i="5"/>
  <c r="U1451" i="5"/>
  <c r="B248" i="7"/>
  <c r="T1379" i="5"/>
  <c r="T1501" i="5"/>
  <c r="B91" i="7"/>
  <c r="T572" i="5"/>
  <c r="T451" i="5"/>
  <c r="B235" i="7"/>
  <c r="U1307" i="5"/>
  <c r="T1429" i="5"/>
  <c r="B127" i="7"/>
  <c r="T662" i="5"/>
  <c r="T782" i="5"/>
  <c r="F162" i="5"/>
  <c r="C931" i="5"/>
  <c r="C167" i="7" s="1"/>
  <c r="D1996" i="5"/>
  <c r="D339" i="7" s="1"/>
  <c r="C575" i="5"/>
  <c r="C105" i="7" s="1"/>
  <c r="J1006" i="5"/>
  <c r="G178" i="7" s="1"/>
  <c r="C2416" i="5"/>
  <c r="L427" i="7" s="1"/>
  <c r="J1219" i="5"/>
  <c r="G213" i="7" s="1"/>
  <c r="D2123" i="5"/>
  <c r="D360" i="7" s="1"/>
  <c r="C1505" i="5"/>
  <c r="C263" i="7" s="1"/>
  <c r="C1929" i="5"/>
  <c r="C330" i="7" s="1"/>
  <c r="C1005" i="5"/>
  <c r="C177" i="7" s="1"/>
  <c r="B1664" i="5"/>
  <c r="L290" i="7" s="1"/>
  <c r="B1159" i="5"/>
  <c r="L203" i="7" s="1"/>
  <c r="B1372" i="5"/>
  <c r="L240" i="7" s="1"/>
  <c r="B521" i="5"/>
  <c r="L101" i="7" s="1"/>
  <c r="L1148" i="5"/>
  <c r="H200" i="7" s="1"/>
  <c r="L855" i="5"/>
  <c r="H153" i="7" s="1"/>
  <c r="B792" i="5"/>
  <c r="L140" i="7" s="1"/>
  <c r="H1723" i="5"/>
  <c r="F299" i="7" s="1"/>
  <c r="T1793" i="5"/>
  <c r="T522" i="5"/>
  <c r="B946" i="5"/>
  <c r="B1876" i="5"/>
  <c r="L322" i="7" s="1"/>
  <c r="B2063" i="5"/>
  <c r="B352" i="7" s="1"/>
  <c r="B1232" i="5"/>
  <c r="L218" i="7" s="1"/>
  <c r="D931" i="5"/>
  <c r="D167" i="7" s="1"/>
  <c r="E1235" i="5"/>
  <c r="M221" i="7" s="1"/>
  <c r="B1938" i="5"/>
  <c r="L331" i="7" s="1"/>
  <c r="F288" i="5"/>
  <c r="E54" i="7" s="1"/>
  <c r="B1229" i="5"/>
  <c r="L215" i="7" s="1"/>
  <c r="B298" i="5"/>
  <c r="L53" i="7" s="1"/>
  <c r="B2069" i="5"/>
  <c r="C356" i="7" s="1"/>
  <c r="B795" i="5"/>
  <c r="L143" i="7" s="1"/>
  <c r="B2392" i="5"/>
  <c r="B421" i="7" s="1"/>
  <c r="F1149" i="5"/>
  <c r="E201" i="7" s="1"/>
  <c r="B800" i="5"/>
  <c r="L148" i="7" s="1"/>
  <c r="B372" i="5"/>
  <c r="L70" i="7" s="1"/>
  <c r="B1297" i="5"/>
  <c r="L224" i="7" s="1"/>
  <c r="G8" i="5"/>
  <c r="F855" i="5"/>
  <c r="E153" i="7" s="1"/>
  <c r="B660" i="5"/>
  <c r="L124" i="7" s="1"/>
  <c r="T927" i="5"/>
  <c r="T802" i="5"/>
  <c r="T1146" i="5"/>
  <c r="T1022" i="5"/>
  <c r="T2142" i="5"/>
  <c r="T2260" i="5"/>
  <c r="S88" i="5"/>
  <c r="T592" i="5"/>
  <c r="B115" i="7"/>
  <c r="T712" i="5"/>
  <c r="T1072" i="5"/>
  <c r="B175" i="7"/>
  <c r="T952" i="5"/>
  <c r="T501" i="5"/>
  <c r="T380" i="5"/>
  <c r="D2054" i="5"/>
  <c r="D343" i="7" s="1"/>
  <c r="D2334" i="5"/>
  <c r="D415" i="7" s="1"/>
  <c r="D1288" i="5"/>
  <c r="D224" i="7" s="1"/>
  <c r="D1004" i="5"/>
  <c r="D714" i="5"/>
  <c r="D128" i="7" s="1"/>
  <c r="D432" i="5"/>
  <c r="D80" i="7" s="1"/>
  <c r="H1578" i="5"/>
  <c r="F276" i="7" s="1"/>
  <c r="D1995" i="5"/>
  <c r="D338" i="7" s="1"/>
  <c r="D2262" i="5"/>
  <c r="D395" i="7" s="1"/>
  <c r="D1359" i="5"/>
  <c r="D236" i="7" s="1"/>
  <c r="D1074" i="5"/>
  <c r="D188" i="7" s="1"/>
  <c r="D784" i="5"/>
  <c r="D503" i="5"/>
  <c r="D92" i="7" s="1"/>
  <c r="B444" i="5"/>
  <c r="L83" i="7" s="1"/>
  <c r="B1733" i="5"/>
  <c r="B1999" i="5"/>
  <c r="D1863" i="5"/>
  <c r="D320" i="7" s="1"/>
  <c r="D2194" i="5"/>
  <c r="D379" i="7" s="1"/>
  <c r="D1503" i="5"/>
  <c r="D261" i="7" s="1"/>
  <c r="D1148" i="5"/>
  <c r="D200" i="7" s="1"/>
  <c r="D854" i="5"/>
  <c r="D152" i="7" s="1"/>
  <c r="D574" i="5"/>
  <c r="D104" i="7" s="1"/>
  <c r="D1576" i="5"/>
  <c r="D274" i="7" s="1"/>
  <c r="D2122" i="5"/>
  <c r="D359" i="7" s="1"/>
  <c r="D2392" i="5"/>
  <c r="D421" i="7" s="1"/>
  <c r="D1218" i="5"/>
  <c r="D212" i="7" s="1"/>
  <c r="D929" i="5"/>
  <c r="D165" i="7" s="1"/>
  <c r="D644" i="5"/>
  <c r="D116" i="7" s="1"/>
  <c r="E25" i="7"/>
  <c r="T1645" i="5"/>
  <c r="C163" i="5"/>
  <c r="C38" i="7" s="1"/>
  <c r="F433" i="5"/>
  <c r="E81" i="7" s="1"/>
  <c r="J786" i="5"/>
  <c r="G142" i="7" s="1"/>
  <c r="B1374" i="5"/>
  <c r="L242" i="7" s="1"/>
  <c r="B949" i="5"/>
  <c r="L171" i="7" s="1"/>
  <c r="B1449" i="5"/>
  <c r="L257" i="7" s="1"/>
  <c r="H1724" i="5"/>
  <c r="F300" i="7" s="1"/>
  <c r="B1233" i="5"/>
  <c r="L219" i="7" s="1"/>
  <c r="B29" i="5"/>
  <c r="L14" i="7" s="1"/>
  <c r="H1359" i="5"/>
  <c r="F236" i="7" s="1"/>
  <c r="J2392" i="5"/>
  <c r="G421" i="7" s="1"/>
  <c r="J1360" i="5"/>
  <c r="G237" i="7" s="1"/>
  <c r="C1939" i="5"/>
  <c r="J855" i="5"/>
  <c r="G153" i="7" s="1"/>
  <c r="D504" i="5"/>
  <c r="D93" i="7" s="1"/>
  <c r="F1150" i="5"/>
  <c r="E202" i="7" s="1"/>
  <c r="C1150" i="5"/>
  <c r="C202" i="7" s="1"/>
  <c r="F856" i="5"/>
  <c r="E154" i="7" s="1"/>
  <c r="B96" i="5"/>
  <c r="B35" i="5"/>
  <c r="L20" i="7" s="1"/>
  <c r="H1218" i="5"/>
  <c r="F212" i="7" s="1"/>
  <c r="B722" i="5"/>
  <c r="L128" i="7" s="1"/>
  <c r="B2402" i="5"/>
  <c r="B431" i="7" s="1"/>
  <c r="H2195" i="5"/>
  <c r="F380" i="7" s="1"/>
  <c r="J1723" i="5"/>
  <c r="G299" i="7" s="1"/>
  <c r="B1021" i="5"/>
  <c r="L185" i="7" s="1"/>
  <c r="E108" i="5"/>
  <c r="M33" i="7" s="1"/>
  <c r="L505" i="5"/>
  <c r="H94" i="7" s="1"/>
  <c r="L575" i="5"/>
  <c r="H105" i="7" s="1"/>
  <c r="C289" i="5"/>
  <c r="C55" i="7" s="1"/>
  <c r="L2392" i="5"/>
  <c r="H421" i="7" s="1"/>
  <c r="B2279" i="5"/>
  <c r="C91" i="5"/>
  <c r="C26" i="7" s="1"/>
  <c r="B1165" i="5"/>
  <c r="L209" i="7" s="1"/>
  <c r="T1720" i="5"/>
  <c r="B2205" i="5"/>
  <c r="B390" i="7" s="1"/>
  <c r="B1446" i="5"/>
  <c r="L254" i="7" s="1"/>
  <c r="B2135" i="5"/>
  <c r="B372" i="7" s="1"/>
  <c r="P2122" i="5"/>
  <c r="J359" i="7" s="1"/>
  <c r="F1289" i="5"/>
  <c r="E225" i="7" s="1"/>
  <c r="F1005" i="5"/>
  <c r="E177" i="7" s="1"/>
  <c r="B2274" i="5"/>
  <c r="B407" i="7" s="1"/>
  <c r="H2335" i="5"/>
  <c r="F416" i="7" s="1"/>
  <c r="B371" i="5"/>
  <c r="L69" i="7" s="1"/>
  <c r="V2123" i="5"/>
  <c r="M360" i="7" s="1"/>
  <c r="J1433" i="5"/>
  <c r="G251" i="7" s="1"/>
  <c r="B1666" i="5"/>
  <c r="L292" i="7" s="1"/>
  <c r="D1724" i="5"/>
  <c r="D300" i="7" s="1"/>
  <c r="C432" i="5"/>
  <c r="C80" i="7" s="1"/>
  <c r="J644" i="5"/>
  <c r="G116" i="7" s="1"/>
  <c r="B1148" i="5"/>
  <c r="B200" i="7" s="1"/>
  <c r="B24" i="5"/>
  <c r="L9" i="7" s="1"/>
  <c r="J1150" i="5"/>
  <c r="G202" i="7" s="1"/>
  <c r="B2268" i="5"/>
  <c r="B401" i="7" s="1"/>
  <c r="L434" i="5"/>
  <c r="H82" i="7" s="1"/>
  <c r="F574" i="5"/>
  <c r="E104" i="7" s="1"/>
  <c r="B1937" i="5"/>
  <c r="L330" i="7" s="1"/>
  <c r="C2334" i="5"/>
  <c r="C415" i="7" s="1"/>
  <c r="J1361" i="5"/>
  <c r="G238" i="7" s="1"/>
  <c r="F13" i="5"/>
  <c r="E10" i="7" s="1"/>
  <c r="C2123" i="5"/>
  <c r="C360" i="7" s="1"/>
  <c r="B510" i="5"/>
  <c r="T2195" i="5"/>
  <c r="L380" i="7" s="1"/>
  <c r="J2393" i="5"/>
  <c r="G422" i="7" s="1"/>
  <c r="B2531" i="5"/>
  <c r="B450" i="7" s="1"/>
  <c r="B2134" i="5"/>
  <c r="B371" i="7" s="1"/>
  <c r="B1442" i="5"/>
  <c r="L251" i="7" s="1"/>
  <c r="E521" i="5"/>
  <c r="M101" i="7" s="1"/>
  <c r="B1503" i="5"/>
  <c r="B261" i="7" s="1"/>
  <c r="H287" i="5"/>
  <c r="C1076" i="5"/>
  <c r="C190" i="7" s="1"/>
  <c r="B2336" i="5"/>
  <c r="B417" i="7" s="1"/>
  <c r="J1220" i="5"/>
  <c r="G214" i="7" s="1"/>
  <c r="B1810" i="5"/>
  <c r="L314" i="7" s="1"/>
  <c r="D162" i="5"/>
  <c r="P2194" i="5"/>
  <c r="J379" i="7" s="1"/>
  <c r="D575" i="5"/>
  <c r="D105" i="7" s="1"/>
  <c r="E1450" i="5"/>
  <c r="M258" i="7" s="1"/>
  <c r="J7" i="5"/>
  <c r="B1741" i="5"/>
  <c r="L304" i="7" s="1"/>
  <c r="C1218" i="5"/>
  <c r="C212" i="7" s="1"/>
  <c r="L2194" i="5"/>
  <c r="H379" i="7" s="1"/>
  <c r="C433" i="5"/>
  <c r="C81" i="7" s="1"/>
  <c r="B1162" i="5"/>
  <c r="L206" i="7" s="1"/>
  <c r="B1013" i="5"/>
  <c r="L177" i="7" s="1"/>
  <c r="B516" i="5"/>
  <c r="L96" i="7" s="1"/>
  <c r="N7" i="5"/>
  <c r="B1094" i="5"/>
  <c r="L196" i="7" s="1"/>
  <c r="B1095" i="5"/>
  <c r="L197" i="7" s="1"/>
  <c r="F1361" i="5"/>
  <c r="E238" i="7" s="1"/>
  <c r="C2411" i="5"/>
  <c r="L422" i="7" s="1"/>
  <c r="B591" i="5"/>
  <c r="L113" i="7" s="1"/>
  <c r="D288" i="5"/>
  <c r="D54" i="7" s="1"/>
  <c r="C1431" i="5"/>
  <c r="C249" i="7" s="1"/>
  <c r="B941" i="5"/>
  <c r="L165" i="7" s="1"/>
  <c r="C2122" i="5"/>
  <c r="C359" i="7" s="1"/>
  <c r="C1290" i="5"/>
  <c r="C226" i="7" s="1"/>
  <c r="J2195" i="5"/>
  <c r="G380" i="7" s="1"/>
  <c r="F576" i="5"/>
  <c r="E106" i="7" s="1"/>
  <c r="F1148" i="5"/>
  <c r="E200" i="7" s="1"/>
  <c r="J1076" i="5"/>
  <c r="G190" i="7" s="1"/>
  <c r="C1724" i="5"/>
  <c r="C300" i="7" s="1"/>
  <c r="E1165" i="5"/>
  <c r="M209" i="7" s="1"/>
  <c r="B373" i="5"/>
  <c r="L71" i="7" s="1"/>
  <c r="I8" i="5"/>
  <c r="B1304" i="5"/>
  <c r="L231" i="7" s="1"/>
  <c r="E184" i="5"/>
  <c r="M48" i="7" s="1"/>
  <c r="B2334" i="5"/>
  <c r="B415" i="7" s="1"/>
  <c r="B2272" i="5"/>
  <c r="B405" i="7" s="1"/>
  <c r="B2128" i="5"/>
  <c r="B365" i="7" s="1"/>
  <c r="B2062" i="5"/>
  <c r="B351" i="7" s="1"/>
  <c r="B1371" i="5"/>
  <c r="L239" i="7" s="1"/>
  <c r="B584" i="5"/>
  <c r="L106" i="7" s="1"/>
  <c r="B307" i="5"/>
  <c r="L62" i="7" s="1"/>
  <c r="H574" i="5"/>
  <c r="F104" i="7" s="1"/>
  <c r="B728" i="5"/>
  <c r="L134" i="7" s="1"/>
  <c r="E36" i="5"/>
  <c r="M21" i="7" s="1"/>
  <c r="L646" i="5"/>
  <c r="H118" i="7" s="1"/>
  <c r="H2393" i="5"/>
  <c r="F422" i="7" s="1"/>
  <c r="B2273" i="5"/>
  <c r="B406" i="7" s="1"/>
  <c r="E8" i="5"/>
  <c r="H1431" i="5"/>
  <c r="F249" i="7" s="1"/>
  <c r="B657" i="5"/>
  <c r="L121" i="7" s="1"/>
  <c r="J1505" i="5"/>
  <c r="G263" i="7" s="1"/>
  <c r="B376" i="5"/>
  <c r="L74" i="7" s="1"/>
  <c r="B379" i="5"/>
  <c r="L77" i="7" s="1"/>
  <c r="B7" i="5"/>
  <c r="B1513" i="5"/>
  <c r="L261" i="7" s="1"/>
  <c r="L1863" i="5"/>
  <c r="H320" i="7" s="1"/>
  <c r="B2209" i="5"/>
  <c r="C392" i="7" s="1"/>
  <c r="C1219" i="5"/>
  <c r="C213" i="7" s="1"/>
  <c r="J432" i="5"/>
  <c r="G80" i="7" s="1"/>
  <c r="E308" i="5"/>
  <c r="M63" i="7" s="1"/>
  <c r="B517" i="5"/>
  <c r="L97" i="7" s="1"/>
  <c r="H1074" i="5"/>
  <c r="F188" i="7" s="1"/>
  <c r="V2055" i="5"/>
  <c r="M344" i="7" s="1"/>
  <c r="B2126" i="5"/>
  <c r="B363" i="7" s="1"/>
  <c r="B1299" i="5"/>
  <c r="L226" i="7" s="1"/>
  <c r="B799" i="5"/>
  <c r="L147" i="7" s="1"/>
  <c r="T2340" i="5"/>
  <c r="B1300" i="5"/>
  <c r="L227" i="7" s="1"/>
  <c r="B367" i="5"/>
  <c r="L1290" i="5"/>
  <c r="H226" i="7" s="1"/>
  <c r="E1668" i="5"/>
  <c r="M294" i="7" s="1"/>
  <c r="B1929" i="5"/>
  <c r="B330" i="7" s="1"/>
  <c r="T2526" i="5"/>
  <c r="B1808" i="5"/>
  <c r="L312" i="7" s="1"/>
  <c r="H1505" i="5"/>
  <c r="F263" i="7" s="1"/>
  <c r="L714" i="5"/>
  <c r="H128" i="7" s="1"/>
  <c r="F1647" i="5"/>
  <c r="E286" i="7" s="1"/>
  <c r="J504" i="5"/>
  <c r="G93" i="7" s="1"/>
  <c r="D13" i="5"/>
  <c r="D10" i="7" s="1"/>
  <c r="B2200" i="5"/>
  <c r="B385" i="7" s="1"/>
  <c r="D1796" i="5"/>
  <c r="D311" i="7" s="1"/>
  <c r="J576" i="5"/>
  <c r="G106" i="7" s="1"/>
  <c r="B1448" i="5"/>
  <c r="L256" i="7" s="1"/>
  <c r="C90" i="5"/>
  <c r="C25" i="7" s="1"/>
  <c r="B1074" i="5"/>
  <c r="B188" i="7" s="1"/>
  <c r="B2405" i="5"/>
  <c r="B434" i="7" s="1"/>
  <c r="H1076" i="5"/>
  <c r="F190" i="7" s="1"/>
  <c r="F1649" i="5"/>
  <c r="E288" i="7" s="1"/>
  <c r="B450" i="5"/>
  <c r="L89" i="7" s="1"/>
  <c r="B2054" i="5"/>
  <c r="B343" i="7" s="1"/>
  <c r="E1587" i="5"/>
  <c r="M276" i="7" s="1"/>
  <c r="B2395" i="5"/>
  <c r="B424" i="7" s="1"/>
  <c r="B2406" i="5"/>
  <c r="B435" i="7" s="1"/>
  <c r="E1378" i="5"/>
  <c r="M246" i="7" s="1"/>
  <c r="B175" i="5"/>
  <c r="L39" i="7" s="1"/>
  <c r="B1663" i="5"/>
  <c r="L289" i="7" s="1"/>
  <c r="H854" i="5"/>
  <c r="F152" i="7" s="1"/>
  <c r="F1931" i="5"/>
  <c r="E332" i="7" s="1"/>
  <c r="H289" i="5"/>
  <c r="F55" i="7" s="1"/>
  <c r="D176" i="7"/>
  <c r="B2404" i="5"/>
  <c r="B433" i="7" s="1"/>
  <c r="B513" i="5"/>
  <c r="L93" i="7" s="1"/>
  <c r="D646" i="5"/>
  <c r="D118" i="7" s="1"/>
  <c r="B1591" i="5"/>
  <c r="L280" i="7" s="1"/>
  <c r="C1503" i="5"/>
  <c r="C261" i="7" s="1"/>
  <c r="P2195" i="5"/>
  <c r="J380" i="7" s="1"/>
  <c r="U8" i="5"/>
  <c r="B180" i="5"/>
  <c r="L44" i="7" s="1"/>
  <c r="B308" i="5"/>
  <c r="L63" i="7" s="1"/>
  <c r="B2197" i="5"/>
  <c r="B382" i="7" s="1"/>
  <c r="H1504" i="5"/>
  <c r="F262" i="7" s="1"/>
  <c r="J1863" i="5"/>
  <c r="G320" i="7" s="1"/>
  <c r="F1723" i="5"/>
  <c r="E299" i="7" s="1"/>
  <c r="B2064" i="5"/>
  <c r="B353" i="7" s="1"/>
  <c r="B185" i="5"/>
  <c r="L49" i="7" s="1"/>
  <c r="T2262" i="5"/>
  <c r="L395" i="7" s="1"/>
  <c r="J1359" i="5"/>
  <c r="G236" i="7" s="1"/>
  <c r="D1220" i="5"/>
  <c r="D214" i="7" s="1"/>
  <c r="C1" i="7"/>
  <c r="M1" i="7" s="1"/>
  <c r="B1228" i="5"/>
  <c r="L214" i="7" s="1"/>
  <c r="F931" i="5"/>
  <c r="E167" i="7" s="1"/>
  <c r="B301" i="5"/>
  <c r="L56" i="7" s="1"/>
  <c r="P2263" i="5"/>
  <c r="J396" i="7" s="1"/>
  <c r="B303" i="5"/>
  <c r="L58" i="7" s="1"/>
  <c r="H575" i="5"/>
  <c r="F105" i="7" s="1"/>
  <c r="H2122" i="5"/>
  <c r="F359" i="7" s="1"/>
  <c r="F163" i="5"/>
  <c r="E38" i="7" s="1"/>
  <c r="L1150" i="5"/>
  <c r="H202" i="7" s="1"/>
  <c r="B2057" i="5"/>
  <c r="B346" i="7" s="1"/>
  <c r="B658" i="5"/>
  <c r="L122" i="7" s="1"/>
  <c r="H163" i="5"/>
  <c r="F38" i="7" s="1"/>
  <c r="C288" i="5"/>
  <c r="C54" i="7" s="1"/>
  <c r="B369" i="5"/>
  <c r="L67" i="7" s="1"/>
  <c r="B102" i="5"/>
  <c r="E876" i="5"/>
  <c r="M162" i="7" s="1"/>
  <c r="L1074" i="5"/>
  <c r="H188" i="7" s="1"/>
  <c r="B2410" i="5"/>
  <c r="K421" i="7" s="1"/>
  <c r="D1432" i="5"/>
  <c r="D250" i="7" s="1"/>
  <c r="B725" i="5"/>
  <c r="L131" i="7" s="1"/>
  <c r="L1432" i="5"/>
  <c r="H250" i="7" s="1"/>
  <c r="J2335" i="5"/>
  <c r="G416" i="7" s="1"/>
  <c r="S430" i="5"/>
  <c r="J1074" i="5"/>
  <c r="G188" i="7" s="1"/>
  <c r="D12" i="5"/>
  <c r="D9" i="7" s="1"/>
  <c r="E9" i="7"/>
  <c r="T2070" i="5"/>
  <c r="T1670" i="5"/>
  <c r="P2262" i="5"/>
  <c r="J395" i="7" s="1"/>
  <c r="C1288" i="5"/>
  <c r="C224" i="7" s="1"/>
  <c r="B1234" i="5"/>
  <c r="L220" i="7" s="1"/>
  <c r="B1445" i="5"/>
  <c r="L253" i="7" s="1"/>
  <c r="B2132" i="5"/>
  <c r="B369" i="7" s="1"/>
  <c r="C716" i="5"/>
  <c r="C130" i="7" s="1"/>
  <c r="B105" i="5"/>
  <c r="L30" i="7" s="1"/>
  <c r="D1504" i="5"/>
  <c r="D262" i="7" s="1"/>
  <c r="T1877" i="5"/>
  <c r="T2210" i="5"/>
  <c r="B1804" i="5"/>
  <c r="B1872" i="5"/>
  <c r="C2415" i="5"/>
  <c r="L426" i="7" s="1"/>
  <c r="L2195" i="5"/>
  <c r="H380" i="7" s="1"/>
  <c r="B1662" i="5"/>
  <c r="L288" i="7" s="1"/>
  <c r="B1368" i="5"/>
  <c r="L236" i="7" s="1"/>
  <c r="B1590" i="5"/>
  <c r="L279" i="7" s="1"/>
  <c r="B1585" i="5"/>
  <c r="L274" i="7" s="1"/>
  <c r="F1930" i="5"/>
  <c r="E331" i="7" s="1"/>
  <c r="J1724" i="5"/>
  <c r="G300" i="7" s="1"/>
  <c r="C1576" i="5"/>
  <c r="C274" i="7" s="1"/>
  <c r="B378" i="5"/>
  <c r="L76" i="7" s="1"/>
  <c r="B1519" i="5"/>
  <c r="L267" i="7" s="1"/>
  <c r="F1359" i="5"/>
  <c r="E236" i="7" s="1"/>
  <c r="H784" i="5"/>
  <c r="F140" i="7" s="1"/>
  <c r="C1797" i="5"/>
  <c r="C312" i="7" s="1"/>
  <c r="B869" i="5"/>
  <c r="L155" i="7" s="1"/>
  <c r="B296" i="5"/>
  <c r="D1929" i="5"/>
  <c r="D330" i="7" s="1"/>
  <c r="D1648" i="5"/>
  <c r="D287" i="7" s="1"/>
  <c r="B1740" i="5"/>
  <c r="L303" i="7" s="1"/>
  <c r="D1931" i="5"/>
  <c r="D332" i="7" s="1"/>
  <c r="D505" i="5"/>
  <c r="D94" i="7" s="1"/>
  <c r="F2335" i="5"/>
  <c r="E416" i="7" s="1"/>
  <c r="B2394" i="5"/>
  <c r="B423" i="7" s="1"/>
  <c r="B183" i="5"/>
  <c r="L47" i="7" s="1"/>
  <c r="B184" i="5"/>
  <c r="L48" i="7" s="1"/>
  <c r="J2055" i="5"/>
  <c r="G344" i="7" s="1"/>
  <c r="B2396" i="5"/>
  <c r="B425" i="7" s="1"/>
  <c r="R7" i="5"/>
  <c r="B1227" i="5"/>
  <c r="L213" i="7" s="1"/>
  <c r="L856" i="5"/>
  <c r="H154" i="7" s="1"/>
  <c r="J2123" i="5"/>
  <c r="G360" i="7" s="1"/>
  <c r="B1161" i="5"/>
  <c r="L205" i="7" s="1"/>
  <c r="B790" i="5"/>
  <c r="F2195" i="5"/>
  <c r="E380" i="7" s="1"/>
  <c r="B1939" i="5"/>
  <c r="B1019" i="5"/>
  <c r="L183" i="7" s="1"/>
  <c r="J1218" i="5"/>
  <c r="G212" i="7" s="1"/>
  <c r="F1724" i="5"/>
  <c r="E300" i="7" s="1"/>
  <c r="B2207" i="5"/>
  <c r="B1515" i="5"/>
  <c r="L263" i="7" s="1"/>
  <c r="F91" i="5"/>
  <c r="E26" i="7" s="1"/>
  <c r="C2335" i="5"/>
  <c r="C416" i="7" s="1"/>
  <c r="C1289" i="5"/>
  <c r="C225" i="7" s="1"/>
  <c r="B1160" i="5"/>
  <c r="L204" i="7" s="1"/>
  <c r="C2410" i="5"/>
  <c r="L421" i="7" s="1"/>
  <c r="M8" i="5"/>
  <c r="F1432" i="5"/>
  <c r="E250" i="7" s="1"/>
  <c r="H1995" i="5"/>
  <c r="F338" i="7" s="1"/>
  <c r="B162" i="5"/>
  <c r="B37" i="7" s="1"/>
  <c r="T2054" i="5"/>
  <c r="L343" i="7" s="1"/>
  <c r="F2393" i="5"/>
  <c r="E422" i="7" s="1"/>
  <c r="F715" i="5"/>
  <c r="E129" i="7" s="1"/>
  <c r="C574" i="5"/>
  <c r="C104" i="7" s="1"/>
  <c r="D92" i="5"/>
  <c r="D27" i="7" s="1"/>
  <c r="J1431" i="5"/>
  <c r="G249" i="7" s="1"/>
  <c r="L2055" i="5"/>
  <c r="H344" i="7" s="1"/>
  <c r="D90" i="5"/>
  <c r="B1226" i="5"/>
  <c r="L212" i="7" s="1"/>
  <c r="T2122" i="5"/>
  <c r="L359" i="7" s="1"/>
  <c r="B944" i="5"/>
  <c r="L168" i="7" s="1"/>
  <c r="B644" i="5"/>
  <c r="B116" i="7" s="1"/>
  <c r="B107" i="5"/>
  <c r="L32" i="7" s="1"/>
  <c r="B1592" i="5"/>
  <c r="L281" i="7" s="1"/>
  <c r="C503" i="5"/>
  <c r="C92" i="7" s="1"/>
  <c r="C1148" i="5"/>
  <c r="C200" i="7" s="1"/>
  <c r="B580" i="5"/>
  <c r="D140" i="7"/>
  <c r="B12" i="5"/>
  <c r="B9" i="7" s="1"/>
  <c r="B1735" i="5"/>
  <c r="L298" i="7" s="1"/>
  <c r="C855" i="5"/>
  <c r="C153" i="7" s="1"/>
  <c r="C1649" i="5"/>
  <c r="C288" i="7" s="1"/>
  <c r="H576" i="5"/>
  <c r="F106" i="7" s="1"/>
  <c r="F1290" i="5"/>
  <c r="E226" i="7" s="1"/>
  <c r="J1005" i="5"/>
  <c r="G177" i="7" s="1"/>
  <c r="L785" i="5"/>
  <c r="H141" i="7" s="1"/>
  <c r="L321" i="7"/>
  <c r="L1006" i="5"/>
  <c r="H178" i="7" s="1"/>
  <c r="C12" i="5"/>
  <c r="C9" i="7" s="1"/>
  <c r="H1290" i="5"/>
  <c r="F226" i="7" s="1"/>
  <c r="R2123" i="5"/>
  <c r="K360" i="7" s="1"/>
  <c r="E4" i="5"/>
  <c r="D3" i="7" s="1"/>
  <c r="B182" i="5"/>
  <c r="L46" i="7" s="1"/>
  <c r="B1444" i="5"/>
  <c r="B374" i="5"/>
  <c r="L72" i="7" s="1"/>
  <c r="B1301" i="5"/>
  <c r="L228" i="7" s="1"/>
  <c r="B654" i="5"/>
  <c r="L118" i="7" s="1"/>
  <c r="L576" i="5"/>
  <c r="H106" i="7" s="1"/>
  <c r="F1076" i="5"/>
  <c r="E190" i="7" s="1"/>
  <c r="J1290" i="5"/>
  <c r="G226" i="7" s="1"/>
  <c r="B1586" i="5"/>
  <c r="L275" i="7" s="1"/>
  <c r="L1219" i="5"/>
  <c r="H213" i="7" s="1"/>
  <c r="H1220" i="5"/>
  <c r="F214" i="7" s="1"/>
  <c r="J505" i="5"/>
  <c r="G94" i="7" s="1"/>
  <c r="H1647" i="5"/>
  <c r="F286" i="7" s="1"/>
  <c r="L7" i="5"/>
  <c r="D289" i="5"/>
  <c r="D55" i="7" s="1"/>
  <c r="B1737" i="5"/>
  <c r="L300" i="7" s="1"/>
  <c r="J930" i="5"/>
  <c r="G166" i="7" s="1"/>
  <c r="J645" i="5"/>
  <c r="G117" i="7" s="1"/>
  <c r="B2196" i="5"/>
  <c r="B381" i="7" s="1"/>
  <c r="B2472" i="5"/>
  <c r="B440" i="7" s="1"/>
  <c r="F716" i="5"/>
  <c r="E130" i="7" s="1"/>
  <c r="H1150" i="5"/>
  <c r="F202" i="7" s="1"/>
  <c r="B2139" i="5"/>
  <c r="B2066" i="5"/>
  <c r="H288" i="5"/>
  <c r="F54" i="7" s="1"/>
  <c r="H1360" i="5"/>
  <c r="F237" i="7" s="1"/>
  <c r="B2411" i="5"/>
  <c r="K422" i="7" s="1"/>
  <c r="C164" i="5"/>
  <c r="C39" i="7" s="1"/>
  <c r="F505" i="5"/>
  <c r="E94" i="7" s="1"/>
  <c r="C576" i="5"/>
  <c r="C106" i="7" s="1"/>
  <c r="B868" i="5"/>
  <c r="L154" i="7" s="1"/>
  <c r="B36" i="5"/>
  <c r="L21" i="7" s="1"/>
  <c r="B587" i="5"/>
  <c r="L109" i="7" s="1"/>
  <c r="F1288" i="5"/>
  <c r="E224" i="7" s="1"/>
  <c r="B2470" i="5"/>
  <c r="B438" i="7" s="1"/>
  <c r="H1005" i="5"/>
  <c r="F177" i="7" s="1"/>
  <c r="C714" i="5"/>
  <c r="C128" i="7" s="1"/>
  <c r="L931" i="5"/>
  <c r="H167" i="7" s="1"/>
  <c r="B518" i="5"/>
  <c r="L98" i="7" s="1"/>
  <c r="AC289" i="5" l="1"/>
  <c r="D53" i="7"/>
  <c r="AE164" i="5"/>
  <c r="F37" i="7"/>
  <c r="T2002" i="5"/>
  <c r="T2120" i="5"/>
  <c r="L332" i="7"/>
  <c r="E37" i="7"/>
  <c r="AD164" i="5"/>
  <c r="D6" i="7"/>
  <c r="AE289" i="5"/>
  <c r="F53" i="7"/>
  <c r="AC164" i="5"/>
  <c r="D37" i="7"/>
  <c r="AC14" i="5"/>
  <c r="AC92" i="5"/>
  <c r="D25" i="7"/>
</calcChain>
</file>

<file path=xl/sharedStrings.xml><?xml version="1.0" encoding="utf-8"?>
<sst xmlns="http://schemas.openxmlformats.org/spreadsheetml/2006/main" count="100" uniqueCount="71">
  <si>
    <t>1А</t>
  </si>
  <si>
    <t>2А</t>
  </si>
  <si>
    <t>1Б</t>
  </si>
  <si>
    <t>2Б</t>
  </si>
  <si>
    <t>А</t>
  </si>
  <si>
    <t>Б</t>
  </si>
  <si>
    <t>ENG</t>
  </si>
  <si>
    <t>7.1.</t>
  </si>
  <si>
    <t>5.1.</t>
  </si>
  <si>
    <t>5.2.</t>
  </si>
  <si>
    <t>5.3.</t>
  </si>
  <si>
    <t>7.2.</t>
  </si>
  <si>
    <t>8.1.</t>
  </si>
  <si>
    <t>4.0 - 4.9</t>
  </si>
  <si>
    <t>4.3.</t>
  </si>
  <si>
    <t>3А.3</t>
  </si>
  <si>
    <t>3А.5</t>
  </si>
  <si>
    <t>3.0 - 3.1</t>
  </si>
  <si>
    <t>4.0 - 4.2</t>
  </si>
  <si>
    <t>1.0 - 1.1</t>
  </si>
  <si>
    <t>4.0 - 4.1</t>
  </si>
  <si>
    <t>5.0 - 5.1</t>
  </si>
  <si>
    <t>3.0 - 3.3</t>
  </si>
  <si>
    <t>4.0 - 4.4</t>
  </si>
  <si>
    <t>5.0 - 5.5</t>
  </si>
  <si>
    <t>6.0 - 6.6</t>
  </si>
  <si>
    <t>1.0.</t>
  </si>
  <si>
    <t>7.0 - 7.1</t>
  </si>
  <si>
    <t>2.0 - 2.2</t>
  </si>
  <si>
    <t>2А.0 - 2А.1</t>
  </si>
  <si>
    <t>3А.0 - 3А.2</t>
  </si>
  <si>
    <t>7.0 - 7.2</t>
  </si>
  <si>
    <t>3.0 - 3.6</t>
  </si>
  <si>
    <t>6.0 - 6.1</t>
  </si>
  <si>
    <t>6А.1</t>
  </si>
  <si>
    <t>6А.5</t>
  </si>
  <si>
    <t>5А.1 - 5А.3</t>
  </si>
  <si>
    <t>5Б.3</t>
  </si>
  <si>
    <t>3А.1 - 3А.2</t>
  </si>
  <si>
    <t>1.0 - 1.3</t>
  </si>
  <si>
    <t>3.0 - 3.5</t>
  </si>
  <si>
    <t>4.0 - 4.8</t>
  </si>
  <si>
    <t>5.0 - 5.6</t>
  </si>
  <si>
    <t>6.0 - 6.4</t>
  </si>
  <si>
    <t>8.0 - 8.5</t>
  </si>
  <si>
    <t>1.0 - 1.8</t>
  </si>
  <si>
    <t>2.1 - 2.4</t>
  </si>
  <si>
    <t>3.0 - 3.4</t>
  </si>
  <si>
    <t>1.0 - 1.6</t>
  </si>
  <si>
    <t>2.1 - 2.3</t>
  </si>
  <si>
    <t>1.0 - 1.5</t>
  </si>
  <si>
    <t>1.6 - 1.8</t>
  </si>
  <si>
    <t>4.5 - 4.6</t>
  </si>
  <si>
    <t>L1.0 - 1.1</t>
  </si>
  <si>
    <t>L3.0 - 3.2</t>
  </si>
  <si>
    <t>L4.0 - 4.1</t>
  </si>
  <si>
    <t>L5.0 - 5.1</t>
  </si>
  <si>
    <t>L6.0 - 6.1</t>
  </si>
  <si>
    <t>Ціна 1</t>
  </si>
  <si>
    <t>Ціна 2</t>
  </si>
  <si>
    <t>Ціна 3</t>
  </si>
  <si>
    <t>Ціна 4</t>
  </si>
  <si>
    <t>Ціна 5</t>
  </si>
  <si>
    <t>Ціна 6</t>
  </si>
  <si>
    <t>Ціна 7</t>
  </si>
  <si>
    <t>Ціна 8</t>
  </si>
  <si>
    <t>без ПДВ</t>
  </si>
  <si>
    <t>UA</t>
  </si>
  <si>
    <t xml:space="preserve"> </t>
  </si>
  <si>
    <t>Ціна 9</t>
  </si>
  <si>
    <t>Ціна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</si>
</sst>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000"/>
    <numFmt numFmtId="166" formatCode="#,##0.0"/>
    <numFmt numFmtId="167" formatCode="#,##0\ [$грн.-422]"/>
  </numFmts>
  <fonts count="57">
    <font>
      <sz val="10"/>
      <name val="Arial Cyr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9"/>
      <name val="Arial Cyr"/>
      <charset val="204"/>
    </font>
    <font>
      <sz val="10"/>
      <color indexed="9"/>
      <name val="Arial Cyr"/>
      <charset val="204"/>
    </font>
    <font>
      <sz val="8"/>
      <color indexed="22"/>
      <name val="Arial Cyr"/>
      <charset val="204"/>
    </font>
    <font>
      <b/>
      <sz val="10"/>
      <color indexed="17"/>
      <name val="Arial"/>
      <family val="2"/>
      <charset val="204"/>
    </font>
    <font>
      <sz val="8"/>
      <name val="Arial"/>
      <family val="2"/>
      <charset val="204"/>
    </font>
    <font>
      <b/>
      <sz val="10"/>
      <color indexed="17"/>
      <name val="Times New Roman"/>
      <family val="1"/>
      <charset val="204"/>
    </font>
    <font>
      <b/>
      <i/>
      <sz val="10"/>
      <name val="Arial Cyr"/>
      <charset val="204"/>
    </font>
    <font>
      <i/>
      <sz val="8"/>
      <name val="Arial Cyr"/>
      <charset val="204"/>
    </font>
    <font>
      <u/>
      <sz val="8.5"/>
      <color indexed="12"/>
      <name val="Arial Cyr"/>
      <charset val="204"/>
    </font>
    <font>
      <sz val="10"/>
      <name val="Door_Gordana"/>
      <charset val="204"/>
    </font>
    <font>
      <b/>
      <sz val="10"/>
      <name val="Door_Gordana"/>
      <charset val="204"/>
    </font>
    <font>
      <sz val="10"/>
      <name val="Times New Roman"/>
      <family val="1"/>
      <charset val="204"/>
    </font>
    <font>
      <b/>
      <u/>
      <sz val="10"/>
      <color indexed="12"/>
      <name val="Arial Cyr"/>
      <charset val="204"/>
    </font>
    <font>
      <b/>
      <sz val="9"/>
      <color indexed="17"/>
      <name val="Times New Roman"/>
      <family val="1"/>
      <charset val="204"/>
    </font>
    <font>
      <b/>
      <i/>
      <sz val="8"/>
      <color indexed="12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8"/>
      <color indexed="10"/>
      <name val="Arial"/>
      <family val="2"/>
      <charset val="204"/>
    </font>
    <font>
      <b/>
      <sz val="8"/>
      <color indexed="12"/>
      <name val="Times New Roman"/>
      <family val="1"/>
      <charset val="204"/>
    </font>
    <font>
      <b/>
      <sz val="7"/>
      <color indexed="12"/>
      <name val="Times New Roman"/>
      <family val="1"/>
      <charset val="204"/>
    </font>
    <font>
      <sz val="8"/>
      <color indexed="12"/>
      <name val="Times New Roman"/>
      <family val="1"/>
      <charset val="204"/>
    </font>
    <font>
      <sz val="8"/>
      <color indexed="10"/>
      <name val="Times New Roman"/>
      <family val="1"/>
      <charset val="204"/>
    </font>
    <font>
      <i/>
      <sz val="8"/>
      <color indexed="12"/>
      <name val="Times New Roman"/>
      <family val="1"/>
      <charset val="204"/>
    </font>
    <font>
      <sz val="8"/>
      <color indexed="9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23"/>
      <name val="Arial Cyr"/>
      <charset val="204"/>
    </font>
    <font>
      <b/>
      <i/>
      <sz val="8"/>
      <color indexed="23"/>
      <name val="Arial Cyr"/>
      <charset val="204"/>
    </font>
    <font>
      <sz val="10"/>
      <color indexed="23"/>
      <name val="Arial Cyr"/>
      <charset val="204"/>
    </font>
    <font>
      <b/>
      <sz val="10"/>
      <color indexed="23"/>
      <name val="Arial Cyr"/>
      <charset val="204"/>
    </font>
    <font>
      <b/>
      <sz val="10"/>
      <color indexed="10"/>
      <name val="Times New Roman"/>
      <family val="1"/>
      <charset val="204"/>
    </font>
    <font>
      <sz val="8"/>
      <color indexed="22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8"/>
      <color indexed="23"/>
      <name val="Times New Roman"/>
      <family val="1"/>
      <charset val="204"/>
    </font>
    <font>
      <sz val="6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"/>
      <family val="2"/>
      <charset val="204"/>
    </font>
    <font>
      <b/>
      <sz val="6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8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theme="1"/>
      <name val="Times New Roman"/>
      <family val="1"/>
      <charset val="204"/>
    </font>
    <font>
      <sz val="8"/>
      <color theme="1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501">
    <xf numFmtId="0" fontId="0" fillId="0" borderId="0" xfId="0"/>
    <xf numFmtId="0" fontId="0" fillId="0" borderId="0" xfId="0" applyProtection="1">
      <protection hidden="1"/>
    </xf>
    <xf numFmtId="9" fontId="10" fillId="0" borderId="0" xfId="0" applyNumberFormat="1" applyFont="1" applyProtection="1">
      <protection hidden="1"/>
    </xf>
    <xf numFmtId="0" fontId="10" fillId="2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7" fillId="0" borderId="1" xfId="0" applyFont="1" applyBorder="1" applyAlignment="1" applyProtection="1">
      <alignment horizontal="center" wrapText="1"/>
      <protection hidden="1"/>
    </xf>
    <xf numFmtId="0" fontId="7" fillId="3" borderId="2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2" fillId="0" borderId="3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left" vertical="center" indent="2"/>
      <protection hidden="1"/>
    </xf>
    <xf numFmtId="0" fontId="4" fillId="0" borderId="5" xfId="0" applyFont="1" applyBorder="1" applyAlignment="1" applyProtection="1">
      <alignment horizontal="right" vertical="center"/>
      <protection hidden="1"/>
    </xf>
    <xf numFmtId="3" fontId="6" fillId="0" borderId="4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left" vertical="center" indent="2"/>
      <protection hidden="1"/>
    </xf>
    <xf numFmtId="0" fontId="4" fillId="0" borderId="7" xfId="0" applyFont="1" applyBorder="1" applyAlignment="1" applyProtection="1">
      <alignment horizontal="right" vertical="center"/>
      <protection hidden="1"/>
    </xf>
    <xf numFmtId="3" fontId="6" fillId="0" borderId="6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Alignment="1" applyProtection="1">
      <alignment horizontal="center" vertical="center"/>
      <protection hidden="1"/>
    </xf>
    <xf numFmtId="4" fontId="0" fillId="0" borderId="0" xfId="0" applyNumberFormat="1" applyProtection="1">
      <protection hidden="1"/>
    </xf>
    <xf numFmtId="4" fontId="5" fillId="0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0" fontId="6" fillId="0" borderId="8" xfId="0" applyFont="1" applyBorder="1" applyAlignment="1" applyProtection="1">
      <alignment horizontal="left" vertical="center" indent="2"/>
      <protection hidden="1"/>
    </xf>
    <xf numFmtId="0" fontId="4" fillId="0" borderId="9" xfId="0" applyFont="1" applyBorder="1" applyAlignment="1" applyProtection="1">
      <alignment horizontal="right" vertical="center"/>
      <protection hidden="1"/>
    </xf>
    <xf numFmtId="3" fontId="6" fillId="0" borderId="8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3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20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0" fillId="0" borderId="0" xfId="0" applyBorder="1" applyProtection="1">
      <protection hidden="1"/>
    </xf>
    <xf numFmtId="0" fontId="8" fillId="0" borderId="0" xfId="0" applyFont="1" applyBorder="1" applyAlignment="1" applyProtection="1">
      <alignment horizontal="center"/>
      <protection hidden="1"/>
    </xf>
    <xf numFmtId="3" fontId="0" fillId="0" borderId="0" xfId="0" applyNumberFormat="1" applyFill="1" applyProtection="1"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8" fillId="0" borderId="0" xfId="0" applyNumberFormat="1" applyFont="1" applyProtection="1">
      <protection hidden="1"/>
    </xf>
    <xf numFmtId="0" fontId="8" fillId="0" borderId="0" xfId="0" applyFont="1" applyFill="1" applyProtection="1">
      <protection hidden="1"/>
    </xf>
    <xf numFmtId="4" fontId="11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6" fillId="0" borderId="1" xfId="0" applyFont="1" applyBorder="1" applyAlignment="1" applyProtection="1">
      <alignment horizontal="left" vertical="center" indent="2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 wrapText="1"/>
      <protection hidden="1"/>
    </xf>
    <xf numFmtId="3" fontId="8" fillId="0" borderId="0" xfId="0" applyNumberFormat="1" applyFont="1" applyFill="1" applyBorder="1" applyProtection="1">
      <protection hidden="1"/>
    </xf>
    <xf numFmtId="3" fontId="6" fillId="0" borderId="10" xfId="0" applyNumberFormat="1" applyFont="1" applyBorder="1" applyAlignment="1" applyProtection="1">
      <alignment horizontal="center" vertical="center" wrapText="1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Border="1" applyProtection="1"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9" xfId="0" applyFont="1" applyBorder="1" applyAlignment="1" applyProtection="1">
      <alignment horizontal="center" vertical="center" wrapText="1"/>
      <protection hidden="1"/>
    </xf>
    <xf numFmtId="4" fontId="8" fillId="0" borderId="0" xfId="0" applyNumberFormat="1" applyFont="1" applyAlignment="1" applyProtection="1">
      <alignment horizontal="center"/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protection hidden="1"/>
    </xf>
    <xf numFmtId="0" fontId="6" fillId="4" borderId="1" xfId="0" applyFont="1" applyFill="1" applyBorder="1" applyAlignment="1" applyProtection="1">
      <alignment horizontal="left" vertical="center" wrapText="1" indent="2"/>
      <protection hidden="1"/>
    </xf>
    <xf numFmtId="0" fontId="6" fillId="0" borderId="12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left" vertical="center" wrapText="1" indent="1"/>
      <protection hidden="1"/>
    </xf>
    <xf numFmtId="4" fontId="2" fillId="3" borderId="1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1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left" vertical="center" wrapText="1" indent="1"/>
      <protection hidden="1"/>
    </xf>
    <xf numFmtId="166" fontId="6" fillId="0" borderId="8" xfId="0" applyNumberFormat="1" applyFont="1" applyBorder="1" applyAlignment="1" applyProtection="1">
      <alignment horizontal="center" vertical="center" wrapText="1"/>
      <protection hidden="1"/>
    </xf>
    <xf numFmtId="4" fontId="2" fillId="3" borderId="15" xfId="0" applyNumberFormat="1" applyFont="1" applyFill="1" applyBorder="1" applyAlignment="1" applyProtection="1">
      <alignment horizontal="center" vertical="center" wrapText="1"/>
      <protection hidden="1"/>
    </xf>
    <xf numFmtId="9" fontId="8" fillId="3" borderId="11" xfId="0" applyNumberFormat="1" applyFont="1" applyFill="1" applyBorder="1" applyAlignment="1" applyProtection="1">
      <alignment horizontal="center"/>
      <protection locked="0" hidden="1"/>
    </xf>
    <xf numFmtId="0" fontId="13" fillId="0" borderId="0" xfId="0" applyFont="1" applyProtection="1">
      <protection hidden="1"/>
    </xf>
    <xf numFmtId="9" fontId="12" fillId="0" borderId="0" xfId="2" applyFont="1" applyProtection="1">
      <protection hidden="1"/>
    </xf>
    <xf numFmtId="0" fontId="17" fillId="0" borderId="16" xfId="1" applyBorder="1" applyAlignment="1" applyProtection="1">
      <alignment horizontal="left" indent="1"/>
      <protection hidden="1"/>
    </xf>
    <xf numFmtId="0" fontId="13" fillId="0" borderId="16" xfId="0" applyFont="1" applyBorder="1" applyAlignment="1" applyProtection="1">
      <alignment horizontal="right"/>
      <protection hidden="1"/>
    </xf>
    <xf numFmtId="167" fontId="13" fillId="0" borderId="16" xfId="0" applyNumberFormat="1" applyFont="1" applyBorder="1" applyAlignment="1" applyProtection="1">
      <alignment horizontal="left"/>
      <protection hidden="1"/>
    </xf>
    <xf numFmtId="0" fontId="17" fillId="0" borderId="17" xfId="1" applyBorder="1" applyAlignment="1" applyProtection="1">
      <alignment horizontal="left" indent="1"/>
      <protection hidden="1"/>
    </xf>
    <xf numFmtId="0" fontId="13" fillId="0" borderId="17" xfId="0" applyFont="1" applyBorder="1" applyAlignment="1" applyProtection="1">
      <alignment horizontal="right"/>
      <protection hidden="1"/>
    </xf>
    <xf numFmtId="167" fontId="13" fillId="0" borderId="17" xfId="0" applyNumberFormat="1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 indent="2"/>
      <protection hidden="1"/>
    </xf>
    <xf numFmtId="0" fontId="13" fillId="0" borderId="0" xfId="0" applyFont="1" applyAlignment="1" applyProtection="1">
      <alignment horizontal="left" indent="3"/>
      <protection hidden="1"/>
    </xf>
    <xf numFmtId="0" fontId="13" fillId="0" borderId="0" xfId="0" applyFont="1" applyAlignment="1" applyProtection="1">
      <alignment horizontal="left" indent="1"/>
      <protection hidden="1"/>
    </xf>
    <xf numFmtId="2" fontId="24" fillId="0" borderId="0" xfId="0" applyNumberFormat="1" applyFont="1" applyProtection="1">
      <protection hidden="1"/>
    </xf>
    <xf numFmtId="4" fontId="0" fillId="0" borderId="0" xfId="0" applyNumberFormat="1" applyAlignment="1" applyProtection="1">
      <protection hidden="1"/>
    </xf>
    <xf numFmtId="4" fontId="0" fillId="0" borderId="0" xfId="0" applyNumberFormat="1" applyFill="1" applyProtection="1">
      <protection hidden="1"/>
    </xf>
    <xf numFmtId="4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8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0" fontId="17" fillId="0" borderId="16" xfId="1" applyFont="1" applyBorder="1" applyAlignment="1" applyProtection="1">
      <alignment horizontal="left" indent="1"/>
      <protection hidden="1"/>
    </xf>
    <xf numFmtId="0" fontId="5" fillId="0" borderId="0" xfId="0" applyFont="1" applyProtection="1">
      <protection hidden="1"/>
    </xf>
    <xf numFmtId="14" fontId="26" fillId="0" borderId="0" xfId="0" applyNumberFormat="1" applyFont="1" applyAlignment="1" applyProtection="1">
      <alignment horizontal="center"/>
      <protection hidden="1"/>
    </xf>
    <xf numFmtId="2" fontId="8" fillId="0" borderId="0" xfId="0" applyNumberFormat="1" applyFont="1" applyAlignment="1" applyProtection="1">
      <protection hidden="1"/>
    </xf>
    <xf numFmtId="0" fontId="16" fillId="0" borderId="19" xfId="0" applyFont="1" applyBorder="1" applyAlignment="1" applyProtection="1">
      <alignment horizontal="right" indent="2"/>
      <protection hidden="1"/>
    </xf>
    <xf numFmtId="4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9" xfId="0" applyFont="1" applyBorder="1" applyAlignment="1" applyProtection="1">
      <alignment horizontal="right"/>
      <protection hidden="1"/>
    </xf>
    <xf numFmtId="3" fontId="6" fillId="0" borderId="0" xfId="0" applyNumberFormat="1" applyFont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4" fillId="0" borderId="14" xfId="0" applyFont="1" applyBorder="1" applyAlignment="1" applyProtection="1">
      <alignment horizontal="left" vertical="center" wrapText="1" indent="1"/>
      <protection hidden="1"/>
    </xf>
    <xf numFmtId="0" fontId="15" fillId="0" borderId="0" xfId="0" applyFont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3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0" borderId="20" xfId="0" applyFont="1" applyBorder="1" applyAlignment="1" applyProtection="1">
      <alignment horizontal="left" vertical="center" indent="2"/>
      <protection hidden="1"/>
    </xf>
    <xf numFmtId="0" fontId="6" fillId="0" borderId="9" xfId="0" applyFont="1" applyBorder="1" applyAlignment="1" applyProtection="1">
      <alignment horizontal="left" vertical="center" indent="2"/>
      <protection hidden="1"/>
    </xf>
    <xf numFmtId="166" fontId="6" fillId="0" borderId="6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left"/>
      <protection hidden="1"/>
    </xf>
    <xf numFmtId="0" fontId="29" fillId="0" borderId="16" xfId="0" applyFont="1" applyBorder="1" applyAlignment="1" applyProtection="1">
      <alignment horizontal="left"/>
      <protection hidden="1"/>
    </xf>
    <xf numFmtId="0" fontId="29" fillId="0" borderId="0" xfId="0" applyFont="1" applyAlignment="1" applyProtection="1">
      <alignment horizontal="right"/>
      <protection hidden="1"/>
    </xf>
    <xf numFmtId="0" fontId="30" fillId="0" borderId="0" xfId="0" applyFont="1" applyBorder="1" applyAlignment="1" applyProtection="1">
      <alignment vertical="top" wrapText="1"/>
      <protection hidden="1"/>
    </xf>
    <xf numFmtId="0" fontId="6" fillId="0" borderId="21" xfId="0" applyFont="1" applyBorder="1" applyAlignment="1" applyProtection="1">
      <alignment horizontal="left" vertical="center" indent="2"/>
      <protection hidden="1"/>
    </xf>
    <xf numFmtId="0" fontId="23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14" fillId="0" borderId="0" xfId="0" applyFont="1" applyFill="1" applyBorder="1" applyAlignment="1" applyProtection="1">
      <alignment horizontal="left" wrapText="1"/>
      <protection hidden="1"/>
    </xf>
    <xf numFmtId="0" fontId="2" fillId="5" borderId="3" xfId="0" applyFont="1" applyFill="1" applyBorder="1" applyAlignment="1" applyProtection="1">
      <alignment horizontal="center" wrapText="1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8" fillId="0" borderId="3" xfId="0" applyFont="1" applyFill="1" applyBorder="1" applyAlignment="1" applyProtection="1">
      <alignment horizontal="center"/>
      <protection hidden="1"/>
    </xf>
    <xf numFmtId="0" fontId="0" fillId="5" borderId="3" xfId="0" applyFill="1" applyBorder="1" applyProtection="1">
      <protection hidden="1"/>
    </xf>
    <xf numFmtId="0" fontId="6" fillId="4" borderId="5" xfId="0" applyFont="1" applyFill="1" applyBorder="1" applyAlignment="1" applyProtection="1">
      <alignment horizontal="right" vertical="center" wrapText="1"/>
      <protection hidden="1"/>
    </xf>
    <xf numFmtId="0" fontId="6" fillId="4" borderId="7" xfId="0" applyFont="1" applyFill="1" applyBorder="1" applyAlignment="1" applyProtection="1">
      <alignment horizontal="right" vertical="center" wrapText="1"/>
      <protection hidden="1"/>
    </xf>
    <xf numFmtId="0" fontId="6" fillId="4" borderId="9" xfId="0" applyFont="1" applyFill="1" applyBorder="1" applyAlignment="1" applyProtection="1">
      <alignment horizontal="right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3" fontId="6" fillId="0" borderId="5" xfId="0" applyNumberFormat="1" applyFont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center" vertical="center" wrapText="1"/>
      <protection hidden="1"/>
    </xf>
    <xf numFmtId="3" fontId="6" fillId="0" borderId="9" xfId="0" applyNumberFormat="1" applyFont="1" applyBorder="1" applyAlignment="1" applyProtection="1">
      <alignment horizontal="center" vertical="center" wrapText="1"/>
      <protection hidden="1"/>
    </xf>
    <xf numFmtId="166" fontId="6" fillId="0" borderId="7" xfId="0" applyNumberFormat="1" applyFont="1" applyBorder="1" applyAlignment="1" applyProtection="1">
      <alignment horizontal="center" vertical="center" wrapText="1"/>
      <protection hidden="1"/>
    </xf>
    <xf numFmtId="4" fontId="32" fillId="3" borderId="13" xfId="1" applyNumberFormat="1" applyFont="1" applyFill="1" applyBorder="1" applyAlignment="1" applyProtection="1">
      <alignment horizontal="left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Border="1" applyProtection="1">
      <protection hidden="1"/>
    </xf>
    <xf numFmtId="0" fontId="23" fillId="0" borderId="0" xfId="1" applyFont="1" applyBorder="1" applyAlignment="1" applyProtection="1">
      <alignment horizontal="right"/>
      <protection hidden="1"/>
    </xf>
    <xf numFmtId="0" fontId="20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9" fontId="22" fillId="0" borderId="0" xfId="0" applyNumberFormat="1" applyFont="1" applyFill="1" applyBorder="1" applyAlignment="1" applyProtection="1">
      <alignment horizontal="left" wrapText="1"/>
      <protection hidden="1"/>
    </xf>
    <xf numFmtId="0" fontId="22" fillId="0" borderId="0" xfId="0" applyFont="1" applyFill="1" applyBorder="1" applyAlignment="1" applyProtection="1">
      <alignment horizontal="left" wrapText="1"/>
      <protection hidden="1"/>
    </xf>
    <xf numFmtId="9" fontId="14" fillId="0" borderId="0" xfId="0" applyNumberFormat="1" applyFont="1" applyFill="1" applyBorder="1" applyAlignment="1" applyProtection="1">
      <alignment horizontal="left" wrapText="1"/>
      <protection hidden="1"/>
    </xf>
    <xf numFmtId="0" fontId="23" fillId="0" borderId="0" xfId="1" applyFont="1" applyFill="1" applyBorder="1" applyAlignment="1" applyProtection="1">
      <protection hidden="1"/>
    </xf>
    <xf numFmtId="0" fontId="6" fillId="0" borderId="11" xfId="0" applyFont="1" applyBorder="1" applyAlignment="1" applyProtection="1">
      <alignment horizontal="left" vertical="center" indent="2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3" fillId="0" borderId="0" xfId="1" applyFont="1" applyFill="1" applyBorder="1" applyAlignment="1" applyProtection="1">
      <alignment horizontal="right"/>
      <protection hidden="1"/>
    </xf>
    <xf numFmtId="3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center" vertical="center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26" xfId="0" applyFont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4" xfId="0" applyFont="1" applyFill="1" applyBorder="1" applyAlignment="1" applyProtection="1">
      <alignment horizontal="right" vertical="center" wrapText="1"/>
      <protection hidden="1"/>
    </xf>
    <xf numFmtId="0" fontId="6" fillId="4" borderId="13" xfId="0" applyFont="1" applyFill="1" applyBorder="1" applyAlignment="1" applyProtection="1">
      <alignment horizontal="right" vertical="center" wrapText="1"/>
      <protection hidden="1"/>
    </xf>
    <xf numFmtId="0" fontId="6" fillId="4" borderId="15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21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5" xfId="0" applyFont="1" applyBorder="1" applyAlignment="1" applyProtection="1">
      <alignment horizontal="right" vertical="center"/>
      <protection hidden="1"/>
    </xf>
    <xf numFmtId="0" fontId="6" fillId="4" borderId="27" xfId="0" applyFont="1" applyFill="1" applyBorder="1" applyAlignment="1" applyProtection="1">
      <alignment horizontal="right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28" xfId="0" applyFont="1" applyFill="1" applyBorder="1" applyAlignment="1" applyProtection="1">
      <alignment horizontal="center" vertical="center" wrapText="1"/>
      <protection hidden="1"/>
    </xf>
    <xf numFmtId="0" fontId="20" fillId="5" borderId="29" xfId="0" applyFont="1" applyFill="1" applyBorder="1" applyProtection="1">
      <protection hidden="1"/>
    </xf>
    <xf numFmtId="0" fontId="4" fillId="0" borderId="30" xfId="0" applyFont="1" applyBorder="1" applyAlignment="1" applyProtection="1">
      <alignment horizontal="right" vertical="center"/>
      <protection hidden="1"/>
    </xf>
    <xf numFmtId="0" fontId="6" fillId="4" borderId="14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right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 vertical="center" indent="2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3" fontId="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1" applyBorder="1" applyAlignment="1" applyProtection="1">
      <alignment horizontal="left" indent="1"/>
    </xf>
    <xf numFmtId="4" fontId="2" fillId="0" borderId="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3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9" fontId="13" fillId="0" borderId="0" xfId="0" applyNumberFormat="1" applyFont="1" applyProtection="1">
      <protection hidden="1"/>
    </xf>
    <xf numFmtId="0" fontId="36" fillId="6" borderId="3" xfId="0" applyFont="1" applyFill="1" applyBorder="1" applyAlignment="1" applyProtection="1">
      <alignment horizontal="center"/>
      <protection locked="0" hidden="1"/>
    </xf>
    <xf numFmtId="2" fontId="38" fillId="0" borderId="0" xfId="0" applyNumberFormat="1" applyFont="1" applyAlignme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165" fontId="1" fillId="0" borderId="16" xfId="0" applyNumberFormat="1" applyFont="1" applyFill="1" applyBorder="1" applyAlignment="1" applyProtection="1">
      <alignment horizontal="center"/>
      <protection locked="0" hidden="1"/>
    </xf>
    <xf numFmtId="0" fontId="39" fillId="0" borderId="0" xfId="0" applyFont="1" applyAlignment="1" applyProtection="1">
      <alignment horizontal="right"/>
      <protection hidden="1"/>
    </xf>
    <xf numFmtId="0" fontId="39" fillId="0" borderId="0" xfId="0" applyFont="1" applyProtection="1">
      <protection hidden="1"/>
    </xf>
    <xf numFmtId="9" fontId="40" fillId="0" borderId="19" xfId="0" applyNumberFormat="1" applyFont="1" applyFill="1" applyBorder="1" applyAlignment="1" applyProtection="1">
      <alignment horizontal="center"/>
      <protection locked="0" hidden="1"/>
    </xf>
    <xf numFmtId="0" fontId="15" fillId="7" borderId="0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/>
      <protection hidden="1"/>
    </xf>
    <xf numFmtId="4" fontId="8" fillId="7" borderId="0" xfId="0" applyNumberFormat="1" applyFont="1" applyFill="1" applyBorder="1" applyAlignment="1" applyProtection="1">
      <alignment horizontal="center"/>
      <protection hidden="1"/>
    </xf>
    <xf numFmtId="0" fontId="41" fillId="0" borderId="0" xfId="0" applyFont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protection hidden="1"/>
    </xf>
    <xf numFmtId="3" fontId="20" fillId="0" borderId="0" xfId="0" applyNumberFormat="1" applyFont="1" applyAlignment="1" applyProtection="1">
      <protection hidden="1"/>
    </xf>
    <xf numFmtId="3" fontId="20" fillId="0" borderId="0" xfId="0" applyNumberFormat="1" applyFont="1" applyFill="1" applyBorder="1" applyProtection="1">
      <protection hidden="1"/>
    </xf>
    <xf numFmtId="4" fontId="20" fillId="0" borderId="0" xfId="0" applyNumberFormat="1" applyFont="1" applyFill="1" applyBorder="1" applyProtection="1">
      <protection hidden="1"/>
    </xf>
    <xf numFmtId="3" fontId="6" fillId="0" borderId="0" xfId="0" applyNumberFormat="1" applyFont="1" applyFill="1" applyProtection="1">
      <protection hidden="1"/>
    </xf>
    <xf numFmtId="3" fontId="20" fillId="0" borderId="0" xfId="0" applyNumberFormat="1" applyFont="1" applyProtection="1"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6" fillId="0" borderId="16" xfId="0" applyFont="1" applyBorder="1" applyAlignment="1" applyProtection="1">
      <protection hidden="1"/>
    </xf>
    <xf numFmtId="0" fontId="3" fillId="0" borderId="0" xfId="0" applyFont="1" applyFill="1" applyProtection="1">
      <protection hidden="1"/>
    </xf>
    <xf numFmtId="4" fontId="42" fillId="0" borderId="0" xfId="0" applyNumberFormat="1" applyFont="1" applyAlignment="1" applyProtection="1">
      <alignment horizontal="center" vertical="center"/>
      <protection hidden="1"/>
    </xf>
    <xf numFmtId="0" fontId="42" fillId="0" borderId="0" xfId="0" applyFont="1" applyFill="1" applyBorder="1" applyAlignment="1" applyProtection="1">
      <alignment horizontal="center" vertical="center"/>
      <protection hidden="1"/>
    </xf>
    <xf numFmtId="0" fontId="20" fillId="0" borderId="17" xfId="0" applyFont="1" applyBorder="1" applyProtection="1">
      <protection hidden="1"/>
    </xf>
    <xf numFmtId="0" fontId="3" fillId="0" borderId="0" xfId="0" applyFont="1" applyProtection="1">
      <protection hidden="1"/>
    </xf>
    <xf numFmtId="0" fontId="6" fillId="0" borderId="27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 vertical="top" wrapText="1"/>
      <protection hidden="1"/>
    </xf>
    <xf numFmtId="0" fontId="3" fillId="0" borderId="16" xfId="0" applyFont="1" applyBorder="1" applyAlignment="1" applyProtection="1">
      <protection hidden="1"/>
    </xf>
    <xf numFmtId="0" fontId="6" fillId="0" borderId="16" xfId="0" applyFont="1" applyBorder="1" applyAlignment="1" applyProtection="1">
      <alignment horizontal="right" indent="1"/>
      <protection hidden="1"/>
    </xf>
    <xf numFmtId="9" fontId="6" fillId="0" borderId="16" xfId="0" applyNumberFormat="1" applyFont="1" applyBorder="1" applyAlignment="1" applyProtection="1">
      <alignment horizontal="left"/>
      <protection hidden="1"/>
    </xf>
    <xf numFmtId="0" fontId="6" fillId="0" borderId="17" xfId="0" applyFont="1" applyBorder="1" applyAlignment="1" applyProtection="1">
      <alignment horizontal="right" indent="1"/>
      <protection hidden="1"/>
    </xf>
    <xf numFmtId="165" fontId="6" fillId="0" borderId="17" xfId="0" applyNumberFormat="1" applyFont="1" applyBorder="1" applyAlignment="1" applyProtection="1">
      <alignment horizontal="left"/>
      <protection hidden="1"/>
    </xf>
    <xf numFmtId="0" fontId="20" fillId="0" borderId="17" xfId="0" applyFont="1" applyBorder="1" applyAlignment="1" applyProtection="1">
      <alignment horizontal="right" indent="1"/>
      <protection hidden="1"/>
    </xf>
    <xf numFmtId="9" fontId="6" fillId="0" borderId="17" xfId="0" applyNumberFormat="1" applyFont="1" applyBorder="1" applyAlignment="1" applyProtection="1">
      <alignment horizontal="left"/>
      <protection hidden="1"/>
    </xf>
    <xf numFmtId="0" fontId="20" fillId="0" borderId="16" xfId="0" applyFont="1" applyBorder="1" applyProtection="1">
      <protection hidden="1"/>
    </xf>
    <xf numFmtId="0" fontId="6" fillId="0" borderId="5" xfId="0" applyFont="1" applyBorder="1" applyAlignment="1" applyProtection="1">
      <alignment horizontal="left" vertical="center" indent="2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" fontId="32" fillId="3" borderId="15" xfId="1" applyNumberFormat="1" applyFont="1" applyFill="1" applyBorder="1" applyAlignment="1" applyProtection="1">
      <alignment horizontal="left" vertical="center" wrapText="1"/>
      <protection hidden="1"/>
    </xf>
    <xf numFmtId="4" fontId="8" fillId="0" borderId="0" xfId="0" applyNumberFormat="1" applyFont="1" applyAlignment="1" applyProtection="1">
      <alignment horizontal="right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4" fontId="0" fillId="0" borderId="0" xfId="0" applyNumberFormat="1" applyAlignment="1" applyProtection="1">
      <alignment horizontal="right"/>
      <protection hidden="1"/>
    </xf>
    <xf numFmtId="2" fontId="5" fillId="0" borderId="0" xfId="0" applyNumberFormat="1" applyFont="1" applyAlignment="1" applyProtection="1">
      <protection hidden="1"/>
    </xf>
    <xf numFmtId="2" fontId="5" fillId="0" borderId="0" xfId="0" applyNumberFormat="1" applyFont="1" applyFill="1" applyBorder="1" applyProtection="1">
      <protection hidden="1"/>
    </xf>
    <xf numFmtId="0" fontId="6" fillId="4" borderId="33" xfId="0" applyFont="1" applyFill="1" applyBorder="1" applyAlignment="1" applyProtection="1">
      <alignment horizontal="center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39" xfId="0" applyFont="1" applyFill="1" applyBorder="1" applyAlignment="1" applyProtection="1">
      <alignment horizontal="center" vertical="center" wrapText="1"/>
      <protection hidden="1"/>
    </xf>
    <xf numFmtId="0" fontId="6" fillId="4" borderId="38" xfId="0" applyFont="1" applyFill="1" applyBorder="1" applyAlignment="1" applyProtection="1">
      <alignment horizontal="center" vertical="center" wrapText="1"/>
      <protection hidden="1"/>
    </xf>
    <xf numFmtId="4" fontId="2" fillId="0" borderId="4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9" xfId="0" applyNumberFormat="1" applyFont="1" applyFill="1" applyBorder="1" applyAlignment="1" applyProtection="1">
      <alignment horizontal="right" vertical="center" wrapText="1" indent="1"/>
      <protection hidden="1"/>
    </xf>
    <xf numFmtId="4" fontId="2" fillId="3" borderId="4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3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2" xfId="0" applyNumberFormat="1" applyFont="1" applyBorder="1" applyAlignment="1" applyProtection="1">
      <alignment horizontal="center" vertical="center" wrapText="1"/>
      <protection hidden="1"/>
    </xf>
    <xf numFmtId="3" fontId="6" fillId="0" borderId="17" xfId="0" applyNumberFormat="1" applyFont="1" applyBorder="1" applyAlignment="1" applyProtection="1">
      <alignment horizontal="center" vertical="center" wrapText="1"/>
      <protection hidden="1"/>
    </xf>
    <xf numFmtId="3" fontId="6" fillId="0" borderId="23" xfId="0" applyNumberFormat="1" applyFont="1" applyBorder="1" applyAlignment="1" applyProtection="1">
      <alignment horizontal="center" vertical="center" wrapText="1"/>
      <protection hidden="1"/>
    </xf>
    <xf numFmtId="0" fontId="16" fillId="0" borderId="27" xfId="0" applyFont="1" applyFill="1" applyBorder="1" applyAlignment="1" applyProtection="1">
      <alignment horizontal="right" indent="2"/>
      <protection hidden="1"/>
    </xf>
    <xf numFmtId="0" fontId="16" fillId="0" borderId="13" xfId="0" applyFont="1" applyFill="1" applyBorder="1" applyAlignment="1" applyProtection="1">
      <alignment horizontal="right" indent="2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3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17" xfId="0" applyFont="1" applyFill="1" applyBorder="1" applyAlignment="1" applyProtection="1">
      <protection hidden="1"/>
    </xf>
    <xf numFmtId="0" fontId="6" fillId="0" borderId="1" xfId="0" applyFont="1" applyFill="1" applyBorder="1" applyAlignment="1" applyProtection="1">
      <alignment horizontal="left" vertical="center" indent="2"/>
      <protection hidden="1"/>
    </xf>
    <xf numFmtId="4" fontId="8" fillId="0" borderId="0" xfId="0" applyNumberFormat="1" applyFont="1" applyFill="1" applyBorder="1" applyProtection="1">
      <protection hidden="1"/>
    </xf>
    <xf numFmtId="0" fontId="1" fillId="0" borderId="0" xfId="0" applyFont="1" applyAlignment="1" applyProtection="1">
      <protection hidden="1"/>
    </xf>
    <xf numFmtId="2" fontId="0" fillId="0" borderId="0" xfId="0" applyNumberFormat="1" applyFill="1" applyProtection="1">
      <protection hidden="1"/>
    </xf>
    <xf numFmtId="0" fontId="6" fillId="0" borderId="45" xfId="0" applyFont="1" applyBorder="1" applyAlignment="1" applyProtection="1">
      <alignment horizontal="left" vertical="center" indent="2"/>
      <protection hidden="1"/>
    </xf>
    <xf numFmtId="0" fontId="4" fillId="0" borderId="46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 indent="1"/>
      <protection hidden="1"/>
    </xf>
    <xf numFmtId="9" fontId="8" fillId="0" borderId="0" xfId="2" applyFont="1" applyAlignment="1" applyProtection="1">
      <alignment horizontal="right"/>
      <protection hidden="1"/>
    </xf>
    <xf numFmtId="0" fontId="4" fillId="0" borderId="26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7" fillId="0" borderId="0" xfId="0" applyFont="1" applyProtection="1">
      <protection hidden="1"/>
    </xf>
    <xf numFmtId="9" fontId="47" fillId="0" borderId="0" xfId="0" applyNumberFormat="1" applyFont="1" applyProtection="1">
      <protection hidden="1"/>
    </xf>
    <xf numFmtId="9" fontId="48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2" fontId="5" fillId="0" borderId="0" xfId="0" applyNumberFormat="1" applyFont="1" applyFill="1" applyAlignment="1" applyProtection="1">
      <alignment horizontal="center" vertical="center"/>
      <protection hidden="1"/>
    </xf>
    <xf numFmtId="4" fontId="2" fillId="0" borderId="1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 indent="1"/>
      <protection hidden="1"/>
    </xf>
    <xf numFmtId="2" fontId="50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0" fontId="52" fillId="5" borderId="29" xfId="0" applyFont="1" applyFill="1" applyBorder="1" applyProtection="1">
      <protection hidden="1"/>
    </xf>
    <xf numFmtId="4" fontId="32" fillId="3" borderId="7" xfId="1" applyNumberFormat="1" applyFont="1" applyFill="1" applyBorder="1" applyAlignment="1" applyProtection="1">
      <alignment horizontal="left" vertical="center" wrapText="1"/>
      <protection hidden="1"/>
    </xf>
    <xf numFmtId="9" fontId="0" fillId="0" borderId="0" xfId="2" applyFont="1" applyProtection="1">
      <protection hidden="1"/>
    </xf>
    <xf numFmtId="0" fontId="0" fillId="0" borderId="11" xfId="0" applyFill="1" applyBorder="1" applyProtection="1">
      <protection hidden="1"/>
    </xf>
    <xf numFmtId="4" fontId="2" fillId="3" borderId="34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 indent="1"/>
      <protection hidden="1"/>
    </xf>
    <xf numFmtId="0" fontId="23" fillId="0" borderId="0" xfId="1" applyFont="1" applyAlignment="1" applyProtection="1"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left" vertical="center" wrapText="1" indent="2"/>
      <protection hidden="1"/>
    </xf>
    <xf numFmtId="0" fontId="6" fillId="4" borderId="25" xfId="0" applyFont="1" applyFill="1" applyBorder="1" applyAlignment="1" applyProtection="1">
      <alignment horizontal="left" vertical="center" wrapText="1" indent="2"/>
      <protection hidden="1"/>
    </xf>
    <xf numFmtId="0" fontId="4" fillId="0" borderId="24" xfId="0" applyFont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left" vertical="center" wrapText="1" indent="2"/>
      <protection hidden="1"/>
    </xf>
    <xf numFmtId="2" fontId="0" fillId="0" borderId="0" xfId="2" applyNumberFormat="1" applyFont="1" applyProtection="1">
      <protection hidden="1"/>
    </xf>
    <xf numFmtId="0" fontId="0" fillId="0" borderId="0" xfId="0" applyBorder="1" applyAlignment="1"/>
    <xf numFmtId="0" fontId="4" fillId="0" borderId="7" xfId="0" applyFont="1" applyBorder="1" applyAlignment="1" applyProtection="1">
      <alignment horizontal="center" vertical="center" wrapText="1"/>
      <protection hidden="1"/>
    </xf>
    <xf numFmtId="0" fontId="6" fillId="0" borderId="7" xfId="0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horizontal="left" vertical="center" indent="2"/>
      <protection hidden="1"/>
    </xf>
    <xf numFmtId="0" fontId="4" fillId="0" borderId="32" xfId="0" applyFont="1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protection hidden="1"/>
    </xf>
    <xf numFmtId="0" fontId="17" fillId="0" borderId="0" xfId="1" applyFill="1" applyAlignment="1" applyProtection="1">
      <protection hidden="1"/>
    </xf>
    <xf numFmtId="4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7" fontId="53" fillId="0" borderId="17" xfId="0" applyNumberFormat="1" applyFont="1" applyBorder="1" applyAlignment="1" applyProtection="1">
      <alignment horizontal="left"/>
      <protection hidden="1"/>
    </xf>
    <xf numFmtId="0" fontId="4" fillId="0" borderId="31" xfId="0" applyFont="1" applyBorder="1" applyAlignment="1" applyProtection="1">
      <alignment horizontal="right" vertical="center"/>
      <protection hidden="1"/>
    </xf>
    <xf numFmtId="0" fontId="17" fillId="0" borderId="0" xfId="1" applyAlignment="1" applyProtection="1">
      <protection hidden="1"/>
    </xf>
    <xf numFmtId="4" fontId="2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32" xfId="0" applyFont="1" applyFill="1" applyBorder="1" applyAlignment="1" applyProtection="1">
      <alignment vertical="center" wrapText="1"/>
      <protection hidden="1"/>
    </xf>
    <xf numFmtId="0" fontId="4" fillId="0" borderId="11" xfId="0" applyFont="1" applyBorder="1" applyAlignment="1" applyProtection="1">
      <alignment horizontal="right" vertical="center"/>
      <protection hidden="1"/>
    </xf>
    <xf numFmtId="4" fontId="0" fillId="0" borderId="12" xfId="0" applyNumberFormat="1" applyFill="1" applyBorder="1" applyProtection="1">
      <protection hidden="1"/>
    </xf>
    <xf numFmtId="0" fontId="4" fillId="0" borderId="2" xfId="0" applyFont="1" applyBorder="1" applyAlignment="1" applyProtection="1">
      <alignment horizontal="right" vertical="center"/>
      <protection hidden="1"/>
    </xf>
    <xf numFmtId="4" fontId="2" fillId="0" borderId="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 indent="1"/>
      <protection hidden="1"/>
    </xf>
    <xf numFmtId="0" fontId="0" fillId="9" borderId="11" xfId="0" applyFill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2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5" xfId="0" applyFont="1" applyFill="1" applyBorder="1" applyAlignment="1" applyProtection="1">
      <alignment horizontal="left" vertical="center" indent="2"/>
      <protection hidden="1"/>
    </xf>
    <xf numFmtId="0" fontId="6" fillId="0" borderId="9" xfId="0" applyFont="1" applyFill="1" applyBorder="1" applyAlignment="1" applyProtection="1">
      <alignment horizontal="left" vertical="center" indent="2"/>
      <protection hidden="1"/>
    </xf>
    <xf numFmtId="0" fontId="3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hidden="1"/>
    </xf>
    <xf numFmtId="0" fontId="6" fillId="0" borderId="16" xfId="0" applyFont="1" applyFill="1" applyBorder="1" applyAlignment="1" applyProtection="1">
      <alignment vertical="center" wrapText="1"/>
      <protection hidden="1"/>
    </xf>
    <xf numFmtId="0" fontId="6" fillId="0" borderId="14" xfId="0" applyFont="1" applyBorder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20" fillId="5" borderId="29" xfId="0" applyFont="1" applyFill="1" applyBorder="1" applyAlignment="1" applyProtection="1">
      <alignment vertical="center"/>
      <protection hidden="1"/>
    </xf>
    <xf numFmtId="0" fontId="20" fillId="5" borderId="2" xfId="0" applyFont="1" applyFill="1" applyBorder="1" applyAlignment="1" applyProtection="1">
      <alignment vertical="center"/>
      <protection hidden="1"/>
    </xf>
    <xf numFmtId="0" fontId="6" fillId="0" borderId="16" xfId="0" applyFont="1" applyBorder="1" applyAlignment="1" applyProtection="1">
      <alignment vertical="center"/>
      <protection hidden="1"/>
    </xf>
    <xf numFmtId="0" fontId="6" fillId="0" borderId="27" xfId="0" applyFont="1" applyBorder="1" applyAlignment="1" applyProtection="1">
      <alignment horizontal="right" vertical="center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7" xfId="0" applyFont="1" applyBorder="1" applyAlignment="1" applyProtection="1">
      <alignment vertical="center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0" applyNumberFormat="1" applyFont="1" applyAlignment="1" applyProtection="1">
      <alignment vertical="center"/>
      <protection hidden="1"/>
    </xf>
    <xf numFmtId="3" fontId="20" fillId="0" borderId="0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4" fontId="46" fillId="0" borderId="7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29" xfId="1" applyFont="1" applyFill="1" applyBorder="1" applyAlignment="1" applyProtection="1">
      <alignment vertical="center"/>
      <protection hidden="1"/>
    </xf>
    <xf numFmtId="0" fontId="25" fillId="5" borderId="2" xfId="1" applyFont="1" applyFill="1" applyBorder="1" applyAlignment="1" applyProtection="1">
      <alignment vertical="center"/>
      <protection hidden="1"/>
    </xf>
    <xf numFmtId="0" fontId="6" fillId="0" borderId="22" xfId="0" applyFont="1" applyBorder="1" applyAlignment="1" applyProtection="1">
      <alignment vertical="center"/>
      <protection hidden="1"/>
    </xf>
    <xf numFmtId="4" fontId="2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0" applyNumberFormat="1" applyFont="1" applyFill="1" applyAlignment="1" applyProtection="1">
      <alignment vertical="center"/>
      <protection hidden="1"/>
    </xf>
    <xf numFmtId="0" fontId="6" fillId="0" borderId="17" xfId="0" applyFont="1" applyBorder="1" applyAlignment="1" applyProtection="1">
      <alignment horizontal="right" vertical="center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4" fontId="46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4" fontId="46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49" fillId="0" borderId="9" xfId="0" applyNumberFormat="1" applyFont="1" applyFill="1" applyBorder="1" applyAlignment="1" applyProtection="1">
      <alignment horizontal="right" vertical="center" wrapText="1"/>
      <protection hidden="1"/>
    </xf>
    <xf numFmtId="4" fontId="49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49" fillId="0" borderId="7" xfId="0" applyNumberFormat="1" applyFont="1" applyFill="1" applyBorder="1" applyAlignment="1" applyProtection="1">
      <alignment horizontal="right" vertical="center" wrapText="1"/>
      <protection hidden="1"/>
    </xf>
    <xf numFmtId="0" fontId="44" fillId="0" borderId="0" xfId="0" applyFont="1" applyFill="1" applyBorder="1" applyAlignment="1" applyProtection="1">
      <alignment horizontal="right" vertical="center"/>
      <protection hidden="1"/>
    </xf>
    <xf numFmtId="2" fontId="20" fillId="0" borderId="0" xfId="0" applyNumberFormat="1" applyFont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right" vertical="center"/>
      <protection hidden="1"/>
    </xf>
    <xf numFmtId="10" fontId="0" fillId="0" borderId="0" xfId="0" applyNumberFormat="1" applyFill="1" applyProtection="1">
      <protection hidden="1"/>
    </xf>
    <xf numFmtId="10" fontId="0" fillId="0" borderId="0" xfId="0" applyNumberFormat="1" applyProtection="1">
      <protection hidden="1"/>
    </xf>
    <xf numFmtId="9" fontId="0" fillId="0" borderId="0" xfId="0" applyNumberFormat="1" applyProtection="1">
      <protection hidden="1"/>
    </xf>
    <xf numFmtId="9" fontId="0" fillId="0" borderId="0" xfId="0" applyNumberFormat="1" applyFill="1" applyBorder="1" applyProtection="1">
      <protection hidden="1"/>
    </xf>
    <xf numFmtId="0" fontId="0" fillId="0" borderId="0" xfId="2" applyNumberFormat="1" applyFont="1" applyProtection="1">
      <protection hidden="1"/>
    </xf>
    <xf numFmtId="0" fontId="0" fillId="0" borderId="0" xfId="0" applyNumberFormat="1" applyProtection="1">
      <protection hidden="1"/>
    </xf>
    <xf numFmtId="10" fontId="0" fillId="0" borderId="0" xfId="0" applyNumberFormat="1" applyFill="1" applyBorder="1" applyProtection="1">
      <protection hidden="1"/>
    </xf>
    <xf numFmtId="0" fontId="0" fillId="0" borderId="0" xfId="0" applyAlignment="1" applyProtection="1">
      <protection hidden="1"/>
    </xf>
    <xf numFmtId="0" fontId="54" fillId="9" borderId="11" xfId="0" applyFont="1" applyFill="1" applyBorder="1" applyProtection="1">
      <protection hidden="1"/>
    </xf>
    <xf numFmtId="3" fontId="0" fillId="9" borderId="11" xfId="0" applyNumberFormat="1" applyFill="1" applyBorder="1" applyProtection="1">
      <protection hidden="1"/>
    </xf>
    <xf numFmtId="0" fontId="0" fillId="9" borderId="49" xfId="0" applyFill="1" applyBorder="1" applyProtection="1">
      <protection hidden="1"/>
    </xf>
    <xf numFmtId="0" fontId="0" fillId="9" borderId="50" xfId="0" applyFill="1" applyBorder="1" applyProtection="1">
      <protection hidden="1"/>
    </xf>
    <xf numFmtId="0" fontId="54" fillId="9" borderId="49" xfId="0" applyFont="1" applyFill="1" applyBorder="1" applyProtection="1">
      <protection hidden="1"/>
    </xf>
    <xf numFmtId="0" fontId="31" fillId="0" borderId="0" xfId="0" applyFont="1" applyBorder="1" applyAlignment="1" applyProtection="1">
      <alignment horizontal="left" vertical="top" wrapText="1"/>
      <protection hidden="1"/>
    </xf>
    <xf numFmtId="0" fontId="23" fillId="5" borderId="3" xfId="1" applyFont="1" applyFill="1" applyBorder="1" applyAlignment="1" applyProtection="1">
      <alignment horizontal="right"/>
      <protection hidden="1"/>
    </xf>
    <xf numFmtId="0" fontId="0" fillId="0" borderId="3" xfId="0" applyBorder="1" applyAlignment="1"/>
    <xf numFmtId="0" fontId="14" fillId="5" borderId="3" xfId="0" applyFont="1" applyFill="1" applyBorder="1" applyAlignment="1" applyProtection="1">
      <alignment horizontal="left" wrapText="1"/>
      <protection hidden="1"/>
    </xf>
    <xf numFmtId="0" fontId="0" fillId="0" borderId="3" xfId="0" applyBorder="1" applyAlignment="1">
      <alignment wrapText="1"/>
    </xf>
    <xf numFmtId="0" fontId="34" fillId="5" borderId="3" xfId="1" applyFont="1" applyFill="1" applyBorder="1" applyAlignment="1" applyProtection="1">
      <alignment horizontal="right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4" fillId="0" borderId="24" xfId="0" applyFont="1" applyBorder="1" applyAlignment="1" applyProtection="1">
      <alignment horizontal="center" vertical="center"/>
      <protection hidden="1"/>
    </xf>
    <xf numFmtId="0" fontId="4" fillId="0" borderId="26" xfId="0" applyFont="1" applyBorder="1" applyAlignment="1" applyProtection="1">
      <alignment horizontal="center" vertical="center"/>
      <protection hidden="1"/>
    </xf>
    <xf numFmtId="9" fontId="14" fillId="5" borderId="3" xfId="0" applyNumberFormat="1" applyFont="1" applyFill="1" applyBorder="1" applyAlignment="1" applyProtection="1">
      <alignment horizontal="left" wrapText="1"/>
      <protection hidden="1"/>
    </xf>
    <xf numFmtId="0" fontId="51" fillId="0" borderId="3" xfId="0" applyFont="1" applyFill="1" applyBorder="1" applyAlignment="1" applyProtection="1">
      <alignment horizontal="left" wrapText="1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4" borderId="51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Border="1" applyAlignment="1" applyProtection="1">
      <alignment horizontal="right" indent="2"/>
      <protection hidden="1"/>
    </xf>
    <xf numFmtId="0" fontId="16" fillId="0" borderId="27" xfId="0" applyFont="1" applyBorder="1" applyAlignment="1" applyProtection="1">
      <alignment horizontal="right" indent="2"/>
      <protection hidden="1"/>
    </xf>
    <xf numFmtId="0" fontId="51" fillId="5" borderId="3" xfId="0" applyFont="1" applyFill="1" applyBorder="1" applyAlignment="1" applyProtection="1">
      <alignment horizontal="left" wrapText="1"/>
      <protection hidden="1"/>
    </xf>
    <xf numFmtId="0" fontId="6" fillId="4" borderId="44" xfId="0" applyFont="1" applyFill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 indent="2"/>
      <protection hidden="1"/>
    </xf>
    <xf numFmtId="0" fontId="16" fillId="0" borderId="13" xfId="0" applyFont="1" applyFill="1" applyBorder="1" applyAlignment="1" applyProtection="1">
      <alignment horizontal="right" indent="2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28" fillId="5" borderId="3" xfId="0" applyFont="1" applyFill="1" applyBorder="1" applyAlignment="1" applyProtection="1">
      <alignment horizontal="center"/>
      <protection hidden="1"/>
    </xf>
    <xf numFmtId="0" fontId="16" fillId="0" borderId="16" xfId="0" applyFont="1" applyFill="1" applyBorder="1" applyAlignment="1" applyProtection="1">
      <alignment horizontal="right" indent="2"/>
      <protection hidden="1"/>
    </xf>
    <xf numFmtId="0" fontId="16" fillId="0" borderId="27" xfId="0" applyFont="1" applyFill="1" applyBorder="1" applyAlignment="1" applyProtection="1">
      <alignment horizontal="right" indent="2"/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6" fillId="0" borderId="1" xfId="0" applyFont="1" applyBorder="1" applyAlignment="1" applyProtection="1">
      <alignment horizontal="center" wrapText="1"/>
      <protection hidden="1"/>
    </xf>
    <xf numFmtId="0" fontId="6" fillId="0" borderId="2" xfId="0" applyFont="1" applyBorder="1" applyAlignment="1" applyProtection="1">
      <alignment horizontal="center" wrapText="1"/>
      <protection hidden="1"/>
    </xf>
    <xf numFmtId="0" fontId="6" fillId="0" borderId="45" xfId="0" applyFont="1" applyFill="1" applyBorder="1" applyAlignment="1" applyProtection="1">
      <alignment horizontal="center"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21" fillId="5" borderId="10" xfId="1" applyFont="1" applyFill="1" applyBorder="1" applyAlignment="1" applyProtection="1">
      <alignment horizontal="center" vertical="center"/>
      <protection hidden="1"/>
    </xf>
    <xf numFmtId="0" fontId="21" fillId="5" borderId="18" xfId="1" applyFont="1" applyFill="1" applyBorder="1" applyAlignment="1" applyProtection="1">
      <alignment horizontal="center" vertical="center"/>
      <protection hidden="1"/>
    </xf>
    <xf numFmtId="0" fontId="23" fillId="0" borderId="0" xfId="1" applyFont="1" applyAlignment="1" applyProtection="1">
      <alignment horizontal="right"/>
      <protection hidden="1"/>
    </xf>
    <xf numFmtId="0" fontId="0" fillId="0" borderId="0" xfId="0" applyAlignment="1"/>
    <xf numFmtId="9" fontId="22" fillId="5" borderId="3" xfId="0" applyNumberFormat="1" applyFont="1" applyFill="1" applyBorder="1" applyAlignment="1" applyProtection="1">
      <alignment horizontal="left" wrapText="1"/>
      <protection hidden="1"/>
    </xf>
    <xf numFmtId="0" fontId="22" fillId="5" borderId="3" xfId="0" applyFont="1" applyFill="1" applyBorder="1" applyAlignment="1" applyProtection="1">
      <alignment horizontal="left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34" fillId="0" borderId="0" xfId="1" applyFont="1" applyFill="1" applyAlignment="1" applyProtection="1">
      <alignment horizontal="right"/>
      <protection hidden="1"/>
    </xf>
    <xf numFmtId="0" fontId="34" fillId="0" borderId="0" xfId="1" applyFont="1" applyAlignment="1" applyProtection="1">
      <alignment horizontal="right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9" fontId="3" fillId="5" borderId="1" xfId="0" applyNumberFormat="1" applyFont="1" applyFill="1" applyBorder="1" applyAlignment="1" applyProtection="1">
      <alignment horizontal="left" wrapText="1"/>
      <protection hidden="1"/>
    </xf>
    <xf numFmtId="9" fontId="3" fillId="5" borderId="29" xfId="0" applyNumberFormat="1" applyFont="1" applyFill="1" applyBorder="1" applyAlignment="1" applyProtection="1">
      <alignment horizontal="left" wrapText="1"/>
      <protection hidden="1"/>
    </xf>
    <xf numFmtId="0" fontId="6" fillId="4" borderId="12" xfId="0" applyFont="1" applyFill="1" applyBorder="1" applyAlignment="1" applyProtection="1">
      <alignment horizontal="left" vertical="center" wrapText="1" indent="2"/>
      <protection hidden="1"/>
    </xf>
    <xf numFmtId="0" fontId="6" fillId="4" borderId="45" xfId="0" applyFont="1" applyFill="1" applyBorder="1" applyAlignment="1" applyProtection="1">
      <alignment horizontal="left" vertical="center" wrapText="1" indent="2"/>
      <protection hidden="1"/>
    </xf>
    <xf numFmtId="0" fontId="3" fillId="0" borderId="0" xfId="0" applyFont="1" applyAlignment="1" applyProtection="1">
      <alignment horizontal="left"/>
      <protection hidden="1"/>
    </xf>
    <xf numFmtId="0" fontId="3" fillId="5" borderId="1" xfId="0" applyFont="1" applyFill="1" applyBorder="1" applyAlignment="1" applyProtection="1">
      <alignment horizontal="left" wrapText="1"/>
      <protection hidden="1"/>
    </xf>
    <xf numFmtId="0" fontId="3" fillId="5" borderId="29" xfId="0" applyFont="1" applyFill="1" applyBorder="1" applyAlignment="1" applyProtection="1">
      <alignment horizontal="left" wrapText="1"/>
      <protection hidden="1"/>
    </xf>
    <xf numFmtId="2" fontId="45" fillId="0" borderId="0" xfId="0" applyNumberFormat="1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wrapText="1"/>
      <protection hidden="1"/>
    </xf>
    <xf numFmtId="0" fontId="6" fillId="4" borderId="29" xfId="0" applyFont="1" applyFill="1" applyBorder="1" applyAlignment="1" applyProtection="1">
      <alignment horizontal="center" wrapText="1"/>
      <protection hidden="1"/>
    </xf>
    <xf numFmtId="0" fontId="6" fillId="4" borderId="2" xfId="0" applyFont="1" applyFill="1" applyBorder="1" applyAlignment="1" applyProtection="1">
      <alignment horizontal="center" wrapText="1"/>
      <protection hidden="1"/>
    </xf>
    <xf numFmtId="0" fontId="6" fillId="4" borderId="10" xfId="0" applyFont="1" applyFill="1" applyBorder="1" applyAlignment="1" applyProtection="1">
      <alignment horizontal="left" vertical="center" wrapText="1" indent="2"/>
      <protection hidden="1"/>
    </xf>
    <xf numFmtId="0" fontId="25" fillId="5" borderId="29" xfId="1" applyFont="1" applyFill="1" applyBorder="1" applyAlignment="1" applyProtection="1">
      <alignment horizontal="right" vertical="center"/>
      <protection hidden="1"/>
    </xf>
    <xf numFmtId="0" fontId="25" fillId="5" borderId="2" xfId="1" applyFont="1" applyFill="1" applyBorder="1" applyAlignment="1" applyProtection="1">
      <alignment horizontal="right" vertical="center"/>
      <protection hidden="1"/>
    </xf>
    <xf numFmtId="9" fontId="3" fillId="5" borderId="1" xfId="0" applyNumberFormat="1" applyFont="1" applyFill="1" applyBorder="1" applyAlignment="1" applyProtection="1">
      <alignment wrapText="1"/>
      <protection hidden="1"/>
    </xf>
    <xf numFmtId="9" fontId="3" fillId="5" borderId="29" xfId="0" applyNumberFormat="1" applyFont="1" applyFill="1" applyBorder="1" applyAlignment="1" applyProtection="1">
      <alignment wrapText="1"/>
      <protection hidden="1"/>
    </xf>
    <xf numFmtId="3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6" fillId="4" borderId="10" xfId="0" applyFont="1" applyFill="1" applyBorder="1" applyAlignment="1" applyProtection="1">
      <alignment horizontal="center" vertical="center" wrapText="1"/>
      <protection hidden="1"/>
    </xf>
    <xf numFmtId="0" fontId="6" fillId="4" borderId="45" xfId="0" applyFont="1" applyFill="1" applyBorder="1" applyAlignment="1" applyProtection="1">
      <alignment horizontal="center" vertical="center" wrapText="1"/>
      <protection hidden="1"/>
    </xf>
    <xf numFmtId="0" fontId="55" fillId="0" borderId="0" xfId="0" applyFont="1" applyFill="1" applyBorder="1" applyAlignment="1" applyProtection="1">
      <alignment vertical="center"/>
      <protection hidden="1"/>
    </xf>
    <xf numFmtId="0" fontId="56" fillId="0" borderId="0" xfId="0" applyFont="1" applyAlignment="1" applyProtection="1">
      <alignment horizontal="center" vertical="center"/>
      <protection hidden="1"/>
    </xf>
    <xf numFmtId="10" fontId="0" fillId="0" borderId="11" xfId="0" applyNumberFormat="1" applyBorder="1" applyProtection="1">
      <protection hidden="1"/>
    </xf>
    <xf numFmtId="9" fontId="0" fillId="0" borderId="0" xfId="2" applyNumberFormat="1" applyFont="1" applyProtection="1">
      <protection hidden="1"/>
    </xf>
    <xf numFmtId="10" fontId="0" fillId="0" borderId="0" xfId="2" applyNumberFormat="1" applyFont="1" applyProtection="1">
      <protection hidden="1"/>
    </xf>
    <xf numFmtId="3" fontId="0" fillId="0" borderId="0" xfId="0" applyNumberFormat="1" applyFill="1" applyBorder="1" applyProtection="1">
      <protection hidden="1"/>
    </xf>
    <xf numFmtId="4" fontId="2" fillId="3" borderId="2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23" xfId="0" applyNumberFormat="1" applyFont="1" applyFill="1" applyBorder="1" applyAlignment="1" applyProtection="1">
      <alignment horizontal="center" vertical="center" wrapText="1"/>
      <protection hidden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84" Type="http://schemas.openxmlformats.org/officeDocument/2006/relationships/image" Target="../media/image85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38" Type="http://schemas.openxmlformats.org/officeDocument/2006/relationships/image" Target="../media/image139.png"/><Relationship Id="rId154" Type="http://schemas.openxmlformats.org/officeDocument/2006/relationships/image" Target="../media/image155.png"/><Relationship Id="rId159" Type="http://schemas.openxmlformats.org/officeDocument/2006/relationships/image" Target="../media/image160.png"/><Relationship Id="rId175" Type="http://schemas.openxmlformats.org/officeDocument/2006/relationships/image" Target="../media/image176.jpeg"/><Relationship Id="rId170" Type="http://schemas.openxmlformats.org/officeDocument/2006/relationships/image" Target="../media/image171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28" Type="http://schemas.openxmlformats.org/officeDocument/2006/relationships/image" Target="../media/image129.pn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png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165" Type="http://schemas.openxmlformats.org/officeDocument/2006/relationships/image" Target="../media/image16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55" Type="http://schemas.openxmlformats.org/officeDocument/2006/relationships/image" Target="../media/image156.png"/><Relationship Id="rId171" Type="http://schemas.openxmlformats.org/officeDocument/2006/relationships/image" Target="../media/image172.jpeg"/><Relationship Id="rId176" Type="http://schemas.openxmlformats.org/officeDocument/2006/relationships/image" Target="../media/image177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61" Type="http://schemas.openxmlformats.org/officeDocument/2006/relationships/image" Target="../media/image162.png"/><Relationship Id="rId166" Type="http://schemas.openxmlformats.org/officeDocument/2006/relationships/image" Target="../media/image16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164" Type="http://schemas.openxmlformats.org/officeDocument/2006/relationships/image" Target="../media/image165.png"/><Relationship Id="rId169" Type="http://schemas.openxmlformats.org/officeDocument/2006/relationships/image" Target="../media/image170.jpeg"/><Relationship Id="rId177" Type="http://schemas.openxmlformats.org/officeDocument/2006/relationships/image" Target="../media/image178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72" Type="http://schemas.openxmlformats.org/officeDocument/2006/relationships/image" Target="../media/image173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jpeg"/><Relationship Id="rId146" Type="http://schemas.openxmlformats.org/officeDocument/2006/relationships/image" Target="../media/image147.png"/><Relationship Id="rId167" Type="http://schemas.openxmlformats.org/officeDocument/2006/relationships/image" Target="../media/image168.jpeg"/><Relationship Id="rId7" Type="http://schemas.openxmlformats.org/officeDocument/2006/relationships/image" Target="../media/image8.jpeg"/><Relationship Id="rId71" Type="http://schemas.openxmlformats.org/officeDocument/2006/relationships/image" Target="../media/image72.emf"/><Relationship Id="rId92" Type="http://schemas.openxmlformats.org/officeDocument/2006/relationships/image" Target="../media/image93.png"/><Relationship Id="rId162" Type="http://schemas.openxmlformats.org/officeDocument/2006/relationships/image" Target="../media/image163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emf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5" Type="http://schemas.openxmlformats.org/officeDocument/2006/relationships/image" Target="../media/image16.jpeg"/><Relationship Id="rId36" Type="http://schemas.openxmlformats.org/officeDocument/2006/relationships/image" Target="../media/image37.pn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2</xdr:col>
      <xdr:colOff>1114425</xdr:colOff>
      <xdr:row>4</xdr:row>
      <xdr:rowOff>133350</xdr:rowOff>
    </xdr:to>
    <xdr:pic>
      <xdr:nvPicPr>
        <xdr:cNvPr id="2655" name="Picture 383" descr="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209550"/>
          <a:ext cx="1543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164</xdr:row>
      <xdr:rowOff>47625</xdr:rowOff>
    </xdr:from>
    <xdr:to>
      <xdr:col>2</xdr:col>
      <xdr:colOff>581025</xdr:colOff>
      <xdr:row>164</xdr:row>
      <xdr:rowOff>400050</xdr:rowOff>
    </xdr:to>
    <xdr:pic>
      <xdr:nvPicPr>
        <xdr:cNvPr id="117553" name="Picture 4" descr="Geometriya_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165</xdr:row>
      <xdr:rowOff>28575</xdr:rowOff>
    </xdr:from>
    <xdr:to>
      <xdr:col>2</xdr:col>
      <xdr:colOff>371475</xdr:colOff>
      <xdr:row>165</xdr:row>
      <xdr:rowOff>400050</xdr:rowOff>
    </xdr:to>
    <xdr:pic>
      <xdr:nvPicPr>
        <xdr:cNvPr id="117554" name="Picture 8" descr="Geometriya_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165</xdr:row>
      <xdr:rowOff>28575</xdr:rowOff>
    </xdr:from>
    <xdr:to>
      <xdr:col>2</xdr:col>
      <xdr:colOff>581025</xdr:colOff>
      <xdr:row>165</xdr:row>
      <xdr:rowOff>400050</xdr:rowOff>
    </xdr:to>
    <xdr:pic>
      <xdr:nvPicPr>
        <xdr:cNvPr id="117555" name="Picture 9" descr="Geometriya_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166</xdr:row>
      <xdr:rowOff>28575</xdr:rowOff>
    </xdr:from>
    <xdr:to>
      <xdr:col>2</xdr:col>
      <xdr:colOff>371475</xdr:colOff>
      <xdr:row>166</xdr:row>
      <xdr:rowOff>419100</xdr:rowOff>
    </xdr:to>
    <xdr:pic>
      <xdr:nvPicPr>
        <xdr:cNvPr id="117556" name="Picture 10" descr="Geometriya_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166</xdr:row>
      <xdr:rowOff>28575</xdr:rowOff>
    </xdr:from>
    <xdr:to>
      <xdr:col>2</xdr:col>
      <xdr:colOff>581025</xdr:colOff>
      <xdr:row>166</xdr:row>
      <xdr:rowOff>419100</xdr:rowOff>
    </xdr:to>
    <xdr:pic>
      <xdr:nvPicPr>
        <xdr:cNvPr id="117557" name="Picture 11" descr="Geometriya_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2882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167</xdr:row>
      <xdr:rowOff>28575</xdr:rowOff>
    </xdr:from>
    <xdr:to>
      <xdr:col>2</xdr:col>
      <xdr:colOff>371475</xdr:colOff>
      <xdr:row>167</xdr:row>
      <xdr:rowOff>419100</xdr:rowOff>
    </xdr:to>
    <xdr:pic>
      <xdr:nvPicPr>
        <xdr:cNvPr id="117558" name="Picture 12" descr="Geometriya_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167</xdr:row>
      <xdr:rowOff>28575</xdr:rowOff>
    </xdr:from>
    <xdr:to>
      <xdr:col>2</xdr:col>
      <xdr:colOff>581025</xdr:colOff>
      <xdr:row>167</xdr:row>
      <xdr:rowOff>419100</xdr:rowOff>
    </xdr:to>
    <xdr:pic>
      <xdr:nvPicPr>
        <xdr:cNvPr id="117559" name="Picture 13" descr="Geometriya_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168</xdr:row>
      <xdr:rowOff>28575</xdr:rowOff>
    </xdr:from>
    <xdr:to>
      <xdr:col>2</xdr:col>
      <xdr:colOff>371475</xdr:colOff>
      <xdr:row>168</xdr:row>
      <xdr:rowOff>419100</xdr:rowOff>
    </xdr:to>
    <xdr:pic>
      <xdr:nvPicPr>
        <xdr:cNvPr id="117560" name="Picture 14" descr="Geometriya_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1927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168</xdr:row>
      <xdr:rowOff>28575</xdr:rowOff>
    </xdr:from>
    <xdr:to>
      <xdr:col>2</xdr:col>
      <xdr:colOff>581025</xdr:colOff>
      <xdr:row>168</xdr:row>
      <xdr:rowOff>419100</xdr:rowOff>
    </xdr:to>
    <xdr:pic>
      <xdr:nvPicPr>
        <xdr:cNvPr id="117561" name="Picture 15" descr="Geometriya_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2882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289</xdr:row>
      <xdr:rowOff>38100</xdr:rowOff>
    </xdr:from>
    <xdr:to>
      <xdr:col>2</xdr:col>
      <xdr:colOff>466725</xdr:colOff>
      <xdr:row>289</xdr:row>
      <xdr:rowOff>419100</xdr:rowOff>
    </xdr:to>
    <xdr:pic>
      <xdr:nvPicPr>
        <xdr:cNvPr id="117569" name="Picture 70" descr="Idea_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881443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290</xdr:row>
      <xdr:rowOff>47625</xdr:rowOff>
    </xdr:from>
    <xdr:to>
      <xdr:col>2</xdr:col>
      <xdr:colOff>361950</xdr:colOff>
      <xdr:row>290</xdr:row>
      <xdr:rowOff>419100</xdr:rowOff>
    </xdr:to>
    <xdr:pic>
      <xdr:nvPicPr>
        <xdr:cNvPr id="117570" name="Picture 71" descr="Idea_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9275" y="885920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290</xdr:row>
      <xdr:rowOff>47625</xdr:rowOff>
    </xdr:from>
    <xdr:to>
      <xdr:col>2</xdr:col>
      <xdr:colOff>581025</xdr:colOff>
      <xdr:row>290</xdr:row>
      <xdr:rowOff>419100</xdr:rowOff>
    </xdr:to>
    <xdr:pic>
      <xdr:nvPicPr>
        <xdr:cNvPr id="117571" name="Picture 72" descr="Idea_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47875" y="8859202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856</xdr:row>
      <xdr:rowOff>28575</xdr:rowOff>
    </xdr:from>
    <xdr:to>
      <xdr:col>2</xdr:col>
      <xdr:colOff>381000</xdr:colOff>
      <xdr:row>856</xdr:row>
      <xdr:rowOff>400050</xdr:rowOff>
    </xdr:to>
    <xdr:pic>
      <xdr:nvPicPr>
        <xdr:cNvPr id="117572" name="Picture 85" descr="Lada-Concept_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38325" y="1925383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856</xdr:row>
      <xdr:rowOff>28575</xdr:rowOff>
    </xdr:from>
    <xdr:to>
      <xdr:col>2</xdr:col>
      <xdr:colOff>590550</xdr:colOff>
      <xdr:row>856</xdr:row>
      <xdr:rowOff>400050</xdr:rowOff>
    </xdr:to>
    <xdr:pic>
      <xdr:nvPicPr>
        <xdr:cNvPr id="117573" name="Picture 86" descr="Lada-Concept_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19253835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1578</xdr:row>
      <xdr:rowOff>38100</xdr:rowOff>
    </xdr:from>
    <xdr:to>
      <xdr:col>2</xdr:col>
      <xdr:colOff>476250</xdr:colOff>
      <xdr:row>1578</xdr:row>
      <xdr:rowOff>419100</xdr:rowOff>
    </xdr:to>
    <xdr:pic>
      <xdr:nvPicPr>
        <xdr:cNvPr id="117574" name="Picture 93" descr="Lineya_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3283743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1579</xdr:row>
      <xdr:rowOff>38100</xdr:rowOff>
    </xdr:from>
    <xdr:to>
      <xdr:col>2</xdr:col>
      <xdr:colOff>485775</xdr:colOff>
      <xdr:row>1579</xdr:row>
      <xdr:rowOff>419100</xdr:rowOff>
    </xdr:to>
    <xdr:pic>
      <xdr:nvPicPr>
        <xdr:cNvPr id="117575" name="Picture 96" descr="Lineya_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3288125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1580</xdr:row>
      <xdr:rowOff>38100</xdr:rowOff>
    </xdr:from>
    <xdr:to>
      <xdr:col>2</xdr:col>
      <xdr:colOff>495300</xdr:colOff>
      <xdr:row>1580</xdr:row>
      <xdr:rowOff>419100</xdr:rowOff>
    </xdr:to>
    <xdr:pic>
      <xdr:nvPicPr>
        <xdr:cNvPr id="117576" name="Picture 97" descr="Lineya_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329250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1649</xdr:row>
      <xdr:rowOff>38100</xdr:rowOff>
    </xdr:from>
    <xdr:to>
      <xdr:col>2</xdr:col>
      <xdr:colOff>485775</xdr:colOff>
      <xdr:row>1649</xdr:row>
      <xdr:rowOff>419100</xdr:rowOff>
    </xdr:to>
    <xdr:pic>
      <xdr:nvPicPr>
        <xdr:cNvPr id="117577" name="Picture 99" descr="Layn_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3414426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1650</xdr:row>
      <xdr:rowOff>38100</xdr:rowOff>
    </xdr:from>
    <xdr:to>
      <xdr:col>2</xdr:col>
      <xdr:colOff>495300</xdr:colOff>
      <xdr:row>1650</xdr:row>
      <xdr:rowOff>419100</xdr:rowOff>
    </xdr:to>
    <xdr:pic>
      <xdr:nvPicPr>
        <xdr:cNvPr id="117578" name="Picture 100" descr="Layn_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341880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1651</xdr:row>
      <xdr:rowOff>47625</xdr:rowOff>
    </xdr:from>
    <xdr:to>
      <xdr:col>2</xdr:col>
      <xdr:colOff>495300</xdr:colOff>
      <xdr:row>1651</xdr:row>
      <xdr:rowOff>419100</xdr:rowOff>
    </xdr:to>
    <xdr:pic>
      <xdr:nvPicPr>
        <xdr:cNvPr id="117579" name="Picture 101" descr="Layn_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3423285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1652</xdr:row>
      <xdr:rowOff>38100</xdr:rowOff>
    </xdr:from>
    <xdr:to>
      <xdr:col>2</xdr:col>
      <xdr:colOff>495300</xdr:colOff>
      <xdr:row>1652</xdr:row>
      <xdr:rowOff>419100</xdr:rowOff>
    </xdr:to>
    <xdr:pic>
      <xdr:nvPicPr>
        <xdr:cNvPr id="117580" name="Picture 102" descr="Layn_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342757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1653</xdr:row>
      <xdr:rowOff>47625</xdr:rowOff>
    </xdr:from>
    <xdr:to>
      <xdr:col>2</xdr:col>
      <xdr:colOff>495300</xdr:colOff>
      <xdr:row>1653</xdr:row>
      <xdr:rowOff>419100</xdr:rowOff>
    </xdr:to>
    <xdr:pic>
      <xdr:nvPicPr>
        <xdr:cNvPr id="117581" name="Picture 103" descr="Layn_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3432048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1724</xdr:row>
      <xdr:rowOff>28575</xdr:rowOff>
    </xdr:from>
    <xdr:to>
      <xdr:col>2</xdr:col>
      <xdr:colOff>495300</xdr:colOff>
      <xdr:row>1724</xdr:row>
      <xdr:rowOff>400050</xdr:rowOff>
    </xdr:to>
    <xdr:pic>
      <xdr:nvPicPr>
        <xdr:cNvPr id="117582" name="Picture 105" descr="Elegant_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62150" y="3563874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1725</xdr:row>
      <xdr:rowOff>28575</xdr:rowOff>
    </xdr:from>
    <xdr:to>
      <xdr:col>2</xdr:col>
      <xdr:colOff>504825</xdr:colOff>
      <xdr:row>1725</xdr:row>
      <xdr:rowOff>419100</xdr:rowOff>
    </xdr:to>
    <xdr:pic>
      <xdr:nvPicPr>
        <xdr:cNvPr id="117583" name="Picture 106" descr="Elegant_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52625" y="3568255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1726</xdr:row>
      <xdr:rowOff>28575</xdr:rowOff>
    </xdr:from>
    <xdr:to>
      <xdr:col>2</xdr:col>
      <xdr:colOff>504825</xdr:colOff>
      <xdr:row>1726</xdr:row>
      <xdr:rowOff>419100</xdr:rowOff>
    </xdr:to>
    <xdr:pic>
      <xdr:nvPicPr>
        <xdr:cNvPr id="117584" name="Picture 107" descr="Elegant_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57263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1727</xdr:row>
      <xdr:rowOff>28575</xdr:rowOff>
    </xdr:from>
    <xdr:to>
      <xdr:col>2</xdr:col>
      <xdr:colOff>504825</xdr:colOff>
      <xdr:row>1727</xdr:row>
      <xdr:rowOff>419100</xdr:rowOff>
    </xdr:to>
    <xdr:pic>
      <xdr:nvPicPr>
        <xdr:cNvPr id="117585" name="Picture 108" descr="Elegant_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52625" y="3577018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1728</xdr:row>
      <xdr:rowOff>28575</xdr:rowOff>
    </xdr:from>
    <xdr:to>
      <xdr:col>2</xdr:col>
      <xdr:colOff>504825</xdr:colOff>
      <xdr:row>1728</xdr:row>
      <xdr:rowOff>419100</xdr:rowOff>
    </xdr:to>
    <xdr:pic>
      <xdr:nvPicPr>
        <xdr:cNvPr id="117586" name="Picture 109" descr="Elegant_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3581400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92</xdr:row>
      <xdr:rowOff>25853</xdr:rowOff>
    </xdr:from>
    <xdr:to>
      <xdr:col>2</xdr:col>
      <xdr:colOff>361950</xdr:colOff>
      <xdr:row>92</xdr:row>
      <xdr:rowOff>402771</xdr:rowOff>
    </xdr:to>
    <xdr:pic>
      <xdr:nvPicPr>
        <xdr:cNvPr id="117591" name="Picture 284" descr="Kupava_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17914" y="17029339"/>
          <a:ext cx="171450" cy="376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435428</xdr:colOff>
      <xdr:row>92</xdr:row>
      <xdr:rowOff>38101</xdr:rowOff>
    </xdr:from>
    <xdr:to>
      <xdr:col>2</xdr:col>
      <xdr:colOff>597353</xdr:colOff>
      <xdr:row>92</xdr:row>
      <xdr:rowOff>409576</xdr:rowOff>
    </xdr:to>
    <xdr:pic>
      <xdr:nvPicPr>
        <xdr:cNvPr id="117592" name="Picture 285" descr="Kupava_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62842" y="17041587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93</xdr:row>
      <xdr:rowOff>38100</xdr:rowOff>
    </xdr:from>
    <xdr:to>
      <xdr:col>2</xdr:col>
      <xdr:colOff>361950</xdr:colOff>
      <xdr:row>93</xdr:row>
      <xdr:rowOff>409575</xdr:rowOff>
    </xdr:to>
    <xdr:pic>
      <xdr:nvPicPr>
        <xdr:cNvPr id="117593" name="Picture 286" descr="Kupava_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8800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93</xdr:row>
      <xdr:rowOff>38100</xdr:rowOff>
    </xdr:from>
    <xdr:to>
      <xdr:col>2</xdr:col>
      <xdr:colOff>581025</xdr:colOff>
      <xdr:row>93</xdr:row>
      <xdr:rowOff>409575</xdr:rowOff>
    </xdr:to>
    <xdr:pic>
      <xdr:nvPicPr>
        <xdr:cNvPr id="117594" name="Picture 287" descr="Kupava_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47875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164</xdr:row>
      <xdr:rowOff>47625</xdr:rowOff>
    </xdr:from>
    <xdr:to>
      <xdr:col>2</xdr:col>
      <xdr:colOff>361950</xdr:colOff>
      <xdr:row>164</xdr:row>
      <xdr:rowOff>400050</xdr:rowOff>
    </xdr:to>
    <xdr:pic>
      <xdr:nvPicPr>
        <xdr:cNvPr id="117608" name="Picture 338" descr="Geometriya_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8800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1797</xdr:row>
      <xdr:rowOff>28575</xdr:rowOff>
    </xdr:from>
    <xdr:to>
      <xdr:col>2</xdr:col>
      <xdr:colOff>514350</xdr:colOff>
      <xdr:row>1797</xdr:row>
      <xdr:rowOff>419100</xdr:rowOff>
    </xdr:to>
    <xdr:pic>
      <xdr:nvPicPr>
        <xdr:cNvPr id="11760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62150" y="3708844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1798</xdr:row>
      <xdr:rowOff>28575</xdr:rowOff>
    </xdr:from>
    <xdr:to>
      <xdr:col>2</xdr:col>
      <xdr:colOff>514350</xdr:colOff>
      <xdr:row>1798</xdr:row>
      <xdr:rowOff>419100</xdr:rowOff>
    </xdr:to>
    <xdr:pic>
      <xdr:nvPicPr>
        <xdr:cNvPr id="11761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71322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1799</xdr:row>
      <xdr:rowOff>19050</xdr:rowOff>
    </xdr:from>
    <xdr:to>
      <xdr:col>2</xdr:col>
      <xdr:colOff>514350</xdr:colOff>
      <xdr:row>1799</xdr:row>
      <xdr:rowOff>409575</xdr:rowOff>
    </xdr:to>
    <xdr:pic>
      <xdr:nvPicPr>
        <xdr:cNvPr id="11761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717512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1800</xdr:row>
      <xdr:rowOff>19050</xdr:rowOff>
    </xdr:from>
    <xdr:to>
      <xdr:col>2</xdr:col>
      <xdr:colOff>514350</xdr:colOff>
      <xdr:row>1800</xdr:row>
      <xdr:rowOff>409575</xdr:rowOff>
    </xdr:to>
    <xdr:pic>
      <xdr:nvPicPr>
        <xdr:cNvPr id="11761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62150" y="3721893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1801</xdr:row>
      <xdr:rowOff>19050</xdr:rowOff>
    </xdr:from>
    <xdr:to>
      <xdr:col>2</xdr:col>
      <xdr:colOff>514350</xdr:colOff>
      <xdr:row>1801</xdr:row>
      <xdr:rowOff>409575</xdr:rowOff>
    </xdr:to>
    <xdr:pic>
      <xdr:nvPicPr>
        <xdr:cNvPr id="11761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726275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1931</xdr:row>
      <xdr:rowOff>38100</xdr:rowOff>
    </xdr:from>
    <xdr:to>
      <xdr:col>2</xdr:col>
      <xdr:colOff>466725</xdr:colOff>
      <xdr:row>1931</xdr:row>
      <xdr:rowOff>419100</xdr:rowOff>
    </xdr:to>
    <xdr:pic>
      <xdr:nvPicPr>
        <xdr:cNvPr id="117614" name="Picture 468" descr="Dobor_A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81200" y="39721155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1932</xdr:row>
      <xdr:rowOff>38100</xdr:rowOff>
    </xdr:from>
    <xdr:to>
      <xdr:col>2</xdr:col>
      <xdr:colOff>466725</xdr:colOff>
      <xdr:row>1932</xdr:row>
      <xdr:rowOff>419100</xdr:rowOff>
    </xdr:to>
    <xdr:pic>
      <xdr:nvPicPr>
        <xdr:cNvPr id="117615" name="Picture 469" descr="Dobor_B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81200" y="39764970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291</xdr:row>
      <xdr:rowOff>38100</xdr:rowOff>
    </xdr:from>
    <xdr:to>
      <xdr:col>2</xdr:col>
      <xdr:colOff>361950</xdr:colOff>
      <xdr:row>291</xdr:row>
      <xdr:rowOff>419100</xdr:rowOff>
    </xdr:to>
    <xdr:pic>
      <xdr:nvPicPr>
        <xdr:cNvPr id="117616" name="Picture 509" descr="Idea_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28800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291</xdr:row>
      <xdr:rowOff>38100</xdr:rowOff>
    </xdr:from>
    <xdr:to>
      <xdr:col>2</xdr:col>
      <xdr:colOff>581025</xdr:colOff>
      <xdr:row>291</xdr:row>
      <xdr:rowOff>419100</xdr:rowOff>
    </xdr:to>
    <xdr:pic>
      <xdr:nvPicPr>
        <xdr:cNvPr id="117617" name="Picture 510" descr="Idea_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47875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292</xdr:row>
      <xdr:rowOff>19050</xdr:rowOff>
    </xdr:from>
    <xdr:to>
      <xdr:col>2</xdr:col>
      <xdr:colOff>381000</xdr:colOff>
      <xdr:row>292</xdr:row>
      <xdr:rowOff>419100</xdr:rowOff>
    </xdr:to>
    <xdr:pic>
      <xdr:nvPicPr>
        <xdr:cNvPr id="117618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8800" y="89439750"/>
          <a:ext cx="180975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292</xdr:row>
      <xdr:rowOff>28575</xdr:rowOff>
    </xdr:from>
    <xdr:to>
      <xdr:col>2</xdr:col>
      <xdr:colOff>590550</xdr:colOff>
      <xdr:row>292</xdr:row>
      <xdr:rowOff>419100</xdr:rowOff>
    </xdr:to>
    <xdr:pic>
      <xdr:nvPicPr>
        <xdr:cNvPr id="117619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47875" y="89449275"/>
          <a:ext cx="17145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293</xdr:row>
      <xdr:rowOff>19050</xdr:rowOff>
    </xdr:from>
    <xdr:to>
      <xdr:col>2</xdr:col>
      <xdr:colOff>371475</xdr:colOff>
      <xdr:row>294</xdr:row>
      <xdr:rowOff>0</xdr:rowOff>
    </xdr:to>
    <xdr:pic>
      <xdr:nvPicPr>
        <xdr:cNvPr id="117620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293</xdr:row>
      <xdr:rowOff>19050</xdr:rowOff>
    </xdr:from>
    <xdr:to>
      <xdr:col>2</xdr:col>
      <xdr:colOff>590550</xdr:colOff>
      <xdr:row>294</xdr:row>
      <xdr:rowOff>0</xdr:rowOff>
    </xdr:to>
    <xdr:pic>
      <xdr:nvPicPr>
        <xdr:cNvPr id="117621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38350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857</xdr:row>
      <xdr:rowOff>38100</xdr:rowOff>
    </xdr:from>
    <xdr:to>
      <xdr:col>2</xdr:col>
      <xdr:colOff>371475</xdr:colOff>
      <xdr:row>857</xdr:row>
      <xdr:rowOff>419100</xdr:rowOff>
    </xdr:to>
    <xdr:pic>
      <xdr:nvPicPr>
        <xdr:cNvPr id="117622" name="Picture 524" descr="Lada-Concept_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38325" y="1929860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857</xdr:row>
      <xdr:rowOff>38100</xdr:rowOff>
    </xdr:from>
    <xdr:to>
      <xdr:col>2</xdr:col>
      <xdr:colOff>590550</xdr:colOff>
      <xdr:row>857</xdr:row>
      <xdr:rowOff>419100</xdr:rowOff>
    </xdr:to>
    <xdr:pic>
      <xdr:nvPicPr>
        <xdr:cNvPr id="117623" name="Picture 525" descr="Lada-Concept_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47875" y="1929860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858</xdr:row>
      <xdr:rowOff>19050</xdr:rowOff>
    </xdr:from>
    <xdr:to>
      <xdr:col>2</xdr:col>
      <xdr:colOff>371475</xdr:colOff>
      <xdr:row>858</xdr:row>
      <xdr:rowOff>400050</xdr:rowOff>
    </xdr:to>
    <xdr:pic>
      <xdr:nvPicPr>
        <xdr:cNvPr id="117624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28800" y="1934051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858</xdr:row>
      <xdr:rowOff>28575</xdr:rowOff>
    </xdr:from>
    <xdr:to>
      <xdr:col>2</xdr:col>
      <xdr:colOff>600075</xdr:colOff>
      <xdr:row>858</xdr:row>
      <xdr:rowOff>409575</xdr:rowOff>
    </xdr:to>
    <xdr:pic>
      <xdr:nvPicPr>
        <xdr:cNvPr id="117625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57400" y="193414650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861</xdr:row>
      <xdr:rowOff>38100</xdr:rowOff>
    </xdr:from>
    <xdr:to>
      <xdr:col>2</xdr:col>
      <xdr:colOff>485775</xdr:colOff>
      <xdr:row>861</xdr:row>
      <xdr:rowOff>400050</xdr:rowOff>
    </xdr:to>
    <xdr:pic>
      <xdr:nvPicPr>
        <xdr:cNvPr id="117626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52625" y="1947386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936</xdr:row>
      <xdr:rowOff>38100</xdr:rowOff>
    </xdr:from>
    <xdr:to>
      <xdr:col>2</xdr:col>
      <xdr:colOff>514350</xdr:colOff>
      <xdr:row>937</xdr:row>
      <xdr:rowOff>0</xdr:rowOff>
    </xdr:to>
    <xdr:pic>
      <xdr:nvPicPr>
        <xdr:cNvPr id="117627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62150" y="209473800"/>
          <a:ext cx="180975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1654</xdr:row>
      <xdr:rowOff>47625</xdr:rowOff>
    </xdr:from>
    <xdr:to>
      <xdr:col>2</xdr:col>
      <xdr:colOff>495300</xdr:colOff>
      <xdr:row>1654</xdr:row>
      <xdr:rowOff>419100</xdr:rowOff>
    </xdr:to>
    <xdr:pic>
      <xdr:nvPicPr>
        <xdr:cNvPr id="117628" name="Picture 542" descr="Layn_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52625" y="3436429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1655</xdr:row>
      <xdr:rowOff>38100</xdr:rowOff>
    </xdr:from>
    <xdr:to>
      <xdr:col>2</xdr:col>
      <xdr:colOff>514350</xdr:colOff>
      <xdr:row>1655</xdr:row>
      <xdr:rowOff>419100</xdr:rowOff>
    </xdr:to>
    <xdr:pic>
      <xdr:nvPicPr>
        <xdr:cNvPr id="117629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62150" y="344071575"/>
          <a:ext cx="18097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1729</xdr:row>
      <xdr:rowOff>28575</xdr:rowOff>
    </xdr:from>
    <xdr:to>
      <xdr:col>2</xdr:col>
      <xdr:colOff>504825</xdr:colOff>
      <xdr:row>1729</xdr:row>
      <xdr:rowOff>419100</xdr:rowOff>
    </xdr:to>
    <xdr:pic>
      <xdr:nvPicPr>
        <xdr:cNvPr id="117630" name="Picture 544" descr="Elegant_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52625" y="3585781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1730</xdr:row>
      <xdr:rowOff>38100</xdr:rowOff>
    </xdr:from>
    <xdr:to>
      <xdr:col>2</xdr:col>
      <xdr:colOff>485775</xdr:colOff>
      <xdr:row>1730</xdr:row>
      <xdr:rowOff>419100</xdr:rowOff>
    </xdr:to>
    <xdr:pic>
      <xdr:nvPicPr>
        <xdr:cNvPr id="117631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43100" y="3590258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931</xdr:row>
      <xdr:rowOff>38100</xdr:rowOff>
    </xdr:from>
    <xdr:to>
      <xdr:col>2</xdr:col>
      <xdr:colOff>371475</xdr:colOff>
      <xdr:row>931</xdr:row>
      <xdr:rowOff>419100</xdr:rowOff>
    </xdr:to>
    <xdr:pic>
      <xdr:nvPicPr>
        <xdr:cNvPr id="117632" name="Picture 550" descr="Lada-Nova_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3832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931</xdr:row>
      <xdr:rowOff>38100</xdr:rowOff>
    </xdr:from>
    <xdr:to>
      <xdr:col>2</xdr:col>
      <xdr:colOff>581025</xdr:colOff>
      <xdr:row>931</xdr:row>
      <xdr:rowOff>419100</xdr:rowOff>
    </xdr:to>
    <xdr:pic>
      <xdr:nvPicPr>
        <xdr:cNvPr id="117633" name="Picture 551" descr="Lada-Nova_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4787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47625</xdr:rowOff>
    </xdr:from>
    <xdr:to>
      <xdr:col>2</xdr:col>
      <xdr:colOff>485775</xdr:colOff>
      <xdr:row>15</xdr:row>
      <xdr:rowOff>0</xdr:rowOff>
    </xdr:to>
    <xdr:pic>
      <xdr:nvPicPr>
        <xdr:cNvPr id="117634" name="Picture 589" descr="Standart_1A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43100" y="2019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</xdr:row>
      <xdr:rowOff>38100</xdr:rowOff>
    </xdr:from>
    <xdr:to>
      <xdr:col>2</xdr:col>
      <xdr:colOff>485775</xdr:colOff>
      <xdr:row>15</xdr:row>
      <xdr:rowOff>400050</xdr:rowOff>
    </xdr:to>
    <xdr:pic>
      <xdr:nvPicPr>
        <xdr:cNvPr id="117635" name="Picture 590" descr="Standart_1B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43100" y="24479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</xdr:row>
      <xdr:rowOff>38100</xdr:rowOff>
    </xdr:from>
    <xdr:to>
      <xdr:col>2</xdr:col>
      <xdr:colOff>485775</xdr:colOff>
      <xdr:row>16</xdr:row>
      <xdr:rowOff>400050</xdr:rowOff>
    </xdr:to>
    <xdr:pic>
      <xdr:nvPicPr>
        <xdr:cNvPr id="117636" name="Picture 591" descr="Standart_2A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43100" y="288607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38100</xdr:rowOff>
    </xdr:from>
    <xdr:to>
      <xdr:col>2</xdr:col>
      <xdr:colOff>485775</xdr:colOff>
      <xdr:row>17</xdr:row>
      <xdr:rowOff>400050</xdr:rowOff>
    </xdr:to>
    <xdr:pic>
      <xdr:nvPicPr>
        <xdr:cNvPr id="117637" name="Picture 592" descr="Standart_2B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43100" y="33242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</xdr:row>
      <xdr:rowOff>47625</xdr:rowOff>
    </xdr:from>
    <xdr:to>
      <xdr:col>2</xdr:col>
      <xdr:colOff>361950</xdr:colOff>
      <xdr:row>18</xdr:row>
      <xdr:rowOff>419100</xdr:rowOff>
    </xdr:to>
    <xdr:pic>
      <xdr:nvPicPr>
        <xdr:cNvPr id="117638" name="Picture 593" descr="Standart_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28800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18</xdr:row>
      <xdr:rowOff>47625</xdr:rowOff>
    </xdr:from>
    <xdr:to>
      <xdr:col>2</xdr:col>
      <xdr:colOff>561975</xdr:colOff>
      <xdr:row>18</xdr:row>
      <xdr:rowOff>419100</xdr:rowOff>
    </xdr:to>
    <xdr:pic>
      <xdr:nvPicPr>
        <xdr:cNvPr id="117639" name="Picture 594" descr="Standart_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28825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57150</xdr:rowOff>
    </xdr:from>
    <xdr:to>
      <xdr:col>2</xdr:col>
      <xdr:colOff>342900</xdr:colOff>
      <xdr:row>19</xdr:row>
      <xdr:rowOff>419100</xdr:rowOff>
    </xdr:to>
    <xdr:pic>
      <xdr:nvPicPr>
        <xdr:cNvPr id="117640" name="Picture 595" descr="Standart_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19275" y="4219575"/>
          <a:ext cx="1524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19</xdr:row>
      <xdr:rowOff>57150</xdr:rowOff>
    </xdr:from>
    <xdr:to>
      <xdr:col>2</xdr:col>
      <xdr:colOff>561975</xdr:colOff>
      <xdr:row>19</xdr:row>
      <xdr:rowOff>419100</xdr:rowOff>
    </xdr:to>
    <xdr:pic>
      <xdr:nvPicPr>
        <xdr:cNvPr id="117641" name="Picture 596" descr="Standart_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28825" y="42195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1996</xdr:row>
      <xdr:rowOff>38100</xdr:rowOff>
    </xdr:from>
    <xdr:to>
      <xdr:col>2</xdr:col>
      <xdr:colOff>609600</xdr:colOff>
      <xdr:row>1997</xdr:row>
      <xdr:rowOff>1601</xdr:rowOff>
    </xdr:to>
    <xdr:pic>
      <xdr:nvPicPr>
        <xdr:cNvPr id="117642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5" y="409003500"/>
          <a:ext cx="43815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2058</xdr:row>
      <xdr:rowOff>47625</xdr:rowOff>
    </xdr:from>
    <xdr:to>
      <xdr:col>2</xdr:col>
      <xdr:colOff>609600</xdr:colOff>
      <xdr:row>2059</xdr:row>
      <xdr:rowOff>0</xdr:rowOff>
    </xdr:to>
    <xdr:pic>
      <xdr:nvPicPr>
        <xdr:cNvPr id="11764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078592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2062</xdr:row>
      <xdr:rowOff>38100</xdr:rowOff>
    </xdr:from>
    <xdr:to>
      <xdr:col>2</xdr:col>
      <xdr:colOff>619125</xdr:colOff>
      <xdr:row>2062</xdr:row>
      <xdr:rowOff>400050</xdr:rowOff>
    </xdr:to>
    <xdr:pic>
      <xdr:nvPicPr>
        <xdr:cNvPr id="117644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40517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2061</xdr:row>
      <xdr:rowOff>47625</xdr:rowOff>
    </xdr:from>
    <xdr:to>
      <xdr:col>2</xdr:col>
      <xdr:colOff>638175</xdr:colOff>
      <xdr:row>2061</xdr:row>
      <xdr:rowOff>419100</xdr:rowOff>
    </xdr:to>
    <xdr:pic>
      <xdr:nvPicPr>
        <xdr:cNvPr id="117645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421976550"/>
          <a:ext cx="4857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2123</xdr:row>
      <xdr:rowOff>66675</xdr:rowOff>
    </xdr:from>
    <xdr:to>
      <xdr:col>2</xdr:col>
      <xdr:colOff>676275</xdr:colOff>
      <xdr:row>2127</xdr:row>
      <xdr:rowOff>142875</xdr:rowOff>
    </xdr:to>
    <xdr:pic>
      <xdr:nvPicPr>
        <xdr:cNvPr id="117646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33606575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2471</xdr:row>
      <xdr:rowOff>57150</xdr:rowOff>
    </xdr:from>
    <xdr:to>
      <xdr:col>2</xdr:col>
      <xdr:colOff>676275</xdr:colOff>
      <xdr:row>2471</xdr:row>
      <xdr:rowOff>419100</xdr:rowOff>
    </xdr:to>
    <xdr:pic>
      <xdr:nvPicPr>
        <xdr:cNvPr id="117647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00175" y="497938425"/>
          <a:ext cx="904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2394</xdr:row>
      <xdr:rowOff>85725</xdr:rowOff>
    </xdr:from>
    <xdr:to>
      <xdr:col>2</xdr:col>
      <xdr:colOff>771525</xdr:colOff>
      <xdr:row>2394</xdr:row>
      <xdr:rowOff>333375</xdr:rowOff>
    </xdr:to>
    <xdr:pic>
      <xdr:nvPicPr>
        <xdr:cNvPr id="117648" name="Picture 638" descr="111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47825" y="483765225"/>
          <a:ext cx="7524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2396</xdr:row>
      <xdr:rowOff>47625</xdr:rowOff>
    </xdr:from>
    <xdr:to>
      <xdr:col>2</xdr:col>
      <xdr:colOff>676275</xdr:colOff>
      <xdr:row>2404</xdr:row>
      <xdr:rowOff>133349</xdr:rowOff>
    </xdr:to>
    <xdr:pic>
      <xdr:nvPicPr>
        <xdr:cNvPr id="117649" name="Picture 639" descr="222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33550" y="484479600"/>
          <a:ext cx="5715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2528</xdr:row>
      <xdr:rowOff>19050</xdr:rowOff>
    </xdr:from>
    <xdr:to>
      <xdr:col>2</xdr:col>
      <xdr:colOff>685800</xdr:colOff>
      <xdr:row>2529</xdr:row>
      <xdr:rowOff>0</xdr:rowOff>
    </xdr:to>
    <xdr:pic>
      <xdr:nvPicPr>
        <xdr:cNvPr id="117650" name="Picture 640" descr="11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95475" y="50922555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2529</xdr:row>
      <xdr:rowOff>38100</xdr:rowOff>
    </xdr:from>
    <xdr:to>
      <xdr:col>2</xdr:col>
      <xdr:colOff>657225</xdr:colOff>
      <xdr:row>2529</xdr:row>
      <xdr:rowOff>409575</xdr:rowOff>
    </xdr:to>
    <xdr:pic>
      <xdr:nvPicPr>
        <xdr:cNvPr id="117651" name="Picture 641" descr="22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24050" y="509682750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2530</xdr:row>
      <xdr:rowOff>57150</xdr:rowOff>
    </xdr:from>
    <xdr:to>
      <xdr:col>2</xdr:col>
      <xdr:colOff>619125</xdr:colOff>
      <xdr:row>2530</xdr:row>
      <xdr:rowOff>390525</xdr:rowOff>
    </xdr:to>
    <xdr:pic>
      <xdr:nvPicPr>
        <xdr:cNvPr id="117652" name="Picture 642" descr="7b6d420211dc05624fdfc06bef8941cc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09775" y="510578100"/>
          <a:ext cx="238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2531</xdr:row>
      <xdr:rowOff>38100</xdr:rowOff>
    </xdr:from>
    <xdr:to>
      <xdr:col>2</xdr:col>
      <xdr:colOff>704850</xdr:colOff>
      <xdr:row>2531</xdr:row>
      <xdr:rowOff>390525</xdr:rowOff>
    </xdr:to>
    <xdr:pic>
      <xdr:nvPicPr>
        <xdr:cNvPr id="117653" name="Picture 643" descr="2330865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885950" y="511435350"/>
          <a:ext cx="447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859</xdr:row>
      <xdr:rowOff>38100</xdr:rowOff>
    </xdr:from>
    <xdr:to>
      <xdr:col>2</xdr:col>
      <xdr:colOff>495300</xdr:colOff>
      <xdr:row>859</xdr:row>
      <xdr:rowOff>400050</xdr:rowOff>
    </xdr:to>
    <xdr:pic>
      <xdr:nvPicPr>
        <xdr:cNvPr id="117655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62150" y="1938623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860</xdr:row>
      <xdr:rowOff>38100</xdr:rowOff>
    </xdr:from>
    <xdr:to>
      <xdr:col>2</xdr:col>
      <xdr:colOff>495300</xdr:colOff>
      <xdr:row>860</xdr:row>
      <xdr:rowOff>400050</xdr:rowOff>
    </xdr:to>
    <xdr:pic>
      <xdr:nvPicPr>
        <xdr:cNvPr id="117656" name="Picture 685" descr="Lada-Concept_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62150" y="1943004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934</xdr:row>
      <xdr:rowOff>38100</xdr:rowOff>
    </xdr:from>
    <xdr:to>
      <xdr:col>2</xdr:col>
      <xdr:colOff>495300</xdr:colOff>
      <xdr:row>934</xdr:row>
      <xdr:rowOff>400050</xdr:rowOff>
    </xdr:to>
    <xdr:pic>
      <xdr:nvPicPr>
        <xdr:cNvPr id="117657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62150" y="208597500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935</xdr:row>
      <xdr:rowOff>57150</xdr:rowOff>
    </xdr:from>
    <xdr:to>
      <xdr:col>2</xdr:col>
      <xdr:colOff>485775</xdr:colOff>
      <xdr:row>935</xdr:row>
      <xdr:rowOff>400050</xdr:rowOff>
    </xdr:to>
    <xdr:pic>
      <xdr:nvPicPr>
        <xdr:cNvPr id="117658" name="Picture 696" descr="Lada-Nova_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62150" y="2090547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932</xdr:row>
      <xdr:rowOff>47625</xdr:rowOff>
    </xdr:from>
    <xdr:to>
      <xdr:col>2</xdr:col>
      <xdr:colOff>495300</xdr:colOff>
      <xdr:row>932</xdr:row>
      <xdr:rowOff>390525</xdr:rowOff>
    </xdr:to>
    <xdr:pic>
      <xdr:nvPicPr>
        <xdr:cNvPr id="117659" name="Picture 697" descr="Lada-Nova_6a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71675" y="2077307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933</xdr:row>
      <xdr:rowOff>57150</xdr:rowOff>
    </xdr:from>
    <xdr:to>
      <xdr:col>2</xdr:col>
      <xdr:colOff>485775</xdr:colOff>
      <xdr:row>933</xdr:row>
      <xdr:rowOff>400050</xdr:rowOff>
    </xdr:to>
    <xdr:pic>
      <xdr:nvPicPr>
        <xdr:cNvPr id="117660" name="Picture 701" descr="Lada-Nova_6a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62150" y="20817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2195</xdr:row>
      <xdr:rowOff>66675</xdr:rowOff>
    </xdr:from>
    <xdr:to>
      <xdr:col>2</xdr:col>
      <xdr:colOff>676275</xdr:colOff>
      <xdr:row>2199</xdr:row>
      <xdr:rowOff>142874</xdr:rowOff>
    </xdr:to>
    <xdr:pic>
      <xdr:nvPicPr>
        <xdr:cNvPr id="117661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4698920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2263</xdr:row>
      <xdr:rowOff>66675</xdr:rowOff>
    </xdr:from>
    <xdr:to>
      <xdr:col>2</xdr:col>
      <xdr:colOff>676275</xdr:colOff>
      <xdr:row>2267</xdr:row>
      <xdr:rowOff>142876</xdr:rowOff>
    </xdr:to>
    <xdr:pic>
      <xdr:nvPicPr>
        <xdr:cNvPr id="117662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5874305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133350</xdr:rowOff>
    </xdr:from>
    <xdr:to>
      <xdr:col>2</xdr:col>
      <xdr:colOff>219075</xdr:colOff>
      <xdr:row>4</xdr:row>
      <xdr:rowOff>85725</xdr:rowOff>
    </xdr:to>
    <xdr:pic>
      <xdr:nvPicPr>
        <xdr:cNvPr id="117664" name="Picture 383" descr="123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6827"/>
        <a:stretch>
          <a:fillRect/>
        </a:stretch>
      </xdr:blipFill>
      <xdr:spPr bwMode="auto">
        <a:xfrm>
          <a:off x="85725" y="133350"/>
          <a:ext cx="17621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1076</xdr:row>
      <xdr:rowOff>0</xdr:rowOff>
    </xdr:from>
    <xdr:to>
      <xdr:col>2</xdr:col>
      <xdr:colOff>428625</xdr:colOff>
      <xdr:row>1077</xdr:row>
      <xdr:rowOff>0</xdr:rowOff>
    </xdr:to>
    <xdr:pic>
      <xdr:nvPicPr>
        <xdr:cNvPr id="117665" name="Рисунок 191" descr="Loft 1_0_401.pn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43075" y="2347245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1075</xdr:row>
      <xdr:rowOff>152400</xdr:rowOff>
    </xdr:from>
    <xdr:to>
      <xdr:col>2</xdr:col>
      <xdr:colOff>685800</xdr:colOff>
      <xdr:row>1077</xdr:row>
      <xdr:rowOff>2473</xdr:rowOff>
    </xdr:to>
    <xdr:pic>
      <xdr:nvPicPr>
        <xdr:cNvPr id="117666" name="Рисунок 192" descr="Loft 1_1_401.pn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0" y="2347150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1077</xdr:row>
      <xdr:rowOff>9525</xdr:rowOff>
    </xdr:from>
    <xdr:to>
      <xdr:col>2</xdr:col>
      <xdr:colOff>438150</xdr:colOff>
      <xdr:row>1078</xdr:row>
      <xdr:rowOff>0</xdr:rowOff>
    </xdr:to>
    <xdr:pic>
      <xdr:nvPicPr>
        <xdr:cNvPr id="117667" name="Рисунок 195" descr="Loft 3_0_401.pn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52600" y="23517225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1077</xdr:row>
      <xdr:rowOff>19050</xdr:rowOff>
    </xdr:from>
    <xdr:to>
      <xdr:col>2</xdr:col>
      <xdr:colOff>704850</xdr:colOff>
      <xdr:row>1078</xdr:row>
      <xdr:rowOff>9525</xdr:rowOff>
    </xdr:to>
    <xdr:pic>
      <xdr:nvPicPr>
        <xdr:cNvPr id="117668" name="Рисунок 196" descr="Loft 3_1_401.pn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19300" y="2351817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1078</xdr:row>
      <xdr:rowOff>19050</xdr:rowOff>
    </xdr:from>
    <xdr:to>
      <xdr:col>2</xdr:col>
      <xdr:colOff>428625</xdr:colOff>
      <xdr:row>1079</xdr:row>
      <xdr:rowOff>0</xdr:rowOff>
    </xdr:to>
    <xdr:pic>
      <xdr:nvPicPr>
        <xdr:cNvPr id="117669" name="Рисунок 197" descr="Loft 4_0_401.pn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43075" y="23561992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1078</xdr:row>
      <xdr:rowOff>9525</xdr:rowOff>
    </xdr:from>
    <xdr:to>
      <xdr:col>2</xdr:col>
      <xdr:colOff>695325</xdr:colOff>
      <xdr:row>1079</xdr:row>
      <xdr:rowOff>0</xdr:rowOff>
    </xdr:to>
    <xdr:pic>
      <xdr:nvPicPr>
        <xdr:cNvPr id="117670" name="Рисунок 198" descr="Loft 4_1_401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19300" y="235610400"/>
          <a:ext cx="304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1079</xdr:row>
      <xdr:rowOff>9525</xdr:rowOff>
    </xdr:from>
    <xdr:to>
      <xdr:col>2</xdr:col>
      <xdr:colOff>428625</xdr:colOff>
      <xdr:row>1080</xdr:row>
      <xdr:rowOff>9525</xdr:rowOff>
    </xdr:to>
    <xdr:pic>
      <xdr:nvPicPr>
        <xdr:cNvPr id="117671" name="Рисунок 199" descr="Loft 5_0_401.pn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43075" y="2360485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1079</xdr:row>
      <xdr:rowOff>0</xdr:rowOff>
    </xdr:from>
    <xdr:to>
      <xdr:col>2</xdr:col>
      <xdr:colOff>704850</xdr:colOff>
      <xdr:row>1080</xdr:row>
      <xdr:rowOff>0</xdr:rowOff>
    </xdr:to>
    <xdr:pic>
      <xdr:nvPicPr>
        <xdr:cNvPr id="117672" name="Рисунок 200" descr="Loft 5_1_401.pn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19300" y="236039025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1080</xdr:row>
      <xdr:rowOff>0</xdr:rowOff>
    </xdr:from>
    <xdr:to>
      <xdr:col>2</xdr:col>
      <xdr:colOff>428625</xdr:colOff>
      <xdr:row>1081</xdr:row>
      <xdr:rowOff>0</xdr:rowOff>
    </xdr:to>
    <xdr:pic>
      <xdr:nvPicPr>
        <xdr:cNvPr id="117673" name="Рисунок 201" descr="Loft 6_0_401.pn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43075" y="2364771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1080</xdr:row>
      <xdr:rowOff>9525</xdr:rowOff>
    </xdr:from>
    <xdr:to>
      <xdr:col>2</xdr:col>
      <xdr:colOff>695325</xdr:colOff>
      <xdr:row>1081</xdr:row>
      <xdr:rowOff>1601</xdr:rowOff>
    </xdr:to>
    <xdr:pic>
      <xdr:nvPicPr>
        <xdr:cNvPr id="117674" name="Рисунок 202" descr="Loft 6_1_401.pn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9775" y="23648670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2135</xdr:row>
      <xdr:rowOff>66675</xdr:rowOff>
    </xdr:from>
    <xdr:to>
      <xdr:col>2</xdr:col>
      <xdr:colOff>771525</xdr:colOff>
      <xdr:row>2135</xdr:row>
      <xdr:rowOff>381000</xdr:rowOff>
    </xdr:to>
    <xdr:pic>
      <xdr:nvPicPr>
        <xdr:cNvPr id="117675" name="Picture 637" descr="asdfadsfadsf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35978300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2059</xdr:row>
      <xdr:rowOff>47625</xdr:rowOff>
    </xdr:from>
    <xdr:to>
      <xdr:col>2</xdr:col>
      <xdr:colOff>609600</xdr:colOff>
      <xdr:row>2060</xdr:row>
      <xdr:rowOff>0</xdr:rowOff>
    </xdr:to>
    <xdr:pic>
      <xdr:nvPicPr>
        <xdr:cNvPr id="117676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122407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1435</xdr:row>
      <xdr:rowOff>19050</xdr:rowOff>
    </xdr:from>
    <xdr:to>
      <xdr:col>2</xdr:col>
      <xdr:colOff>342900</xdr:colOff>
      <xdr:row>1435</xdr:row>
      <xdr:rowOff>400050</xdr:rowOff>
    </xdr:to>
    <xdr:pic>
      <xdr:nvPicPr>
        <xdr:cNvPr id="117677" name="Рисунок 218" descr="Модерн 3A.1_401.pn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800225" y="302190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2275</xdr:row>
      <xdr:rowOff>66675</xdr:rowOff>
    </xdr:from>
    <xdr:to>
      <xdr:col>2</xdr:col>
      <xdr:colOff>771525</xdr:colOff>
      <xdr:row>2275</xdr:row>
      <xdr:rowOff>381000</xdr:rowOff>
    </xdr:to>
    <xdr:pic>
      <xdr:nvPicPr>
        <xdr:cNvPr id="117678" name="Picture 637" descr="asdfadsfadsf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61114775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2063</xdr:row>
      <xdr:rowOff>38100</xdr:rowOff>
    </xdr:from>
    <xdr:to>
      <xdr:col>2</xdr:col>
      <xdr:colOff>619125</xdr:colOff>
      <xdr:row>2063</xdr:row>
      <xdr:rowOff>400050</xdr:rowOff>
    </xdr:to>
    <xdr:pic>
      <xdr:nvPicPr>
        <xdr:cNvPr id="117679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84332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2335</xdr:row>
      <xdr:rowOff>142875</xdr:rowOff>
    </xdr:from>
    <xdr:to>
      <xdr:col>2</xdr:col>
      <xdr:colOff>695325</xdr:colOff>
      <xdr:row>2336</xdr:row>
      <xdr:rowOff>238125</xdr:rowOff>
    </xdr:to>
    <xdr:pic>
      <xdr:nvPicPr>
        <xdr:cNvPr id="117680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62125" y="4725447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1432</xdr:row>
      <xdr:rowOff>171450</xdr:rowOff>
    </xdr:from>
    <xdr:to>
      <xdr:col>2</xdr:col>
      <xdr:colOff>466725</xdr:colOff>
      <xdr:row>1434</xdr:row>
      <xdr:rowOff>0</xdr:rowOff>
    </xdr:to>
    <xdr:pic>
      <xdr:nvPicPr>
        <xdr:cNvPr id="117681" name="Рисунок 216" descr="Modern 1.0_401.pn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64782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1432</xdr:row>
      <xdr:rowOff>180975</xdr:rowOff>
    </xdr:from>
    <xdr:to>
      <xdr:col>2</xdr:col>
      <xdr:colOff>752475</xdr:colOff>
      <xdr:row>1434</xdr:row>
      <xdr:rowOff>0</xdr:rowOff>
    </xdr:to>
    <xdr:pic>
      <xdr:nvPicPr>
        <xdr:cNvPr id="117682" name="Рисунок 217" descr="Modern 1.1_401.pn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93357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1434</xdr:row>
      <xdr:rowOff>0</xdr:rowOff>
    </xdr:from>
    <xdr:to>
      <xdr:col>2</xdr:col>
      <xdr:colOff>476250</xdr:colOff>
      <xdr:row>1435</xdr:row>
      <xdr:rowOff>9525</xdr:rowOff>
    </xdr:to>
    <xdr:pic>
      <xdr:nvPicPr>
        <xdr:cNvPr id="117683" name="Рисунок 218" descr="Modern 3.0_401.pn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657350" y="3017329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1434</xdr:row>
      <xdr:rowOff>0</xdr:rowOff>
    </xdr:from>
    <xdr:to>
      <xdr:col>2</xdr:col>
      <xdr:colOff>762000</xdr:colOff>
      <xdr:row>1435</xdr:row>
      <xdr:rowOff>0</xdr:rowOff>
    </xdr:to>
    <xdr:pic>
      <xdr:nvPicPr>
        <xdr:cNvPr id="117684" name="Рисунок 221" descr="Modern 3.3_401.pn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943100" y="30173295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1435</xdr:row>
      <xdr:rowOff>0</xdr:rowOff>
    </xdr:from>
    <xdr:to>
      <xdr:col>2</xdr:col>
      <xdr:colOff>762000</xdr:colOff>
      <xdr:row>1436</xdr:row>
      <xdr:rowOff>6802</xdr:rowOff>
    </xdr:to>
    <xdr:pic>
      <xdr:nvPicPr>
        <xdr:cNvPr id="117685" name="Рисунок 222" descr="Modern 3A.2_401.pn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952625" y="302171100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434</xdr:row>
      <xdr:rowOff>19050</xdr:rowOff>
    </xdr:from>
    <xdr:to>
      <xdr:col>2</xdr:col>
      <xdr:colOff>314325</xdr:colOff>
      <xdr:row>434</xdr:row>
      <xdr:rowOff>400050</xdr:rowOff>
    </xdr:to>
    <xdr:pic>
      <xdr:nvPicPr>
        <xdr:cNvPr id="117686" name="Рисунок 223" descr="Lada 2A.0.pn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71650" y="1149000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434</xdr:row>
      <xdr:rowOff>28575</xdr:rowOff>
    </xdr:from>
    <xdr:to>
      <xdr:col>2</xdr:col>
      <xdr:colOff>581025</xdr:colOff>
      <xdr:row>434</xdr:row>
      <xdr:rowOff>409575</xdr:rowOff>
    </xdr:to>
    <xdr:pic>
      <xdr:nvPicPr>
        <xdr:cNvPr id="117687" name="Рисунок 224" descr="Lada 2A.1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38350" y="114909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435</xdr:row>
      <xdr:rowOff>38100</xdr:rowOff>
    </xdr:from>
    <xdr:to>
      <xdr:col>2</xdr:col>
      <xdr:colOff>304800</xdr:colOff>
      <xdr:row>435</xdr:row>
      <xdr:rowOff>419100</xdr:rowOff>
    </xdr:to>
    <xdr:pic>
      <xdr:nvPicPr>
        <xdr:cNvPr id="117688" name="Рисунок 225" descr="Lada 3A.0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62125" y="1153572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435</xdr:row>
      <xdr:rowOff>28575</xdr:rowOff>
    </xdr:from>
    <xdr:to>
      <xdr:col>2</xdr:col>
      <xdr:colOff>581025</xdr:colOff>
      <xdr:row>435</xdr:row>
      <xdr:rowOff>409575</xdr:rowOff>
    </xdr:to>
    <xdr:pic>
      <xdr:nvPicPr>
        <xdr:cNvPr id="117689" name="Рисунок 226" descr="Lada 3A.2.pn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038350" y="115347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436</xdr:row>
      <xdr:rowOff>28575</xdr:rowOff>
    </xdr:from>
    <xdr:to>
      <xdr:col>2</xdr:col>
      <xdr:colOff>295275</xdr:colOff>
      <xdr:row>436</xdr:row>
      <xdr:rowOff>409575</xdr:rowOff>
    </xdr:to>
    <xdr:pic>
      <xdr:nvPicPr>
        <xdr:cNvPr id="117690" name="Рисунок 227" descr="Lada 8.0.pn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52600" y="1157859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436</xdr:row>
      <xdr:rowOff>28575</xdr:rowOff>
    </xdr:from>
    <xdr:to>
      <xdr:col>2</xdr:col>
      <xdr:colOff>581025</xdr:colOff>
      <xdr:row>436</xdr:row>
      <xdr:rowOff>409575</xdr:rowOff>
    </xdr:to>
    <xdr:pic>
      <xdr:nvPicPr>
        <xdr:cNvPr id="117691" name="Рисунок 228" descr="Lada 8.5.pn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47875" y="11578590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505</xdr:row>
      <xdr:rowOff>28575</xdr:rowOff>
    </xdr:from>
    <xdr:to>
      <xdr:col>2</xdr:col>
      <xdr:colOff>333375</xdr:colOff>
      <xdr:row>505</xdr:row>
      <xdr:rowOff>419100</xdr:rowOff>
    </xdr:to>
    <xdr:pic>
      <xdr:nvPicPr>
        <xdr:cNvPr id="117692" name="Рисунок 229" descr="Lada 1.0.pn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90700" y="128130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505</xdr:row>
      <xdr:rowOff>28575</xdr:rowOff>
    </xdr:from>
    <xdr:to>
      <xdr:col>2</xdr:col>
      <xdr:colOff>590550</xdr:colOff>
      <xdr:row>505</xdr:row>
      <xdr:rowOff>409575</xdr:rowOff>
    </xdr:to>
    <xdr:pic>
      <xdr:nvPicPr>
        <xdr:cNvPr id="117693" name="Рисунок 230" descr="Lada 1.3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47875" y="1281303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506</xdr:row>
      <xdr:rowOff>38100</xdr:rowOff>
    </xdr:from>
    <xdr:to>
      <xdr:col>2</xdr:col>
      <xdr:colOff>333375</xdr:colOff>
      <xdr:row>506</xdr:row>
      <xdr:rowOff>419100</xdr:rowOff>
    </xdr:to>
    <xdr:pic>
      <xdr:nvPicPr>
        <xdr:cNvPr id="117694" name="Рисунок 231" descr="Lada 2.0.pn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90700" y="1285779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506</xdr:row>
      <xdr:rowOff>28575</xdr:rowOff>
    </xdr:from>
    <xdr:to>
      <xdr:col>2</xdr:col>
      <xdr:colOff>590550</xdr:colOff>
      <xdr:row>506</xdr:row>
      <xdr:rowOff>409575</xdr:rowOff>
    </xdr:to>
    <xdr:pic>
      <xdr:nvPicPr>
        <xdr:cNvPr id="117695" name="Рисунок 232" descr="Lada 2.2.pn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47875" y="1285684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507</xdr:row>
      <xdr:rowOff>28575</xdr:rowOff>
    </xdr:from>
    <xdr:to>
      <xdr:col>2</xdr:col>
      <xdr:colOff>323850</xdr:colOff>
      <xdr:row>507</xdr:row>
      <xdr:rowOff>409575</xdr:rowOff>
    </xdr:to>
    <xdr:pic>
      <xdr:nvPicPr>
        <xdr:cNvPr id="117696" name="Рисунок 233" descr="Lada 3.0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781175" y="129006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507</xdr:row>
      <xdr:rowOff>38100</xdr:rowOff>
    </xdr:from>
    <xdr:to>
      <xdr:col>2</xdr:col>
      <xdr:colOff>590550</xdr:colOff>
      <xdr:row>507</xdr:row>
      <xdr:rowOff>419100</xdr:rowOff>
    </xdr:to>
    <xdr:pic>
      <xdr:nvPicPr>
        <xdr:cNvPr id="117697" name="Рисунок 234" descr="Lada 3.5.pn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47875" y="129016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576</xdr:row>
      <xdr:rowOff>28575</xdr:rowOff>
    </xdr:from>
    <xdr:to>
      <xdr:col>2</xdr:col>
      <xdr:colOff>342900</xdr:colOff>
      <xdr:row>576</xdr:row>
      <xdr:rowOff>409575</xdr:rowOff>
    </xdr:to>
    <xdr:pic>
      <xdr:nvPicPr>
        <xdr:cNvPr id="117698" name="Рисунок 235" descr="Lada 4.0.pn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800225" y="141351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577</xdr:row>
      <xdr:rowOff>28575</xdr:rowOff>
    </xdr:from>
    <xdr:to>
      <xdr:col>2</xdr:col>
      <xdr:colOff>609600</xdr:colOff>
      <xdr:row>577</xdr:row>
      <xdr:rowOff>409575</xdr:rowOff>
    </xdr:to>
    <xdr:pic>
      <xdr:nvPicPr>
        <xdr:cNvPr id="117699" name="Рисунок 236" descr="Lada 4.8.pn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0669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577</xdr:row>
      <xdr:rowOff>28575</xdr:rowOff>
    </xdr:from>
    <xdr:to>
      <xdr:col>2</xdr:col>
      <xdr:colOff>342900</xdr:colOff>
      <xdr:row>577</xdr:row>
      <xdr:rowOff>409575</xdr:rowOff>
    </xdr:to>
    <xdr:pic>
      <xdr:nvPicPr>
        <xdr:cNvPr id="117700" name="Рисунок 237" descr="Lada 5.0.pn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8002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576</xdr:row>
      <xdr:rowOff>38100</xdr:rowOff>
    </xdr:from>
    <xdr:to>
      <xdr:col>2</xdr:col>
      <xdr:colOff>619125</xdr:colOff>
      <xdr:row>576</xdr:row>
      <xdr:rowOff>419100</xdr:rowOff>
    </xdr:to>
    <xdr:pic>
      <xdr:nvPicPr>
        <xdr:cNvPr id="117701" name="Рисунок 238" descr="Lada 5.6.pn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76450" y="1413605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646</xdr:row>
      <xdr:rowOff>28575</xdr:rowOff>
    </xdr:from>
    <xdr:to>
      <xdr:col>2</xdr:col>
      <xdr:colOff>342900</xdr:colOff>
      <xdr:row>646</xdr:row>
      <xdr:rowOff>409575</xdr:rowOff>
    </xdr:to>
    <xdr:pic>
      <xdr:nvPicPr>
        <xdr:cNvPr id="117702" name="Рисунок 239" descr="Lada 6.0.pn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80022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646</xdr:row>
      <xdr:rowOff>28575</xdr:rowOff>
    </xdr:from>
    <xdr:to>
      <xdr:col>2</xdr:col>
      <xdr:colOff>590550</xdr:colOff>
      <xdr:row>646</xdr:row>
      <xdr:rowOff>409575</xdr:rowOff>
    </xdr:to>
    <xdr:pic>
      <xdr:nvPicPr>
        <xdr:cNvPr id="117703" name="Рисунок 240" descr="Lada 6.4.pn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4787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647</xdr:row>
      <xdr:rowOff>28575</xdr:rowOff>
    </xdr:from>
    <xdr:to>
      <xdr:col>2</xdr:col>
      <xdr:colOff>342900</xdr:colOff>
      <xdr:row>647</xdr:row>
      <xdr:rowOff>409575</xdr:rowOff>
    </xdr:to>
    <xdr:pic>
      <xdr:nvPicPr>
        <xdr:cNvPr id="117704" name="Рисунок 241" descr="Lada 7.0.pn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800225" y="154571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647</xdr:row>
      <xdr:rowOff>38100</xdr:rowOff>
    </xdr:from>
    <xdr:to>
      <xdr:col>2</xdr:col>
      <xdr:colOff>609600</xdr:colOff>
      <xdr:row>647</xdr:row>
      <xdr:rowOff>419100</xdr:rowOff>
    </xdr:to>
    <xdr:pic>
      <xdr:nvPicPr>
        <xdr:cNvPr id="117705" name="Рисунок 242" descr="Lada 7.2.pn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66925" y="1545812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716</xdr:row>
      <xdr:rowOff>38100</xdr:rowOff>
    </xdr:from>
    <xdr:to>
      <xdr:col>2</xdr:col>
      <xdr:colOff>333375</xdr:colOff>
      <xdr:row>717</xdr:row>
      <xdr:rowOff>0</xdr:rowOff>
    </xdr:to>
    <xdr:pic>
      <xdr:nvPicPr>
        <xdr:cNvPr id="117706" name="Рисунок 178" descr="Nika 1.0.pn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781175" y="1669256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716</xdr:row>
      <xdr:rowOff>38100</xdr:rowOff>
    </xdr:from>
    <xdr:to>
      <xdr:col>2</xdr:col>
      <xdr:colOff>590550</xdr:colOff>
      <xdr:row>717</xdr:row>
      <xdr:rowOff>0</xdr:rowOff>
    </xdr:to>
    <xdr:pic>
      <xdr:nvPicPr>
        <xdr:cNvPr id="117707" name="Рисунок 179" descr="Nika 1.8.pn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047875" y="1669256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717</xdr:row>
      <xdr:rowOff>19050</xdr:rowOff>
    </xdr:from>
    <xdr:to>
      <xdr:col>2</xdr:col>
      <xdr:colOff>314325</xdr:colOff>
      <xdr:row>717</xdr:row>
      <xdr:rowOff>400050</xdr:rowOff>
    </xdr:to>
    <xdr:pic>
      <xdr:nvPicPr>
        <xdr:cNvPr id="117708" name="Рисунок 180" descr="Nika 2.1.pn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71650" y="1673447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717</xdr:row>
      <xdr:rowOff>19050</xdr:rowOff>
    </xdr:from>
    <xdr:to>
      <xdr:col>2</xdr:col>
      <xdr:colOff>581025</xdr:colOff>
      <xdr:row>717</xdr:row>
      <xdr:rowOff>400050</xdr:rowOff>
    </xdr:to>
    <xdr:pic>
      <xdr:nvPicPr>
        <xdr:cNvPr id="117709" name="Рисунок 181" descr="Nika 2.4.pn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28825" y="167344725"/>
          <a:ext cx="1809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786</xdr:row>
      <xdr:rowOff>28575</xdr:rowOff>
    </xdr:from>
    <xdr:to>
      <xdr:col>2</xdr:col>
      <xdr:colOff>390525</xdr:colOff>
      <xdr:row>786</xdr:row>
      <xdr:rowOff>419100</xdr:rowOff>
    </xdr:to>
    <xdr:pic>
      <xdr:nvPicPr>
        <xdr:cNvPr id="117710" name="Рисунок 186" descr="Lisa 2.0.pn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847850" y="179717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786</xdr:row>
      <xdr:rowOff>28575</xdr:rowOff>
    </xdr:from>
    <xdr:to>
      <xdr:col>2</xdr:col>
      <xdr:colOff>590550</xdr:colOff>
      <xdr:row>786</xdr:row>
      <xdr:rowOff>419100</xdr:rowOff>
    </xdr:to>
    <xdr:pic>
      <xdr:nvPicPr>
        <xdr:cNvPr id="117711" name="Рисунок 187" descr="Lisa 2.2.pn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38350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787</xdr:row>
      <xdr:rowOff>19050</xdr:rowOff>
    </xdr:from>
    <xdr:to>
      <xdr:col>2</xdr:col>
      <xdr:colOff>381000</xdr:colOff>
      <xdr:row>787</xdr:row>
      <xdr:rowOff>409575</xdr:rowOff>
    </xdr:to>
    <xdr:pic>
      <xdr:nvPicPr>
        <xdr:cNvPr id="117712" name="Рисунок 188" descr="Lisa 3.0.pn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828800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787</xdr:row>
      <xdr:rowOff>19050</xdr:rowOff>
    </xdr:from>
    <xdr:to>
      <xdr:col>2</xdr:col>
      <xdr:colOff>600075</xdr:colOff>
      <xdr:row>787</xdr:row>
      <xdr:rowOff>409575</xdr:rowOff>
    </xdr:to>
    <xdr:pic>
      <xdr:nvPicPr>
        <xdr:cNvPr id="117713" name="Рисунок 189" descr="Lisa 3.4.pn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47875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1006</xdr:row>
      <xdr:rowOff>38100</xdr:rowOff>
    </xdr:from>
    <xdr:to>
      <xdr:col>2</xdr:col>
      <xdr:colOff>342900</xdr:colOff>
      <xdr:row>1007</xdr:row>
      <xdr:rowOff>0</xdr:rowOff>
    </xdr:to>
    <xdr:pic>
      <xdr:nvPicPr>
        <xdr:cNvPr id="117714" name="Рисунок 198" descr="Mira 1.0.pn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90700" y="221970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1006</xdr:row>
      <xdr:rowOff>47625</xdr:rowOff>
    </xdr:from>
    <xdr:to>
      <xdr:col>2</xdr:col>
      <xdr:colOff>581025</xdr:colOff>
      <xdr:row>1007</xdr:row>
      <xdr:rowOff>0</xdr:rowOff>
    </xdr:to>
    <xdr:pic>
      <xdr:nvPicPr>
        <xdr:cNvPr id="117715" name="Рисунок 199" descr="Mira 1.6.pn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38350" y="221980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1007</xdr:row>
      <xdr:rowOff>38100</xdr:rowOff>
    </xdr:from>
    <xdr:to>
      <xdr:col>2</xdr:col>
      <xdr:colOff>342900</xdr:colOff>
      <xdr:row>1007</xdr:row>
      <xdr:rowOff>419100</xdr:rowOff>
    </xdr:to>
    <xdr:pic>
      <xdr:nvPicPr>
        <xdr:cNvPr id="117716" name="Рисунок 200" descr="Mira 2.1.pn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00225" y="222408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1007</xdr:row>
      <xdr:rowOff>28575</xdr:rowOff>
    </xdr:from>
    <xdr:to>
      <xdr:col>2</xdr:col>
      <xdr:colOff>590550</xdr:colOff>
      <xdr:row>1007</xdr:row>
      <xdr:rowOff>409575</xdr:rowOff>
    </xdr:to>
    <xdr:pic>
      <xdr:nvPicPr>
        <xdr:cNvPr id="117717" name="Рисунок 201" descr="Mira 2.3.pn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57400" y="2223992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1150</xdr:row>
      <xdr:rowOff>19050</xdr:rowOff>
    </xdr:from>
    <xdr:to>
      <xdr:col>2</xdr:col>
      <xdr:colOff>352425</xdr:colOff>
      <xdr:row>1150</xdr:row>
      <xdr:rowOff>400050</xdr:rowOff>
    </xdr:to>
    <xdr:pic>
      <xdr:nvPicPr>
        <xdr:cNvPr id="117718" name="Рисунок 206" descr="Linda 1.0.pn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809750" y="249021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1150</xdr:row>
      <xdr:rowOff>28575</xdr:rowOff>
    </xdr:from>
    <xdr:to>
      <xdr:col>2</xdr:col>
      <xdr:colOff>647700</xdr:colOff>
      <xdr:row>1150</xdr:row>
      <xdr:rowOff>419100</xdr:rowOff>
    </xdr:to>
    <xdr:pic>
      <xdr:nvPicPr>
        <xdr:cNvPr id="117719" name="Рисунок 207" descr="Linda 1.5.pn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05025" y="2490311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1151</xdr:row>
      <xdr:rowOff>38100</xdr:rowOff>
    </xdr:from>
    <xdr:to>
      <xdr:col>2</xdr:col>
      <xdr:colOff>352425</xdr:colOff>
      <xdr:row>1151</xdr:row>
      <xdr:rowOff>419100</xdr:rowOff>
    </xdr:to>
    <xdr:pic>
      <xdr:nvPicPr>
        <xdr:cNvPr id="117720" name="Рисунок 208" descr="Linda 1.6.pn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09750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1151</xdr:row>
      <xdr:rowOff>38100</xdr:rowOff>
    </xdr:from>
    <xdr:to>
      <xdr:col>2</xdr:col>
      <xdr:colOff>647700</xdr:colOff>
      <xdr:row>1151</xdr:row>
      <xdr:rowOff>419100</xdr:rowOff>
    </xdr:to>
    <xdr:pic>
      <xdr:nvPicPr>
        <xdr:cNvPr id="117721" name="Рисунок 209" descr="Linda 1.8.pn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05025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1220</xdr:row>
      <xdr:rowOff>19050</xdr:rowOff>
    </xdr:from>
    <xdr:to>
      <xdr:col>2</xdr:col>
      <xdr:colOff>333375</xdr:colOff>
      <xdr:row>1220</xdr:row>
      <xdr:rowOff>400050</xdr:rowOff>
    </xdr:to>
    <xdr:pic>
      <xdr:nvPicPr>
        <xdr:cNvPr id="117722" name="Рисунок 210" descr="Tiana 1.0.pn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790700" y="261804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1220</xdr:row>
      <xdr:rowOff>28575</xdr:rowOff>
    </xdr:from>
    <xdr:to>
      <xdr:col>2</xdr:col>
      <xdr:colOff>600075</xdr:colOff>
      <xdr:row>1220</xdr:row>
      <xdr:rowOff>409575</xdr:rowOff>
    </xdr:to>
    <xdr:pic>
      <xdr:nvPicPr>
        <xdr:cNvPr id="117723" name="Рисунок 211" descr="Tiana 1.5.pn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57400" y="261813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1221</xdr:row>
      <xdr:rowOff>28575</xdr:rowOff>
    </xdr:from>
    <xdr:to>
      <xdr:col>2</xdr:col>
      <xdr:colOff>333375</xdr:colOff>
      <xdr:row>1221</xdr:row>
      <xdr:rowOff>409575</xdr:rowOff>
    </xdr:to>
    <xdr:pic>
      <xdr:nvPicPr>
        <xdr:cNvPr id="117724" name="Рисунок 212" descr="Tiana 1.6.pn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790700" y="262251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1221</xdr:row>
      <xdr:rowOff>38100</xdr:rowOff>
    </xdr:from>
    <xdr:to>
      <xdr:col>2</xdr:col>
      <xdr:colOff>600075</xdr:colOff>
      <xdr:row>1221</xdr:row>
      <xdr:rowOff>419100</xdr:rowOff>
    </xdr:to>
    <xdr:pic>
      <xdr:nvPicPr>
        <xdr:cNvPr id="117725" name="Рисунок 213" descr="Tiana 1.9.pn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057400" y="2622613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1290</xdr:row>
      <xdr:rowOff>28575</xdr:rowOff>
    </xdr:from>
    <xdr:to>
      <xdr:col>2</xdr:col>
      <xdr:colOff>371475</xdr:colOff>
      <xdr:row>1290</xdr:row>
      <xdr:rowOff>409575</xdr:rowOff>
    </xdr:to>
    <xdr:pic>
      <xdr:nvPicPr>
        <xdr:cNvPr id="117726" name="Рисунок 220" descr="Eva 2.0.pn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828800" y="274586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1290</xdr:row>
      <xdr:rowOff>28575</xdr:rowOff>
    </xdr:from>
    <xdr:to>
      <xdr:col>2</xdr:col>
      <xdr:colOff>619125</xdr:colOff>
      <xdr:row>1290</xdr:row>
      <xdr:rowOff>419100</xdr:rowOff>
    </xdr:to>
    <xdr:pic>
      <xdr:nvPicPr>
        <xdr:cNvPr id="117727" name="Рисунок 221" descr="Eva 2.2.pn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76450" y="274586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1291</xdr:row>
      <xdr:rowOff>38100</xdr:rowOff>
    </xdr:from>
    <xdr:to>
      <xdr:col>2</xdr:col>
      <xdr:colOff>371475</xdr:colOff>
      <xdr:row>1291</xdr:row>
      <xdr:rowOff>419100</xdr:rowOff>
    </xdr:to>
    <xdr:pic>
      <xdr:nvPicPr>
        <xdr:cNvPr id="117728" name="Рисунок 222" descr="Eva 4.0.pn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828800" y="2750343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1291</xdr:row>
      <xdr:rowOff>28575</xdr:rowOff>
    </xdr:from>
    <xdr:to>
      <xdr:col>2</xdr:col>
      <xdr:colOff>619125</xdr:colOff>
      <xdr:row>1291</xdr:row>
      <xdr:rowOff>409575</xdr:rowOff>
    </xdr:to>
    <xdr:pic>
      <xdr:nvPicPr>
        <xdr:cNvPr id="117729" name="Рисунок 223" descr="Eva 4.4.pn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076450" y="2750248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1292</xdr:row>
      <xdr:rowOff>28575</xdr:rowOff>
    </xdr:from>
    <xdr:to>
      <xdr:col>2</xdr:col>
      <xdr:colOff>371475</xdr:colOff>
      <xdr:row>1292</xdr:row>
      <xdr:rowOff>409575</xdr:rowOff>
    </xdr:to>
    <xdr:pic>
      <xdr:nvPicPr>
        <xdr:cNvPr id="117730" name="Рисунок 224" descr="Eva 4.5.pn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82880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1292</xdr:row>
      <xdr:rowOff>28575</xdr:rowOff>
    </xdr:from>
    <xdr:to>
      <xdr:col>2</xdr:col>
      <xdr:colOff>619125</xdr:colOff>
      <xdr:row>1292</xdr:row>
      <xdr:rowOff>409575</xdr:rowOff>
    </xdr:to>
    <xdr:pic>
      <xdr:nvPicPr>
        <xdr:cNvPr id="117731" name="Рисунок 225" descr="Eva 4.6.pn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7645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1505</xdr:row>
      <xdr:rowOff>38100</xdr:rowOff>
    </xdr:from>
    <xdr:to>
      <xdr:col>2</xdr:col>
      <xdr:colOff>371475</xdr:colOff>
      <xdr:row>1505</xdr:row>
      <xdr:rowOff>419100</xdr:rowOff>
    </xdr:to>
    <xdr:pic>
      <xdr:nvPicPr>
        <xdr:cNvPr id="117732" name="Picture 546" descr="Lada-Nova_3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83832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1505</xdr:row>
      <xdr:rowOff>38100</xdr:rowOff>
    </xdr:from>
    <xdr:to>
      <xdr:col>2</xdr:col>
      <xdr:colOff>581025</xdr:colOff>
      <xdr:row>1505</xdr:row>
      <xdr:rowOff>419100</xdr:rowOff>
    </xdr:to>
    <xdr:pic>
      <xdr:nvPicPr>
        <xdr:cNvPr id="117733" name="Picture 547" descr="Lada-Nova_3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4787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1507</xdr:row>
      <xdr:rowOff>47625</xdr:rowOff>
    </xdr:from>
    <xdr:to>
      <xdr:col>2</xdr:col>
      <xdr:colOff>466725</xdr:colOff>
      <xdr:row>1507</xdr:row>
      <xdr:rowOff>400050</xdr:rowOff>
    </xdr:to>
    <xdr:pic>
      <xdr:nvPicPr>
        <xdr:cNvPr id="117734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933575" y="315610875"/>
          <a:ext cx="161925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1508</xdr:row>
      <xdr:rowOff>47625</xdr:rowOff>
    </xdr:from>
    <xdr:to>
      <xdr:col>2</xdr:col>
      <xdr:colOff>466725</xdr:colOff>
      <xdr:row>1508</xdr:row>
      <xdr:rowOff>409575</xdr:rowOff>
    </xdr:to>
    <xdr:pic>
      <xdr:nvPicPr>
        <xdr:cNvPr id="117735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933575" y="3160490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1506</xdr:row>
      <xdr:rowOff>38100</xdr:rowOff>
    </xdr:from>
    <xdr:to>
      <xdr:col>2</xdr:col>
      <xdr:colOff>485775</xdr:colOff>
      <xdr:row>1506</xdr:row>
      <xdr:rowOff>390525</xdr:rowOff>
    </xdr:to>
    <xdr:pic>
      <xdr:nvPicPr>
        <xdr:cNvPr id="117736" name="Picture 719" descr="Pollo_3a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952625" y="315163200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1865</xdr:row>
      <xdr:rowOff>19050</xdr:rowOff>
    </xdr:from>
    <xdr:to>
      <xdr:col>2</xdr:col>
      <xdr:colOff>381000</xdr:colOff>
      <xdr:row>1865</xdr:row>
      <xdr:rowOff>419100</xdr:rowOff>
    </xdr:to>
    <xdr:pic>
      <xdr:nvPicPr>
        <xdr:cNvPr id="117737" name="Рисунок 217" descr="L1.0.pn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914525" y="3843813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1866</xdr:row>
      <xdr:rowOff>9525</xdr:rowOff>
    </xdr:from>
    <xdr:to>
      <xdr:col>2</xdr:col>
      <xdr:colOff>266700</xdr:colOff>
      <xdr:row>1866</xdr:row>
      <xdr:rowOff>409575</xdr:rowOff>
    </xdr:to>
    <xdr:pic>
      <xdr:nvPicPr>
        <xdr:cNvPr id="117738" name="Рисунок 219" descr="L3.0.pn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00225" y="3848100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1866</xdr:row>
      <xdr:rowOff>19050</xdr:rowOff>
    </xdr:from>
    <xdr:to>
      <xdr:col>2</xdr:col>
      <xdr:colOff>447675</xdr:colOff>
      <xdr:row>1866</xdr:row>
      <xdr:rowOff>409575</xdr:rowOff>
    </xdr:to>
    <xdr:pic>
      <xdr:nvPicPr>
        <xdr:cNvPr id="117739" name="Рисунок 220" descr="L3.1.pn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990725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1866</xdr:row>
      <xdr:rowOff>19050</xdr:rowOff>
    </xdr:from>
    <xdr:to>
      <xdr:col>2</xdr:col>
      <xdr:colOff>628650</xdr:colOff>
      <xdr:row>1866</xdr:row>
      <xdr:rowOff>409575</xdr:rowOff>
    </xdr:to>
    <xdr:pic>
      <xdr:nvPicPr>
        <xdr:cNvPr id="117740" name="Рисунок 221" descr="L3.2.pn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171700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1867</xdr:row>
      <xdr:rowOff>28575</xdr:rowOff>
    </xdr:from>
    <xdr:to>
      <xdr:col>2</xdr:col>
      <xdr:colOff>371475</xdr:colOff>
      <xdr:row>1868</xdr:row>
      <xdr:rowOff>9526</xdr:rowOff>
    </xdr:to>
    <xdr:pic>
      <xdr:nvPicPr>
        <xdr:cNvPr id="117741" name="Рисунок 222" descr="L4.0.pn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905000" y="385267200"/>
          <a:ext cx="95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1867</xdr:row>
      <xdr:rowOff>19050</xdr:rowOff>
    </xdr:from>
    <xdr:to>
      <xdr:col>2</xdr:col>
      <xdr:colOff>542925</xdr:colOff>
      <xdr:row>1867</xdr:row>
      <xdr:rowOff>419100</xdr:rowOff>
    </xdr:to>
    <xdr:pic>
      <xdr:nvPicPr>
        <xdr:cNvPr id="117742" name="Рисунок 223" descr="L4.1.pn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76450" y="3852576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1868</xdr:row>
      <xdr:rowOff>28575</xdr:rowOff>
    </xdr:from>
    <xdr:to>
      <xdr:col>2</xdr:col>
      <xdr:colOff>361950</xdr:colOff>
      <xdr:row>1868</xdr:row>
      <xdr:rowOff>419100</xdr:rowOff>
    </xdr:to>
    <xdr:pic>
      <xdr:nvPicPr>
        <xdr:cNvPr id="117743" name="Рисунок 224" descr="L5.0.pn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905000" y="38570535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1868</xdr:row>
      <xdr:rowOff>9525</xdr:rowOff>
    </xdr:from>
    <xdr:to>
      <xdr:col>2</xdr:col>
      <xdr:colOff>542925</xdr:colOff>
      <xdr:row>1868</xdr:row>
      <xdr:rowOff>409575</xdr:rowOff>
    </xdr:to>
    <xdr:pic>
      <xdr:nvPicPr>
        <xdr:cNvPr id="117744" name="Рисунок 225" descr="L5.1.pn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76450" y="3856863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1869</xdr:row>
      <xdr:rowOff>19050</xdr:rowOff>
    </xdr:from>
    <xdr:to>
      <xdr:col>2</xdr:col>
      <xdr:colOff>352425</xdr:colOff>
      <xdr:row>1869</xdr:row>
      <xdr:rowOff>419100</xdr:rowOff>
    </xdr:to>
    <xdr:pic>
      <xdr:nvPicPr>
        <xdr:cNvPr id="117745" name="Рисунок 226" descr="L6.0.pn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895475" y="386133975"/>
          <a:ext cx="85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1869</xdr:row>
      <xdr:rowOff>28575</xdr:rowOff>
    </xdr:from>
    <xdr:to>
      <xdr:col>2</xdr:col>
      <xdr:colOff>533400</xdr:colOff>
      <xdr:row>1869</xdr:row>
      <xdr:rowOff>419100</xdr:rowOff>
    </xdr:to>
    <xdr:pic>
      <xdr:nvPicPr>
        <xdr:cNvPr id="117746" name="Рисунок 227" descr="L6.1.pn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76450" y="38614350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1865</xdr:row>
      <xdr:rowOff>28575</xdr:rowOff>
    </xdr:from>
    <xdr:to>
      <xdr:col>2</xdr:col>
      <xdr:colOff>533400</xdr:colOff>
      <xdr:row>1865</xdr:row>
      <xdr:rowOff>419100</xdr:rowOff>
    </xdr:to>
    <xdr:pic>
      <xdr:nvPicPr>
        <xdr:cNvPr id="117747" name="Рисунок 228" descr="L1.1.pn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066925" y="384390900"/>
          <a:ext cx="95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786</xdr:row>
      <xdr:rowOff>28575</xdr:rowOff>
    </xdr:from>
    <xdr:to>
      <xdr:col>2</xdr:col>
      <xdr:colOff>371475</xdr:colOff>
      <xdr:row>786</xdr:row>
      <xdr:rowOff>419100</xdr:rowOff>
    </xdr:to>
    <xdr:pic>
      <xdr:nvPicPr>
        <xdr:cNvPr id="117748" name="Рисунок 186" descr="Lisa 2.0.pn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819275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1361</xdr:row>
      <xdr:rowOff>28575</xdr:rowOff>
    </xdr:from>
    <xdr:to>
      <xdr:col>2</xdr:col>
      <xdr:colOff>342900</xdr:colOff>
      <xdr:row>1361</xdr:row>
      <xdr:rowOff>419100</xdr:rowOff>
    </xdr:to>
    <xdr:pic>
      <xdr:nvPicPr>
        <xdr:cNvPr id="117749" name="Рисунок 231" descr="Lada Trend 5.0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8002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1361</xdr:row>
      <xdr:rowOff>28575</xdr:rowOff>
    </xdr:from>
    <xdr:to>
      <xdr:col>2</xdr:col>
      <xdr:colOff>571500</xdr:colOff>
      <xdr:row>1361</xdr:row>
      <xdr:rowOff>419100</xdr:rowOff>
    </xdr:to>
    <xdr:pic>
      <xdr:nvPicPr>
        <xdr:cNvPr id="117750" name="Рисунок 236" descr="Lada Trend 5.5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288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1362</xdr:row>
      <xdr:rowOff>9525</xdr:rowOff>
    </xdr:from>
    <xdr:to>
      <xdr:col>2</xdr:col>
      <xdr:colOff>247650</xdr:colOff>
      <xdr:row>1362</xdr:row>
      <xdr:rowOff>400050</xdr:rowOff>
    </xdr:to>
    <xdr:pic>
      <xdr:nvPicPr>
        <xdr:cNvPr id="117751" name="Рисунок 237" descr="Lada Trend 5A.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695450" y="2883217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1362</xdr:row>
      <xdr:rowOff>19050</xdr:rowOff>
    </xdr:from>
    <xdr:to>
      <xdr:col>2</xdr:col>
      <xdr:colOff>457200</xdr:colOff>
      <xdr:row>1362</xdr:row>
      <xdr:rowOff>409575</xdr:rowOff>
    </xdr:to>
    <xdr:pic>
      <xdr:nvPicPr>
        <xdr:cNvPr id="117752" name="Рисунок 238" descr="Lada Trend 5A.2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905000" y="288331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1362</xdr:row>
      <xdr:rowOff>19050</xdr:rowOff>
    </xdr:from>
    <xdr:to>
      <xdr:col>2</xdr:col>
      <xdr:colOff>666750</xdr:colOff>
      <xdr:row>1362</xdr:row>
      <xdr:rowOff>419100</xdr:rowOff>
    </xdr:to>
    <xdr:pic>
      <xdr:nvPicPr>
        <xdr:cNvPr id="117753" name="Рисунок 239" descr="Lada Trend 5A.3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114550" y="288331275"/>
          <a:ext cx="180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1363</xdr:row>
      <xdr:rowOff>28575</xdr:rowOff>
    </xdr:from>
    <xdr:to>
      <xdr:col>2</xdr:col>
      <xdr:colOff>457200</xdr:colOff>
      <xdr:row>1364</xdr:row>
      <xdr:rowOff>9525</xdr:rowOff>
    </xdr:to>
    <xdr:pic>
      <xdr:nvPicPr>
        <xdr:cNvPr id="117754" name="Рисунок 240" descr="Lada Trend 5B.3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914525" y="288778950"/>
          <a:ext cx="171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2055</xdr:row>
      <xdr:rowOff>76200</xdr:rowOff>
    </xdr:from>
    <xdr:to>
      <xdr:col>2</xdr:col>
      <xdr:colOff>704850</xdr:colOff>
      <xdr:row>2056</xdr:row>
      <xdr:rowOff>352424</xdr:rowOff>
    </xdr:to>
    <xdr:pic>
      <xdr:nvPicPr>
        <xdr:cNvPr id="117755" name="Рисунок 241" descr="Standard D80 стандартная деревянная коробка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685925" y="419633400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2129</xdr:row>
      <xdr:rowOff>85725</xdr:rowOff>
    </xdr:from>
    <xdr:to>
      <xdr:col>2</xdr:col>
      <xdr:colOff>704850</xdr:colOff>
      <xdr:row>2132</xdr:row>
      <xdr:rowOff>47625</xdr:rowOff>
    </xdr:to>
    <xdr:pic>
      <xdr:nvPicPr>
        <xdr:cNvPr id="117756" name="Рисунок 242" descr="58_PAGE1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24025" y="43459717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2201</xdr:row>
      <xdr:rowOff>66675</xdr:rowOff>
    </xdr:from>
    <xdr:to>
      <xdr:col>2</xdr:col>
      <xdr:colOff>723900</xdr:colOff>
      <xdr:row>2204</xdr:row>
      <xdr:rowOff>76200</xdr:rowOff>
    </xdr:to>
    <xdr:pic>
      <xdr:nvPicPr>
        <xdr:cNvPr id="117757" name="Рисунок 243" descr="60_PAGE1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743075" y="447960750"/>
          <a:ext cx="609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2269</xdr:row>
      <xdr:rowOff>114300</xdr:rowOff>
    </xdr:from>
    <xdr:to>
      <xdr:col>2</xdr:col>
      <xdr:colOff>723900</xdr:colOff>
      <xdr:row>2272</xdr:row>
      <xdr:rowOff>76200</xdr:rowOff>
    </xdr:to>
    <xdr:pic>
      <xdr:nvPicPr>
        <xdr:cNvPr id="117758" name="Рисунок 244" descr="62_PAGE1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43075" y="45976222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364</xdr:row>
      <xdr:rowOff>47625</xdr:rowOff>
    </xdr:from>
    <xdr:to>
      <xdr:col>2</xdr:col>
      <xdr:colOff>504825</xdr:colOff>
      <xdr:row>365</xdr:row>
      <xdr:rowOff>0</xdr:rowOff>
    </xdr:to>
    <xdr:pic>
      <xdr:nvPicPr>
        <xdr:cNvPr id="117759" name="Рисунок 221" descr="B_5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27406" t="12793" r="27354" b="6847"/>
        <a:stretch>
          <a:fillRect/>
        </a:stretch>
      </xdr:blipFill>
      <xdr:spPr bwMode="auto">
        <a:xfrm>
          <a:off x="1962150" y="1024223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2472</xdr:row>
      <xdr:rowOff>28575</xdr:rowOff>
    </xdr:from>
    <xdr:to>
      <xdr:col>2</xdr:col>
      <xdr:colOff>695325</xdr:colOff>
      <xdr:row>2472</xdr:row>
      <xdr:rowOff>390525</xdr:rowOff>
    </xdr:to>
    <xdr:pic>
      <xdr:nvPicPr>
        <xdr:cNvPr id="117760" name="Рисунок 212" descr="HANDY  (срібна матова, фото 2).pn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1350" t="26553" b="35219"/>
        <a:stretch>
          <a:fillRect/>
        </a:stretch>
      </xdr:blipFill>
      <xdr:spPr bwMode="auto">
        <a:xfrm>
          <a:off x="1390650" y="498348000"/>
          <a:ext cx="933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2474</xdr:row>
      <xdr:rowOff>28575</xdr:rowOff>
    </xdr:from>
    <xdr:to>
      <xdr:col>2</xdr:col>
      <xdr:colOff>752475</xdr:colOff>
      <xdr:row>2474</xdr:row>
      <xdr:rowOff>390525</xdr:rowOff>
    </xdr:to>
    <xdr:pic>
      <xdr:nvPicPr>
        <xdr:cNvPr id="117761" name="Рисунок 213" descr="7424.970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l="3374" t="32771" b="31566"/>
        <a:stretch>
          <a:fillRect/>
        </a:stretch>
      </xdr:blipFill>
      <xdr:spPr bwMode="auto">
        <a:xfrm>
          <a:off x="1400175" y="499224300"/>
          <a:ext cx="981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2470</xdr:row>
      <xdr:rowOff>38100</xdr:rowOff>
    </xdr:from>
    <xdr:to>
      <xdr:col>2</xdr:col>
      <xdr:colOff>704850</xdr:colOff>
      <xdr:row>2471</xdr:row>
      <xdr:rowOff>0</xdr:rowOff>
    </xdr:to>
    <xdr:pic>
      <xdr:nvPicPr>
        <xdr:cNvPr id="117762" name="Рисунок 214" descr="Verona_silver-mat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438275" y="49748122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1343025</xdr:colOff>
      <xdr:row>2473</xdr:row>
      <xdr:rowOff>38100</xdr:rowOff>
    </xdr:from>
    <xdr:to>
      <xdr:col>2</xdr:col>
      <xdr:colOff>752475</xdr:colOff>
      <xdr:row>2474</xdr:row>
      <xdr:rowOff>1</xdr:rowOff>
    </xdr:to>
    <xdr:pic>
      <xdr:nvPicPr>
        <xdr:cNvPr id="117763" name="Рисунок 215" descr="Prius (2) - брашированный мат.хром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26994" b="31287"/>
        <a:stretch>
          <a:fillRect/>
        </a:stretch>
      </xdr:blipFill>
      <xdr:spPr bwMode="auto">
        <a:xfrm>
          <a:off x="1409700" y="498795675"/>
          <a:ext cx="9715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2</xdr:col>
      <xdr:colOff>352425</xdr:colOff>
      <xdr:row>3</xdr:row>
      <xdr:rowOff>104775</xdr:rowOff>
    </xdr:to>
    <xdr:pic>
      <xdr:nvPicPr>
        <xdr:cNvPr id="3744" name="Picture 383" descr="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161925"/>
          <a:ext cx="1514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11"/>
  </sheetPr>
  <dimension ref="A1:I51"/>
  <sheetViews>
    <sheetView showGridLines="0" tabSelected="1" workbookViewId="0">
      <selection activeCell="C37" sqref="C37"/>
    </sheetView>
  </sheetViews>
  <sheetFormatPr defaultRowHeight="11.25"/>
  <cols>
    <col min="1" max="1" width="2.5703125" style="74" customWidth="1"/>
    <col min="2" max="2" width="5.140625" style="74" customWidth="1"/>
    <col min="3" max="3" width="41.28515625" style="74" bestFit="1" customWidth="1"/>
    <col min="4" max="4" width="9.140625" style="74"/>
    <col min="5" max="5" width="10.28515625" style="74" customWidth="1"/>
    <col min="6" max="8" width="9.140625" style="74"/>
    <col min="9" max="9" width="0" style="74" hidden="1" customWidth="1"/>
    <col min="10" max="16384" width="9.140625" style="74"/>
  </cols>
  <sheetData>
    <row r="1" spans="2:9" ht="5.0999999999999996" customHeight="1"/>
    <row r="2" spans="2:9">
      <c r="B2" s="418" t="str">
        <f>IF($E$4="ENG","VERSION: 52.00.22","ВЕРСІЯ: 53.00.22")</f>
        <v>ВЕРСІЯ: 53.00.22</v>
      </c>
      <c r="C2" s="418"/>
      <c r="D2" s="85" t="str">
        <f>IF($E$4="ENG","valid from: 12 August 2022","діє з: 12 Серпня   2022")</f>
        <v>діє з: 12 Серпня   2022</v>
      </c>
      <c r="I2" s="211" t="s">
        <v>67</v>
      </c>
    </row>
    <row r="3" spans="2:9">
      <c r="I3" s="211" t="s">
        <v>6</v>
      </c>
    </row>
    <row r="4" spans="2:9">
      <c r="D4" s="210" t="str">
        <f>IF(E4="ENG","choose language:","оберіть мову:")</f>
        <v>оберіть мову:</v>
      </c>
      <c r="E4" s="213" t="s">
        <v>67</v>
      </c>
    </row>
    <row r="6" spans="2:9" ht="5.0999999999999996" customHeight="1"/>
    <row r="7" spans="2:9" ht="12.75">
      <c r="B7" s="75" t="str">
        <f>IF($E$4="ENG","INTERIOR DOOR LEAFS","ДВЕРІ МІЖКІМНАТНІ ЛАМІНОВАНІ")</f>
        <v>ДВЕРІ МІЖКІМНАТНІ ЛАМІНОВАНІ</v>
      </c>
    </row>
    <row r="8" spans="2:9">
      <c r="C8" s="76" t="str">
        <f>IF($E$4="ENG","Door leafs: STANDARD","Полотна каркасно-щитові: СТАНДАРТ")</f>
        <v>Полотна каркасно-щитові: СТАНДАРТ</v>
      </c>
      <c r="D8" s="77"/>
      <c r="E8" s="78"/>
    </row>
    <row r="9" spans="2:9">
      <c r="C9" s="79" t="str">
        <f>IF($E$4="ENG","Door leafs: KUPAVA","Полотна каркасно-щитові: КУПАВА")</f>
        <v>Полотна каркасно-щитові: КУПАВА</v>
      </c>
      <c r="D9" s="80"/>
      <c r="E9" s="81"/>
    </row>
    <row r="10" spans="2:9">
      <c r="C10" s="79" t="str">
        <f>IF($E$4="ENG","Door leafs: GEOMETRY","Полотна каркасно-щитові: ГЕОМЕТРІЯ")</f>
        <v>Полотна каркасно-щитові: ГЕОМЕТРІЯ</v>
      </c>
      <c r="D10" s="80"/>
      <c r="E10" s="81"/>
    </row>
    <row r="11" spans="2:9">
      <c r="C11" s="79" t="str">
        <f>IF($E$4="ENG","Door leafs: IDEA","Полотна каркасно-щитові: ІДЕЯ")</f>
        <v>Полотна каркасно-щитові: ІДЕЯ</v>
      </c>
      <c r="D11" s="114"/>
      <c r="E11" s="81"/>
    </row>
    <row r="12" spans="2:9">
      <c r="C12" s="79" t="str">
        <f>IF($E$4="ENG","Door leafs: IDEA-LOFT","Полотна каркасно-щитові: ІДЕЯ-ЛОФТ")</f>
        <v>Полотна каркасно-щитові: ІДЕЯ-ЛОФТ</v>
      </c>
      <c r="D12" s="114"/>
      <c r="E12" s="335"/>
    </row>
    <row r="13" spans="2:9">
      <c r="C13" s="79" t="str">
        <f>IF($E$4="ENG","Wooden Door leafs: LADA A","Полотна збірні: ЛАДА A")</f>
        <v>Полотна збірні: ЛАДА A</v>
      </c>
      <c r="D13" s="114"/>
      <c r="E13" s="335"/>
    </row>
    <row r="14" spans="2:9">
      <c r="C14" s="79" t="str">
        <f>IF($E$4="ENG","Wooden Door leafs: LADA B","Полотна збірні: ЛАДА B")</f>
        <v>Полотна збірні: ЛАДА B</v>
      </c>
      <c r="D14" s="114"/>
      <c r="E14" s="335"/>
    </row>
    <row r="15" spans="2:9">
      <c r="C15" s="79" t="str">
        <f>IF($E$4="ENG","Wooden Door leafs: LADA C","Полотна збірні: ЛАДА C")</f>
        <v>Полотна збірні: ЛАДА C</v>
      </c>
      <c r="D15" s="114"/>
      <c r="E15" s="335"/>
    </row>
    <row r="16" spans="2:9">
      <c r="C16" s="79" t="str">
        <f>IF($E$4="ENG","Wooden Door leafs: LADA D","Полотна збірні: ЛАДА D")</f>
        <v>Полотна збірні: ЛАДА D</v>
      </c>
      <c r="D16" s="114"/>
      <c r="E16" s="335"/>
    </row>
    <row r="17" spans="1:9">
      <c r="C17" s="79" t="str">
        <f>IF($E$4="ENG","Wooden Door leafs: NIKA","Полотна збірні: НІКА")</f>
        <v>Полотна збірні: НІКА</v>
      </c>
      <c r="D17" s="114"/>
      <c r="E17" s="335"/>
    </row>
    <row r="18" spans="1:9">
      <c r="C18" s="79" t="str">
        <f>IF($E$4="ENG","Wooden Door leafs: LISA","Полотна збірні: ЛІСА")</f>
        <v>Полотна збірні: ЛІСА</v>
      </c>
      <c r="D18" s="114"/>
      <c r="E18" s="335"/>
    </row>
    <row r="19" spans="1:9">
      <c r="C19" s="79" t="str">
        <f>IF($E$4="ENG","Wooden Door leafs: LADA-CONCEPT","Полотна збірні: ЛАДА-КОНЦЕПТ")</f>
        <v>Полотна збірні: ЛАДА-КОНЦЕПТ</v>
      </c>
      <c r="D19" s="114"/>
      <c r="E19" s="81"/>
    </row>
    <row r="20" spans="1:9">
      <c r="A20" s="82"/>
      <c r="B20" s="82"/>
      <c r="C20" s="79" t="str">
        <f>IF($E$4="ENG","Wooden Door leafs: LADA-NOVA","Полотна збірні: ЛАДА-НОВА")</f>
        <v>Полотна збірні: ЛАДА-НОВА</v>
      </c>
      <c r="D20" s="114"/>
      <c r="E20" s="81"/>
    </row>
    <row r="21" spans="1:9">
      <c r="C21" s="79" t="str">
        <f>IF($E$4="ENG","Wooden Door leafs: MIRA","Полотна збірні: МІРА")</f>
        <v>Полотна збірні: МІРА</v>
      </c>
      <c r="D21" s="114"/>
      <c r="E21" s="335"/>
    </row>
    <row r="22" spans="1:9">
      <c r="B22" s="116"/>
      <c r="C22" s="79" t="str">
        <f>IF($E$4="ENG","Wooden Door leafs: LADA-LOFT","Полотна збірні: ЛАДА-ЛОФТ")</f>
        <v>Полотна збірні: ЛАДА-ЛОФТ</v>
      </c>
      <c r="D22" s="114"/>
      <c r="E22" s="81"/>
    </row>
    <row r="23" spans="1:9">
      <c r="C23" s="79" t="str">
        <f>IF($E$4="ENG","Door Wooden Door leafs: LINDA","Полотна збірні: ЛІНДА")</f>
        <v>Полотна збірні: ЛІНДА</v>
      </c>
      <c r="D23" s="114"/>
      <c r="E23" s="335"/>
    </row>
    <row r="24" spans="1:9">
      <c r="C24" s="79" t="str">
        <f>IF($E$4="ENG","Wooden Door leafs: TIANA","Полотна збірні: ТІАНА")</f>
        <v>Полотна збірні: ТІАНА</v>
      </c>
      <c r="D24" s="114"/>
      <c r="E24" s="335"/>
    </row>
    <row r="25" spans="1:9">
      <c r="C25" s="79" t="str">
        <f>IF($E$4="ENG","Wooden Door leafs: EVA","Полотна збірні: ЄВА")</f>
        <v>Полотна збірні: ЄВА</v>
      </c>
      <c r="D25" s="114"/>
      <c r="E25" s="335"/>
    </row>
    <row r="26" spans="1:9">
      <c r="C26" s="79" t="str">
        <f>IF($E$4="ENG","Wooden Door leafs: TREND","Полотна збірні: ТРЕНД")</f>
        <v>Полотна збірні: ТРЕНД</v>
      </c>
      <c r="D26" s="114"/>
      <c r="E26" s="81"/>
    </row>
    <row r="27" spans="1:9">
      <c r="C27" s="79" t="str">
        <f>IF($E$4="ENG","Wooden Door leafs: MODERN","Полотна збірні: МОДЕРН")</f>
        <v>Полотна збірні: МОДЕРН</v>
      </c>
      <c r="D27" s="114"/>
      <c r="E27" s="81"/>
      <c r="I27" s="83"/>
    </row>
    <row r="28" spans="1:9">
      <c r="C28" s="79" t="str">
        <f>IF($E$4="ENG","Wooden Door leafs: POLLO","Полотна збірні: ПОЛО")</f>
        <v>Полотна збірні: ПОЛО</v>
      </c>
      <c r="D28" s="114"/>
      <c r="E28" s="81"/>
    </row>
    <row r="29" spans="1:9">
      <c r="C29" s="79" t="str">
        <f>IF($E$4="ENG","Glass Door leafs: LINEYA","Полотна скляні: ЛІНЕЯ")</f>
        <v>Полотна скляні: ЛІНЕЯ</v>
      </c>
      <c r="D29" s="80"/>
      <c r="E29" s="81"/>
    </row>
    <row r="30" spans="1:9">
      <c r="C30" s="79" t="str">
        <f>IF($E$4="ENG","Glass Door leafs: LINE","Полотна скляні: ЛАЙН")</f>
        <v>Полотна скляні: ЛАЙН</v>
      </c>
      <c r="D30" s="114"/>
      <c r="E30" s="81"/>
    </row>
    <row r="31" spans="1:9">
      <c r="C31" s="79" t="str">
        <f>IF($E$4="ENG","Glass Door leafs: ELEGANT","Полотна скляні: ЕЛЕГАНТ")</f>
        <v>Полотна скляні: ЕЛЕГАНТ</v>
      </c>
      <c r="D31" s="114"/>
      <c r="E31" s="81"/>
    </row>
    <row r="32" spans="1:9">
      <c r="C32" s="79" t="str">
        <f>IF($E$4="ENG","Glass Door leafs: GLASSFORD","Полотна скляні: ГЛАСФОРД")</f>
        <v>Полотна скляні: ГЛАСФОРД</v>
      </c>
      <c r="D32" s="80"/>
      <c r="E32" s="81"/>
      <c r="G32" s="212"/>
    </row>
    <row r="33" spans="2:7">
      <c r="C33" s="79" t="str">
        <f>IF($E$4="ENG","Side Panel LADA","Полотна: ДОБОР LADA")</f>
        <v>Полотна: ДОБОР LADA</v>
      </c>
      <c r="D33" s="80"/>
      <c r="E33" s="335"/>
    </row>
    <row r="34" spans="2:7">
      <c r="C34" s="79" t="str">
        <f>IF($E$4="ENG","Side Panels","Полотна: ДОБОРИ")</f>
        <v>Полотна: ДОБОРИ</v>
      </c>
      <c r="D34" s="80"/>
      <c r="E34" s="81"/>
    </row>
    <row r="36" spans="2:7" ht="12.75">
      <c r="B36" s="75" t="str">
        <f>IF($E$4="ENG","DOOR SLIDING SYSTEMS","РОЗСУВНІ СИСТЕМИ")</f>
        <v>РОЗСУВНІ СИСТЕМИ</v>
      </c>
      <c r="G36" s="212"/>
    </row>
    <row r="37" spans="2:7">
      <c r="C37" s="76" t="str">
        <f>IF($E$4="ENG","Sliding System Verto-SLIDE","Розсувна система Verto-SLIDE")</f>
        <v>Розсувна система Verto-SLIDE</v>
      </c>
      <c r="D37" s="115"/>
      <c r="E37" s="78"/>
    </row>
    <row r="39" spans="2:7" ht="12.75">
      <c r="B39" s="75" t="str">
        <f>IF($E$4="ENG","DOOR FRAMES, TRANSOMS AND PLINTHS","ДВЕРНІ КОРОБКИ, ФРАМУГИ ТА ПЛІНТУСИ")</f>
        <v>ДВЕРНІ КОРОБКИ, ФРАМУГИ ТА ПЛІНТУСИ</v>
      </c>
    </row>
    <row r="40" spans="2:7">
      <c r="C40" s="91" t="str">
        <f>IF($E$4="ENG","Door Frame: STANDART","Дверна коробка STANDARD")</f>
        <v>Дверна коробка STANDARD</v>
      </c>
      <c r="D40" s="115"/>
      <c r="E40" s="78"/>
    </row>
    <row r="41" spans="2:7">
      <c r="C41" s="79" t="str">
        <f>IF($E$4="ENG","Door Frame: Verto-FIT","Дверна коробка Verto-FIT")</f>
        <v>Дверна коробка Verto-FIT</v>
      </c>
      <c r="D41" s="115"/>
      <c r="E41" s="81"/>
    </row>
    <row r="42" spans="2:7">
      <c r="C42" s="79" t="str">
        <f>IF($E$4="ENG","Door Frame: Verto-FIT Plus","Дверна коробка Verto-FIT Plus")</f>
        <v>Дверна коробка Verto-FIT Plus</v>
      </c>
      <c r="D42" s="115"/>
      <c r="E42" s="81"/>
    </row>
    <row r="43" spans="2:7">
      <c r="C43" s="79" t="str">
        <f>IF($E$4="ENG","Door Frame: Verto-FIT Comfort","Дверна коробка Verto-FIT Comfort")</f>
        <v>Дверна коробка Verto-FIT Comfort</v>
      </c>
      <c r="D43" s="115"/>
      <c r="E43" s="81"/>
      <c r="G43" s="212"/>
    </row>
    <row r="44" spans="2:7">
      <c r="C44" s="79" t="str">
        <f>IF($E$4="ENG","Plinths","Плінтуси")</f>
        <v>Плінтуси</v>
      </c>
      <c r="D44" s="115"/>
      <c r="E44" s="81"/>
    </row>
    <row r="45" spans="2:7">
      <c r="C45" s="79" t="str">
        <f>IF($E$4="ENG","Transoms","Фрамуги")</f>
        <v>Фрамуги</v>
      </c>
      <c r="D45" s="115"/>
      <c r="E45" s="81"/>
    </row>
    <row r="47" spans="2:7" ht="12.75">
      <c r="B47" s="75" t="str">
        <f>IF($E$4="ENG","OTHER DOOR ACCESSORIES","ІНШІ АКСЕСУАРИ")</f>
        <v>ІНШІ АКСЕСУАРИ</v>
      </c>
    </row>
    <row r="48" spans="2:7" ht="12.75">
      <c r="B48" s="75"/>
      <c r="C48" s="190" t="str">
        <f>IF($E$4="ENG","Door handles","Дверні Ручки")</f>
        <v>Дверні Ручки</v>
      </c>
      <c r="D48" s="77"/>
      <c r="E48" s="78"/>
    </row>
    <row r="49" spans="2:5">
      <c r="B49" s="116"/>
      <c r="C49" s="91" t="str">
        <f>IF($E$4="ENG","Other door accessories","Інші Аксесуари")</f>
        <v>Інші Аксесуари</v>
      </c>
      <c r="D49" s="77"/>
      <c r="E49" s="78"/>
    </row>
    <row r="50" spans="2:5">
      <c r="C50" s="84"/>
    </row>
    <row r="51" spans="2:5">
      <c r="C51" s="84"/>
    </row>
  </sheetData>
  <sheetProtection algorithmName="SHA-512" hashValue="WSnEP1/Qfmc62JRySg8kDpPSLUaDqxzVDHD8ZMtuAcY0Bb87oCalyGutH3aadn6sV8f0xmIqyhbeshXP3lodRw==" saltValue="qoINtu+p0C5AsNt6wO03pQ==" spinCount="100000" sheet="1" objects="1" scenarios="1"/>
  <mergeCells count="1">
    <mergeCell ref="B2:C2"/>
  </mergeCells>
  <phoneticPr fontId="5" type="noConversion"/>
  <dataValidations count="1">
    <dataValidation type="list" allowBlank="1" showInputMessage="1" showErrorMessage="1" sqref="E4">
      <formula1>$I$2:$I$3</formula1>
    </dataValidation>
  </dataValidations>
  <hyperlinks>
    <hyperlink ref="C8" location="Door_Standard" display="Полотна гладкие: СТАНДАРТ"/>
    <hyperlink ref="C9" location="Door_Kupava" display="Полотна гладкие: КУПАВА"/>
    <hyperlink ref="C10" location="Door_Geometry" display="Полотна гладкие: ГЕОМЕТРИЯ"/>
    <hyperlink ref="C11" location="Door_Idea" display="Полотна гладкие: ИДЕЯ"/>
    <hyperlink ref="C13" location="Door_LadaA" display="Door_LadaA"/>
    <hyperlink ref="C19" location="Door_LadaK" display="Полотна сборные: ЛАДА-КОНЦЕПТ"/>
    <hyperlink ref="C29" location="Door_Lineya" display="Полотна стеклянные: ЛИНЕЯ"/>
    <hyperlink ref="C30" location="Door_Line" display="Полотна стеклянные: ЛАЙН"/>
    <hyperlink ref="C31" location="Door_Elegant" display="Полотна стеклянные: ЭЛЕГАНТ"/>
    <hyperlink ref="C32" location="Door_Glasford" display="Полотна стеклянные: ГЛАСФОРД"/>
    <hyperlink ref="C40" location="Frame_Stand" display="Дверная коробка STANDART"/>
    <hyperlink ref="C41" location="Frame_VFit" display="Дверная коробка Verto-FIT"/>
    <hyperlink ref="C45" location="Framugi" display="Фрамуги"/>
    <hyperlink ref="C49" location="Furniture" display="Фурнитура"/>
    <hyperlink ref="C33" location="Door_Dobor_Lada" display="Door_Dobor_Lada"/>
    <hyperlink ref="C37" location="Verto_Slide" display="Раздвижная система Verto-SLIDE"/>
    <hyperlink ref="C48" location="DoorHandles" display="Дверные Ручки и Комплектующие"/>
    <hyperlink ref="C42" location="Frame_VFitPlus" display="Frame_VFitPlus"/>
    <hyperlink ref="C43" location="Frame_VFitComfort" display="Frame_VFitComfort"/>
    <hyperlink ref="C20" location="Door_LadaN" display="Полотна сборные: ЛАДА-НОВА"/>
    <hyperlink ref="C22" location="Door_LadaL" display="Door_LadaL"/>
    <hyperlink ref="C26" location="Door_Trend" display="Door_Trend"/>
    <hyperlink ref="C27" location="Door_Modern" display="Door_Modern"/>
    <hyperlink ref="C44" location="Plinths" display="Plinths"/>
    <hyperlink ref="C14:C16" location="Door_Lada" display="Полотна сборные: ЛАДА"/>
    <hyperlink ref="C17" location="Door_Nika" display="Door_Nika"/>
    <hyperlink ref="C18" location="Door_Lisa" display="Door_Lisa"/>
    <hyperlink ref="C21" location="Door_Mira" display="Door_Mira"/>
    <hyperlink ref="C28" location="Door_Pollo" display="Door_Pollo"/>
    <hyperlink ref="C23" location="Door_Linda" display="Door_Linda"/>
    <hyperlink ref="C24" location="Door_Tiana" display="Door_Tiana"/>
    <hyperlink ref="C25" location="Door_Eva" display="Door_Eva"/>
    <hyperlink ref="C14" location="Door_LadaB" display="Door_LadaB"/>
    <hyperlink ref="C15" location="Door_LadaC" display="Door_LadaC"/>
    <hyperlink ref="C16" location="Door_LadaD" display="Door_LadaD"/>
    <hyperlink ref="C34" location="Door_Dobor" display="Полотна: ДОБОРЫ"/>
    <hyperlink ref="C12" location="Door_IdeaLoft" display="Door_IdeaLoft"/>
  </hyperlinks>
  <pageMargins left="0.37" right="0.41" top="0.49" bottom="0.49" header="0.5" footer="0.5"/>
  <pageSetup paperSize="9" scale="12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13"/>
  </sheetPr>
  <dimension ref="A1:BF2538"/>
  <sheetViews>
    <sheetView showGridLines="0" zoomScale="55" zoomScaleNormal="55" workbookViewId="0">
      <selection activeCell="U21" sqref="U21"/>
    </sheetView>
  </sheetViews>
  <sheetFormatPr defaultRowHeight="12.75"/>
  <cols>
    <col min="1" max="1" width="1" style="1" customWidth="1"/>
    <col min="2" max="2" width="23.42578125" style="1" customWidth="1"/>
    <col min="3" max="3" width="11.7109375" style="1" customWidth="1"/>
    <col min="4" max="4" width="6.7109375" style="1" hidden="1" customWidth="1"/>
    <col min="5" max="5" width="15.7109375" style="1" customWidth="1"/>
    <col min="6" max="6" width="6.7109375" style="1" hidden="1" customWidth="1"/>
    <col min="7" max="7" width="15.7109375" style="1" customWidth="1"/>
    <col min="8" max="8" width="6.7109375" style="1" hidden="1" customWidth="1"/>
    <col min="9" max="9" width="15.7109375" style="1" customWidth="1"/>
    <col min="10" max="10" width="6.7109375" style="1" hidden="1" customWidth="1"/>
    <col min="11" max="11" width="15.7109375" style="1" customWidth="1"/>
    <col min="12" max="12" width="6.7109375" style="1" hidden="1" customWidth="1"/>
    <col min="13" max="13" width="15.7109375" style="1" customWidth="1"/>
    <col min="14" max="14" width="6.7109375" style="1" hidden="1" customWidth="1"/>
    <col min="15" max="15" width="15.7109375" style="1" customWidth="1"/>
    <col min="16" max="16" width="6.7109375" style="1" hidden="1" customWidth="1"/>
    <col min="17" max="17" width="15.7109375" style="1" customWidth="1"/>
    <col min="18" max="18" width="6.7109375" style="1" hidden="1" customWidth="1"/>
    <col min="19" max="19" width="15.7109375" style="1" customWidth="1"/>
    <col min="20" max="20" width="6.7109375" style="1" hidden="1" customWidth="1"/>
    <col min="21" max="21" width="15.7109375" style="1" customWidth="1"/>
    <col min="22" max="22" width="6.7109375" style="1" hidden="1" customWidth="1"/>
    <col min="23" max="23" width="15.7109375" style="1" customWidth="1"/>
    <col min="24" max="28" width="10.7109375" style="1" hidden="1" customWidth="1"/>
    <col min="29" max="39" width="9.140625" style="1" hidden="1" customWidth="1"/>
    <col min="40" max="40" width="9.28515625" style="30" hidden="1" customWidth="1"/>
    <col min="41" max="46" width="9.140625" style="30" hidden="1" customWidth="1"/>
    <col min="47" max="49" width="9.140625" style="1" hidden="1" customWidth="1"/>
    <col min="50" max="73" width="9.140625" style="1" customWidth="1"/>
    <col min="74" max="16384" width="9.140625" style="1"/>
  </cols>
  <sheetData>
    <row r="1" spans="1:46" ht="12.75" customHeight="1">
      <c r="B1" s="117" t="str">
        <f>TITLE!B2</f>
        <v>ВЕРСІЯ: 53.00.22</v>
      </c>
      <c r="C1" s="26" t="str">
        <f>TITLE!E4</f>
        <v>UA</v>
      </c>
      <c r="E1" s="451" t="str">
        <f>IF($C$1="ENG","51400, Pavlograd town, 9 Teroshkina Str, tel. (0563) 20 93 80","51400, м. Павлоград, вул. Терьошкіна, 9, тел. (0563) 20 93 80")</f>
        <v>51400, м. Павлоград, вул. Терьошкіна, 9, тел. (0563) 20 93 80</v>
      </c>
      <c r="F1" s="451"/>
      <c r="G1" s="451"/>
      <c r="H1" s="451"/>
      <c r="I1" s="451"/>
      <c r="J1" s="451"/>
      <c r="K1" s="451"/>
      <c r="N1" s="94"/>
      <c r="O1" s="94"/>
      <c r="R1" s="94"/>
      <c r="S1" s="94"/>
      <c r="V1" s="92"/>
      <c r="W1" s="93"/>
      <c r="AC1" s="298"/>
    </row>
    <row r="2" spans="1:46">
      <c r="E2" s="452" t="str">
        <f>IF($C$1="ENG","e-mail: info@verto-doors.com, web-site: www.verto-doors.com","e-mail: info@verto-doors.com, web-site: www.verto-doors.com")</f>
        <v>e-mail: info@verto-doors.com, web-site: www.verto-doors.com</v>
      </c>
      <c r="F2" s="452"/>
      <c r="G2" s="452"/>
      <c r="H2" s="452"/>
      <c r="I2" s="452"/>
      <c r="J2" s="452"/>
      <c r="K2" s="452"/>
      <c r="U2" s="215" t="str">
        <f>IF($C$1="ENG","discount","знижка")</f>
        <v>знижка</v>
      </c>
      <c r="W2" s="73"/>
      <c r="AC2" s="299">
        <v>0.2</v>
      </c>
    </row>
    <row r="3" spans="1:46" ht="5.0999999999999996" customHeight="1">
      <c r="E3" s="8"/>
      <c r="H3" s="2"/>
      <c r="J3" s="3"/>
      <c r="K3" s="4"/>
      <c r="V3" s="92"/>
      <c r="AC3" s="300">
        <v>0</v>
      </c>
    </row>
    <row r="4" spans="1:46" ht="12.75" customHeight="1">
      <c r="E4" s="453" t="str">
        <f>IF($C$1="ENG","RETAIL PRICES FOR VERTO PRODUCTS","РОЗДРІБНІ ЦІНИ НА ПРОДУКЦІЮ ТМ VERTO")</f>
        <v>РОЗДРІБНІ ЦІНИ НА ПРОДУКЦІЮ ТМ VERTO</v>
      </c>
      <c r="F4" s="453"/>
      <c r="G4" s="453"/>
      <c r="H4" s="453"/>
      <c r="I4" s="453"/>
      <c r="U4" s="215" t="str">
        <f>IF($C$1="ENG","exchange rate (for 1 UAH)","курс валют (за 1 грн.)")</f>
        <v>курс валют (за 1 грн.)</v>
      </c>
      <c r="W4" s="216">
        <v>1</v>
      </c>
      <c r="AC4" s="298"/>
    </row>
    <row r="5" spans="1:46">
      <c r="C5" s="5"/>
      <c r="D5" s="5"/>
      <c r="E5" s="214" t="str">
        <f>TITLE!D2</f>
        <v>діє з: 12 Серпня   2022</v>
      </c>
      <c r="F5" s="5"/>
      <c r="G5" s="5"/>
      <c r="U5" s="217" t="str">
        <f>IF($C$1="ENG","VAT","ПДВ")</f>
        <v>ПДВ</v>
      </c>
      <c r="V5" s="218"/>
      <c r="W5" s="219">
        <v>0.2</v>
      </c>
      <c r="AC5" s="298"/>
    </row>
    <row r="6" spans="1:46" ht="5.0999999999999996" customHeight="1">
      <c r="C6" s="5"/>
      <c r="D6" s="5"/>
      <c r="E6" s="5"/>
      <c r="F6" s="5"/>
      <c r="G6" s="5"/>
      <c r="AC6" s="298"/>
    </row>
    <row r="7" spans="1:46" ht="12.75" customHeight="1">
      <c r="B7" s="458" t="str">
        <f>IF($C$1="ENG","TO MAIN PAGE","НА ГОЛОВНУ")</f>
        <v>НА ГОЛОВНУ</v>
      </c>
      <c r="C7" s="459"/>
      <c r="D7" s="454" t="str">
        <f>IF($C$1="ENG","Price","Ціна")</f>
        <v>Ціна</v>
      </c>
      <c r="E7" s="455"/>
      <c r="F7" s="454" t="str">
        <f>IF($C$1="ENG","Price","Ціна")</f>
        <v>Ціна</v>
      </c>
      <c r="G7" s="455"/>
      <c r="H7" s="454" t="str">
        <f>IF($C$1="ENG","Price","Ціна")</f>
        <v>Ціна</v>
      </c>
      <c r="I7" s="455"/>
      <c r="J7" s="454" t="str">
        <f>IF($C$1="ENG","Price","Ціна")</f>
        <v>Ціна</v>
      </c>
      <c r="K7" s="455"/>
      <c r="L7" s="454" t="str">
        <f>IF($C$1="ENG","Price","Ціна")</f>
        <v>Ціна</v>
      </c>
      <c r="M7" s="455"/>
      <c r="N7" s="454" t="str">
        <f>IF($C$1="ENG","Price","Ціна")</f>
        <v>Ціна</v>
      </c>
      <c r="O7" s="455"/>
      <c r="P7" s="454" t="str">
        <f>IF($C$1="ENG","Price","Ціна")</f>
        <v>Ціна</v>
      </c>
      <c r="Q7" s="455"/>
      <c r="R7" s="454" t="str">
        <f>IF($C$1="ENG","Price","Ціна")</f>
        <v>Ціна</v>
      </c>
      <c r="S7" s="455"/>
      <c r="T7" s="454" t="str">
        <f>IF($C$1="ENG","Price","Ціна")</f>
        <v>Ціна</v>
      </c>
      <c r="U7" s="455"/>
      <c r="V7" s="454" t="str">
        <f>IF($C$1="ENG","Price","Ціна")</f>
        <v>Ціна</v>
      </c>
      <c r="W7" s="455"/>
      <c r="AC7" s="298" t="s">
        <v>58</v>
      </c>
      <c r="AD7" s="298" t="s">
        <v>59</v>
      </c>
      <c r="AE7" s="298" t="s">
        <v>60</v>
      </c>
      <c r="AF7" s="298" t="s">
        <v>61</v>
      </c>
      <c r="AG7" s="298" t="s">
        <v>62</v>
      </c>
      <c r="AH7" s="298" t="s">
        <v>63</v>
      </c>
      <c r="AI7" s="298" t="s">
        <v>64</v>
      </c>
      <c r="AJ7" s="298" t="s">
        <v>65</v>
      </c>
      <c r="AK7" s="298" t="s">
        <v>69</v>
      </c>
      <c r="AL7" s="298" t="s">
        <v>70</v>
      </c>
    </row>
    <row r="8" spans="1:46">
      <c r="B8" s="456" t="str">
        <f>IF($C$1="ENG","Products","Асортимент")</f>
        <v>Асортимент</v>
      </c>
      <c r="C8" s="457"/>
      <c r="D8" s="6" t="s">
        <v>66</v>
      </c>
      <c r="E8" s="7" t="str">
        <f>IF($C$1="ENG",IF($W$5=0.2,"with VAT","no VAT"),IF($W$5=0.2,"з ПДВ","без ПДВ"))</f>
        <v>з ПДВ</v>
      </c>
      <c r="F8" s="6" t="s">
        <v>66</v>
      </c>
      <c r="G8" s="7" t="str">
        <f>IF($C$1="ENG",IF($W$5=0.2,"with VAT","no VAT"),IF($W$5=0.2,"з ПДВ","без ПДВ"))</f>
        <v>з ПДВ</v>
      </c>
      <c r="H8" s="6" t="s">
        <v>66</v>
      </c>
      <c r="I8" s="7" t="str">
        <f>IF($C$1="ENG",IF($W$5=0.2,"with VAT","no VAT"),IF($W$5=0.2,"з ПДВ","без ПДВ"))</f>
        <v>з ПДВ</v>
      </c>
      <c r="J8" s="6" t="s">
        <v>66</v>
      </c>
      <c r="K8" s="7" t="str">
        <f>IF($C$1="ENG",IF($W$5=0.2,"with VAT","no VAT"),IF($W$5=0.2,"з ПДВ","без ПДВ"))</f>
        <v>з ПДВ</v>
      </c>
      <c r="L8" s="6" t="s">
        <v>66</v>
      </c>
      <c r="M8" s="7" t="str">
        <f>IF($C$1="ENG",IF($W$5=0.2,"with VAT","no VAT"),IF($W$5=0.2,"з ПДВ","без ПДВ"))</f>
        <v>з ПДВ</v>
      </c>
      <c r="N8" s="6" t="s">
        <v>66</v>
      </c>
      <c r="O8" s="7" t="str">
        <f>IF($C$1="ENG",IF($W$5=0.2,"with VAT","no VAT"),IF($W$5=0.2,"з ПДВ","без ПДВ"))</f>
        <v>з ПДВ</v>
      </c>
      <c r="P8" s="6" t="s">
        <v>66</v>
      </c>
      <c r="Q8" s="7" t="str">
        <f>IF($C$1="ENG",IF($W$5=0.2,"with VAT","no VAT"),IF($W$5=0.2,"з ПДВ","без ПДВ"))</f>
        <v>з ПДВ</v>
      </c>
      <c r="R8" s="6" t="s">
        <v>66</v>
      </c>
      <c r="S8" s="7" t="str">
        <f>IF($C$1="ENG",IF($W$5=0.2,"with VAT","no VAT"),IF($W$5=0.2,"з ПДВ","без ПДВ"))</f>
        <v>з ПДВ</v>
      </c>
      <c r="T8" s="6" t="s">
        <v>66</v>
      </c>
      <c r="U8" s="7" t="str">
        <f>IF($C$1="ENG",IF($W$5=0.2,"with VAT","no VAT"),IF($W$5=0.2,"з ПДВ","без ПДВ"))</f>
        <v>з ПДВ</v>
      </c>
      <c r="V8" s="6" t="s">
        <v>66</v>
      </c>
      <c r="W8" s="7" t="str">
        <f>IF($C$1="ENG",IF($W$5=0.2,"with VAT","no VAT"),IF($W$5=0.2,"з ПДВ","без ПДВ"))</f>
        <v>з ПДВ</v>
      </c>
      <c r="AC8" s="298"/>
      <c r="AD8" s="298"/>
      <c r="AE8" s="298"/>
      <c r="AF8" s="298"/>
      <c r="AG8" s="298"/>
      <c r="AH8" s="298"/>
      <c r="AI8" s="298"/>
      <c r="AJ8" s="298"/>
      <c r="AK8" s="298"/>
      <c r="AL8" s="298"/>
    </row>
    <row r="10" spans="1:46" s="8" customFormat="1">
      <c r="B10" s="421" t="str">
        <f>TITLE!$C$8</f>
        <v>Полотна каркасно-щитові: СТАНДАРТ</v>
      </c>
      <c r="C10" s="421"/>
      <c r="D10" s="422"/>
      <c r="E10" s="422"/>
      <c r="F10" s="122"/>
      <c r="G10" s="122"/>
      <c r="H10" s="122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AN10" s="291"/>
      <c r="AO10" s="291"/>
      <c r="AP10" s="291"/>
      <c r="AQ10" s="291"/>
      <c r="AR10" s="291"/>
      <c r="AS10" s="291"/>
      <c r="AT10" s="291"/>
    </row>
    <row r="11" spans="1:46" s="8" customFormat="1" ht="5.0999999999999996" customHeight="1">
      <c r="B11" s="121"/>
      <c r="C11" s="121"/>
      <c r="D11" s="10"/>
      <c r="E11" s="10"/>
      <c r="F11" s="10"/>
      <c r="G11" s="10"/>
      <c r="H11" s="10"/>
      <c r="AN11" s="291"/>
      <c r="AO11" s="291"/>
      <c r="AP11" s="291"/>
      <c r="AQ11" s="291"/>
      <c r="AR11" s="291"/>
      <c r="AS11" s="291"/>
      <c r="AT11" s="291"/>
    </row>
    <row r="12" spans="1:46" s="8" customFormat="1" ht="14.25" customHeight="1">
      <c r="B12" s="448" t="str">
        <f>IF($C$1="ENG","model","модель")</f>
        <v>модель</v>
      </c>
      <c r="C12" s="126" t="str">
        <f>IF($C$1="ENG","cover:","покриття:")</f>
        <v>покриття:</v>
      </c>
      <c r="D12" s="430" t="str">
        <f>IF($C$1="ENG","SIMPL / V-CELL","SIMPL / V-CELL")</f>
        <v>SIMPL / V-CELL</v>
      </c>
      <c r="E12" s="432"/>
      <c r="F12" s="430" t="str">
        <f>IF($C$1="ENG","UNI-MAT","UNI-MAT")</f>
        <v>UNI-MAT</v>
      </c>
      <c r="G12" s="432"/>
      <c r="H12" s="46"/>
      <c r="I12" s="46"/>
      <c r="J12" s="46"/>
      <c r="K12" s="46"/>
      <c r="AN12" s="291"/>
      <c r="AO12" s="291"/>
      <c r="AP12" s="291"/>
      <c r="AQ12" s="291"/>
      <c r="AR12" s="291"/>
      <c r="AS12" s="291"/>
      <c r="AT12" s="291"/>
    </row>
    <row r="13" spans="1:46" ht="12.75" customHeight="1">
      <c r="A13" s="8"/>
      <c r="B13" s="449"/>
      <c r="C13" s="127" t="str">
        <f>IF($C$1="ENG","filling:","заповнення:")</f>
        <v>заповнення:</v>
      </c>
      <c r="D13" s="441" t="str">
        <f>IF($C$1="ENG","honeycomb core ","сотове заповнення")</f>
        <v>сотове заповнення</v>
      </c>
      <c r="E13" s="442"/>
      <c r="F13" s="441" t="str">
        <f>IF($C$1="ENG","honeycomb core ","сотове заповнення")</f>
        <v>сотове заповнення</v>
      </c>
      <c r="G13" s="442"/>
      <c r="H13" s="47"/>
      <c r="I13" s="47"/>
      <c r="J13" s="47"/>
      <c r="K13" s="135"/>
      <c r="L13" s="11"/>
      <c r="M13" s="11"/>
      <c r="P13" s="11"/>
      <c r="Q13" s="11"/>
    </row>
    <row r="14" spans="1:46" ht="12.75" customHeight="1">
      <c r="A14" s="8"/>
      <c r="B14" s="450"/>
      <c r="C14" s="128" t="str">
        <f>IF($C$1="ENG","glazing:","скління:")</f>
        <v>скління:</v>
      </c>
      <c r="D14" s="424" t="str">
        <f>IF($C$1="ENG","Krizet","Кризет")</f>
        <v>Кризет</v>
      </c>
      <c r="E14" s="434"/>
      <c r="F14" s="424" t="str">
        <f>IF($C$1="ENG","Krizet","Кризет")</f>
        <v>Кризет</v>
      </c>
      <c r="G14" s="434"/>
      <c r="H14" s="47"/>
      <c r="I14" s="47"/>
      <c r="J14" s="47"/>
      <c r="K14" s="492"/>
      <c r="L14" s="493"/>
      <c r="M14" s="493"/>
      <c r="N14" s="492"/>
      <c r="O14" s="493"/>
      <c r="P14" s="493"/>
      <c r="Q14" s="492"/>
      <c r="AC14" s="349" t="str">
        <f>D12</f>
        <v>SIMPL / V-CELL</v>
      </c>
      <c r="AD14" s="349" t="str">
        <f>F12</f>
        <v>UNI-MAT</v>
      </c>
    </row>
    <row r="15" spans="1:46" ht="35.1" customHeight="1">
      <c r="A15" s="8"/>
      <c r="B15" s="13" t="s">
        <v>0</v>
      </c>
      <c r="C15" s="14"/>
      <c r="D15" s="105">
        <f>IF(AC15="","",(1-$W$2)*(AC15/1.2))</f>
        <v>4425</v>
      </c>
      <c r="E15" s="67">
        <f t="shared" ref="E15:E20" si="0">IF($W$5=0.2,D15*1.2,D15)/$W$4</f>
        <v>5310</v>
      </c>
      <c r="F15" s="105">
        <f t="shared" ref="F15:F20" si="1">IF(AD15="","",(1-$W$2)*(AD15/1.2))</f>
        <v>5050</v>
      </c>
      <c r="G15" s="67">
        <f t="shared" ref="G15:G20" si="2">IF($W$5=0.2,F15*1.2,F15)/$W$4</f>
        <v>6060</v>
      </c>
      <c r="H15" s="28"/>
      <c r="I15" s="62"/>
      <c r="J15" s="28"/>
      <c r="K15" s="62"/>
      <c r="L15" s="11"/>
      <c r="M15" s="86"/>
      <c r="O15" s="20"/>
      <c r="P15" s="11"/>
      <c r="Q15" s="86"/>
      <c r="S15" s="20"/>
      <c r="U15" s="20"/>
      <c r="W15" s="20"/>
      <c r="AC15" s="346">
        <v>5310</v>
      </c>
      <c r="AD15" s="346">
        <v>6060</v>
      </c>
      <c r="AE15" s="301"/>
      <c r="AF15" s="301"/>
      <c r="AG15" s="494">
        <f>AE15/AC15-1</f>
        <v>-1</v>
      </c>
      <c r="AH15" s="494">
        <f>AF15/AD15-1</f>
        <v>-1</v>
      </c>
      <c r="AI15" s="301"/>
      <c r="AJ15" s="301"/>
      <c r="AK15" s="301"/>
      <c r="AL15" s="301"/>
    </row>
    <row r="16" spans="1:46" ht="35.1" customHeight="1">
      <c r="A16" s="8"/>
      <c r="B16" s="16" t="s">
        <v>2</v>
      </c>
      <c r="C16" s="17"/>
      <c r="D16" s="106">
        <f t="shared" ref="D16:D20" si="3">IF(AC16="","",(1-$W$2)*(AC16/1.2))</f>
        <v>4683.3333333333339</v>
      </c>
      <c r="E16" s="69">
        <f t="shared" si="0"/>
        <v>5620.0000000000009</v>
      </c>
      <c r="F16" s="106">
        <f t="shared" si="1"/>
        <v>5366.666666666667</v>
      </c>
      <c r="G16" s="69">
        <f t="shared" si="2"/>
        <v>6440</v>
      </c>
      <c r="H16" s="28"/>
      <c r="I16" s="62"/>
      <c r="J16" s="28"/>
      <c r="K16" s="62"/>
      <c r="L16" s="19"/>
      <c r="M16" s="86"/>
      <c r="O16" s="20"/>
      <c r="P16" s="19"/>
      <c r="Q16" s="86"/>
      <c r="S16" s="20"/>
      <c r="U16" s="20"/>
      <c r="W16" s="20"/>
      <c r="AC16" s="346">
        <v>5620</v>
      </c>
      <c r="AD16" s="346">
        <v>6440</v>
      </c>
      <c r="AE16" s="301"/>
      <c r="AF16" s="301"/>
      <c r="AG16" s="494">
        <f t="shared" ref="AG16:AH20" si="4">AE16/AC16-1</f>
        <v>-1</v>
      </c>
      <c r="AH16" s="494">
        <f t="shared" si="4"/>
        <v>-1</v>
      </c>
      <c r="AI16" s="301"/>
      <c r="AJ16" s="301"/>
      <c r="AK16" s="301"/>
      <c r="AL16" s="301"/>
    </row>
    <row r="17" spans="1:38" ht="35.1" customHeight="1">
      <c r="A17" s="8"/>
      <c r="B17" s="16" t="s">
        <v>1</v>
      </c>
      <c r="C17" s="17"/>
      <c r="D17" s="106">
        <f t="shared" si="3"/>
        <v>4425</v>
      </c>
      <c r="E17" s="69">
        <f t="shared" si="0"/>
        <v>5310</v>
      </c>
      <c r="F17" s="106">
        <f t="shared" si="1"/>
        <v>5050</v>
      </c>
      <c r="G17" s="69">
        <f t="shared" si="2"/>
        <v>6060</v>
      </c>
      <c r="H17" s="28"/>
      <c r="I17" s="62"/>
      <c r="J17" s="28"/>
      <c r="K17" s="62"/>
      <c r="L17" s="11"/>
      <c r="M17" s="86"/>
      <c r="N17" s="21"/>
      <c r="O17" s="20"/>
      <c r="P17" s="11"/>
      <c r="Q17" s="86"/>
      <c r="R17" s="21"/>
      <c r="S17" s="20"/>
      <c r="U17" s="20"/>
      <c r="W17" s="20"/>
      <c r="AC17" s="346">
        <v>5310</v>
      </c>
      <c r="AD17" s="346">
        <v>6060</v>
      </c>
      <c r="AE17" s="301"/>
      <c r="AF17" s="301"/>
      <c r="AG17" s="494">
        <f t="shared" si="4"/>
        <v>-1</v>
      </c>
      <c r="AH17" s="494">
        <f t="shared" si="4"/>
        <v>-1</v>
      </c>
      <c r="AI17" s="301"/>
      <c r="AJ17" s="301"/>
      <c r="AK17" s="301"/>
      <c r="AL17" s="301"/>
    </row>
    <row r="18" spans="1:38" ht="35.1" customHeight="1">
      <c r="A18" s="8"/>
      <c r="B18" s="16" t="s">
        <v>3</v>
      </c>
      <c r="C18" s="17"/>
      <c r="D18" s="106">
        <f t="shared" si="3"/>
        <v>4683.3333333333339</v>
      </c>
      <c r="E18" s="69">
        <f t="shared" si="0"/>
        <v>5620.0000000000009</v>
      </c>
      <c r="F18" s="106">
        <f t="shared" si="1"/>
        <v>5366.666666666667</v>
      </c>
      <c r="G18" s="69">
        <f t="shared" si="2"/>
        <v>6440</v>
      </c>
      <c r="H18" s="28"/>
      <c r="I18" s="62"/>
      <c r="J18" s="28"/>
      <c r="K18" s="62"/>
      <c r="L18" s="19"/>
      <c r="M18" s="86"/>
      <c r="N18" s="21"/>
      <c r="O18" s="20"/>
      <c r="P18" s="19"/>
      <c r="Q18" s="86"/>
      <c r="R18" s="21"/>
      <c r="S18" s="20"/>
      <c r="U18" s="20"/>
      <c r="W18" s="20"/>
      <c r="AC18" s="346">
        <v>5620</v>
      </c>
      <c r="AD18" s="346">
        <v>6440</v>
      </c>
      <c r="AE18" s="301"/>
      <c r="AF18" s="301"/>
      <c r="AG18" s="494">
        <f t="shared" si="4"/>
        <v>-1</v>
      </c>
      <c r="AH18" s="494">
        <f t="shared" si="4"/>
        <v>-1</v>
      </c>
      <c r="AI18" s="301"/>
      <c r="AJ18" s="301"/>
      <c r="AK18" s="301"/>
      <c r="AL18" s="301"/>
    </row>
    <row r="19" spans="1:38" ht="35.1" customHeight="1">
      <c r="A19" s="8"/>
      <c r="B19" s="16" t="s">
        <v>17</v>
      </c>
      <c r="C19" s="17"/>
      <c r="D19" s="106">
        <f t="shared" si="3"/>
        <v>4158.3333333333339</v>
      </c>
      <c r="E19" s="69">
        <f t="shared" si="0"/>
        <v>4990.0000000000009</v>
      </c>
      <c r="F19" s="106">
        <f t="shared" si="1"/>
        <v>4766.666666666667</v>
      </c>
      <c r="G19" s="69">
        <f t="shared" si="2"/>
        <v>5720</v>
      </c>
      <c r="H19" s="28"/>
      <c r="I19" s="62"/>
      <c r="J19" s="28"/>
      <c r="K19" s="62"/>
      <c r="L19" s="11"/>
      <c r="M19" s="86"/>
      <c r="N19" s="21"/>
      <c r="O19" s="20"/>
      <c r="P19" s="11"/>
      <c r="Q19" s="86"/>
      <c r="R19" s="21"/>
      <c r="S19" s="20"/>
      <c r="U19" s="20"/>
      <c r="W19" s="20"/>
      <c r="AC19" s="346">
        <v>4990</v>
      </c>
      <c r="AD19" s="346">
        <v>5720</v>
      </c>
      <c r="AE19" s="301"/>
      <c r="AF19" s="301"/>
      <c r="AG19" s="494">
        <f t="shared" si="4"/>
        <v>-1</v>
      </c>
      <c r="AH19" s="494">
        <f t="shared" si="4"/>
        <v>-1</v>
      </c>
      <c r="AI19" s="301"/>
      <c r="AJ19" s="301"/>
      <c r="AK19" s="301"/>
      <c r="AL19" s="301"/>
    </row>
    <row r="20" spans="1:38" ht="35.1" customHeight="1">
      <c r="A20" s="8"/>
      <c r="B20" s="23" t="s">
        <v>18</v>
      </c>
      <c r="C20" s="24"/>
      <c r="D20" s="107">
        <f t="shared" si="3"/>
        <v>4158.3333333333339</v>
      </c>
      <c r="E20" s="72">
        <f t="shared" si="0"/>
        <v>4990.0000000000009</v>
      </c>
      <c r="F20" s="107">
        <f t="shared" si="1"/>
        <v>4766.666666666667</v>
      </c>
      <c r="G20" s="72">
        <f t="shared" si="2"/>
        <v>5720</v>
      </c>
      <c r="H20" s="28"/>
      <c r="I20" s="62"/>
      <c r="J20" s="28"/>
      <c r="K20" s="62"/>
      <c r="L20" s="19"/>
      <c r="M20" s="86"/>
      <c r="N20" s="21"/>
      <c r="O20" s="20"/>
      <c r="P20" s="19"/>
      <c r="Q20" s="86"/>
      <c r="R20" s="21"/>
      <c r="S20" s="20"/>
      <c r="U20" s="20"/>
      <c r="W20" s="20"/>
      <c r="AC20" s="346">
        <v>4990</v>
      </c>
      <c r="AD20" s="346">
        <v>5720</v>
      </c>
      <c r="AE20" s="301"/>
      <c r="AF20" s="301"/>
      <c r="AG20" s="494">
        <f t="shared" si="4"/>
        <v>-1</v>
      </c>
      <c r="AH20" s="494">
        <f t="shared" si="4"/>
        <v>-1</v>
      </c>
      <c r="AI20" s="301"/>
      <c r="AJ20" s="301"/>
      <c r="AK20" s="301"/>
      <c r="AL20" s="301"/>
    </row>
    <row r="21" spans="1:38">
      <c r="C21" s="26"/>
      <c r="D21" s="26"/>
      <c r="E21" s="26"/>
      <c r="F21" s="339"/>
      <c r="G21" s="339"/>
      <c r="H21" s="10"/>
      <c r="I21" s="48"/>
      <c r="J21" s="48"/>
      <c r="K21" s="48"/>
    </row>
    <row r="22" spans="1:38">
      <c r="B22" s="220" t="str">
        <f>IF($C$1="ENG","For additonal charge:","Послуги за додаткову плату:")</f>
        <v>Послуги за додаткову плату:</v>
      </c>
      <c r="C22" s="221"/>
      <c r="D22" s="221"/>
      <c r="E22" s="222"/>
      <c r="F22" s="26"/>
      <c r="G22" s="26"/>
      <c r="H22" s="10"/>
      <c r="I22" s="48"/>
      <c r="J22" s="48"/>
      <c r="K22" s="48"/>
    </row>
    <row r="23" spans="1:38" ht="5.0999999999999996" customHeight="1">
      <c r="B23" s="27"/>
      <c r="C23" s="26"/>
      <c r="D23" s="39"/>
      <c r="E23" s="26"/>
      <c r="F23" s="26"/>
      <c r="G23" s="26"/>
      <c r="H23" s="10"/>
      <c r="I23" s="8"/>
    </row>
    <row r="24" spans="1:38">
      <c r="B24" s="446" t="str">
        <f>IF($C$1="ENG","Ventilation sleeves (1 row)","вентиляційні віддушини (1ряд)")</f>
        <v>вентиляційні віддушини (1ряд)</v>
      </c>
      <c r="C24" s="447"/>
      <c r="D24" s="136">
        <f t="shared" ref="D24:D37" si="5">IF(AC24="","",(1-$W$2)*(AC24/1.2))</f>
        <v>208.33333333333334</v>
      </c>
      <c r="E24" s="67">
        <f t="shared" ref="E24:E29" si="6">IF($W$5=0.2,D24*1.2,D24)/$W$4</f>
        <v>250</v>
      </c>
      <c r="F24" s="26"/>
      <c r="G24" s="26"/>
      <c r="I24" s="62"/>
      <c r="J24" s="28"/>
      <c r="AC24" s="310">
        <v>250</v>
      </c>
      <c r="AD24" s="301">
        <v>250</v>
      </c>
      <c r="AE24" s="301">
        <f>AD24/AC24-1</f>
        <v>0</v>
      </c>
      <c r="AF24" s="301"/>
      <c r="AG24" s="301"/>
      <c r="AH24" s="301"/>
      <c r="AI24" s="301"/>
      <c r="AJ24" s="301"/>
      <c r="AK24" s="301"/>
      <c r="AL24" s="301"/>
    </row>
    <row r="25" spans="1:38">
      <c r="B25" s="446" t="str">
        <f>IF($C$1="ENG","Ventilation cut","вентиляційний підріз")</f>
        <v>вентиляційний підріз</v>
      </c>
      <c r="C25" s="447"/>
      <c r="D25" s="137">
        <f>IF(AC25="","",(1-$W$2)*(AC25/1.2))</f>
        <v>141.66666666666669</v>
      </c>
      <c r="E25" s="69">
        <f t="shared" si="6"/>
        <v>170.00000000000003</v>
      </c>
      <c r="F25" s="26"/>
      <c r="G25" s="26"/>
      <c r="I25" s="62"/>
      <c r="J25" s="28"/>
      <c r="AC25" s="310">
        <v>170</v>
      </c>
      <c r="AD25" s="301">
        <v>170</v>
      </c>
      <c r="AE25" s="301">
        <f t="shared" ref="AE25:AE37" si="7">AD25/AC25-1</f>
        <v>0</v>
      </c>
      <c r="AF25" s="301"/>
      <c r="AG25" s="301"/>
      <c r="AH25" s="301"/>
      <c r="AI25" s="301"/>
      <c r="AJ25" s="301"/>
      <c r="AK25" s="301"/>
      <c r="AL25" s="301"/>
    </row>
    <row r="26" spans="1:38">
      <c r="B26" s="446" t="str">
        <f>IF($C$1="ENG","third door hindge","третя завіса")</f>
        <v>третя завіса</v>
      </c>
      <c r="C26" s="447"/>
      <c r="D26" s="137">
        <f t="shared" si="5"/>
        <v>66.666666666666671</v>
      </c>
      <c r="E26" s="69">
        <f t="shared" si="6"/>
        <v>80</v>
      </c>
      <c r="F26" s="26"/>
      <c r="G26" s="26"/>
      <c r="I26" s="62"/>
      <c r="J26" s="28"/>
      <c r="AC26" s="310">
        <v>80</v>
      </c>
      <c r="AD26" s="301">
        <v>80</v>
      </c>
      <c r="AE26" s="301">
        <f t="shared" si="7"/>
        <v>0</v>
      </c>
      <c r="AF26" s="301"/>
      <c r="AG26" s="301"/>
      <c r="AH26" s="301"/>
      <c r="AI26" s="301"/>
      <c r="AJ26" s="301"/>
      <c r="AK26" s="301"/>
      <c r="AL26" s="301"/>
    </row>
    <row r="27" spans="1:38">
      <c r="B27" s="439" t="str">
        <f>IF($C$1="ENG","glazing Satin (mod.1А,1Б)","скло Сатин (мод.1А,1Б)")</f>
        <v>скло Сатин (мод.1А,1Б)</v>
      </c>
      <c r="C27" s="440"/>
      <c r="D27" s="137">
        <f>IF(AC27="","",(1-$W$2)*(AC27/1.2))</f>
        <v>283.33333333333337</v>
      </c>
      <c r="E27" s="69">
        <f t="shared" si="6"/>
        <v>340.00000000000006</v>
      </c>
      <c r="F27" s="145"/>
      <c r="G27" s="145"/>
      <c r="AC27" s="310">
        <v>340</v>
      </c>
      <c r="AD27" s="301">
        <v>340</v>
      </c>
      <c r="AE27" s="301">
        <f t="shared" si="7"/>
        <v>0</v>
      </c>
      <c r="AF27" s="301"/>
      <c r="AG27" s="301"/>
      <c r="AH27" s="301"/>
      <c r="AI27" s="301"/>
      <c r="AJ27" s="301"/>
      <c r="AK27" s="301"/>
      <c r="AL27" s="301"/>
    </row>
    <row r="28" spans="1:38">
      <c r="B28" s="439" t="str">
        <f>IF($C$1="ENG","glazing Satin (mod.2А,2Б,3,4)","скло Сатин (мод.2А,2Б,3,4)")</f>
        <v>скло Сатин (мод.2А,2Б,3,4)</v>
      </c>
      <c r="C28" s="440"/>
      <c r="D28" s="137">
        <f>IF(AC28="","",(1-$W$2)*(AC28/1.2))</f>
        <v>350</v>
      </c>
      <c r="E28" s="69">
        <f t="shared" si="6"/>
        <v>420</v>
      </c>
      <c r="F28" s="145"/>
      <c r="G28" s="145"/>
      <c r="AC28" s="310">
        <v>420</v>
      </c>
      <c r="AD28" s="301">
        <v>420</v>
      </c>
      <c r="AE28" s="301">
        <f t="shared" si="7"/>
        <v>0</v>
      </c>
      <c r="AF28" s="301"/>
      <c r="AG28" s="301"/>
      <c r="AH28" s="301"/>
      <c r="AI28" s="301"/>
      <c r="AJ28" s="301"/>
      <c r="AK28" s="301"/>
      <c r="AL28" s="301"/>
    </row>
    <row r="29" spans="1:38">
      <c r="B29" s="439" t="str">
        <f>IF($C$1="ENG","glazing Graphite / Bronze","скло Графіт / Бронза")</f>
        <v>скло Графіт / Бронза</v>
      </c>
      <c r="C29" s="440"/>
      <c r="D29" s="137">
        <f>IF(AC29="","",(1-$W$2)*(AC29/1.2))</f>
        <v>458.33333333333337</v>
      </c>
      <c r="E29" s="69">
        <f t="shared" si="6"/>
        <v>550</v>
      </c>
      <c r="F29" s="145"/>
      <c r="G29" s="145"/>
      <c r="AC29" s="310">
        <v>550</v>
      </c>
      <c r="AD29" s="301">
        <v>550</v>
      </c>
      <c r="AE29" s="301">
        <f t="shared" si="7"/>
        <v>0</v>
      </c>
      <c r="AF29" s="301"/>
      <c r="AG29" s="301"/>
      <c r="AH29" s="301"/>
      <c r="AI29" s="301"/>
      <c r="AJ29" s="301"/>
      <c r="AK29" s="301"/>
      <c r="AL29" s="301"/>
    </row>
    <row r="30" spans="1:38">
      <c r="B30" s="439" t="str">
        <f>IF($C$1="ENG","door lock Soft","замок Soft")</f>
        <v>замок Soft</v>
      </c>
      <c r="C30" s="440"/>
      <c r="D30" s="285">
        <f t="shared" si="5"/>
        <v>458.33333333333337</v>
      </c>
      <c r="E30" s="69">
        <f t="shared" ref="E30:E35" si="8">IF($W$5=0.2,D30*1.2,D30)/$W$4</f>
        <v>550</v>
      </c>
      <c r="F30" s="26"/>
      <c r="G30" s="26"/>
      <c r="H30" s="43"/>
      <c r="I30" s="291"/>
      <c r="J30" s="8"/>
      <c r="K30" s="291"/>
      <c r="L30" s="8"/>
      <c r="M30" s="291"/>
      <c r="P30" s="8"/>
      <c r="Q30" s="291"/>
      <c r="U30" s="305"/>
      <c r="AC30" s="310">
        <v>550</v>
      </c>
      <c r="AD30" s="301">
        <v>550</v>
      </c>
      <c r="AE30" s="301">
        <f t="shared" si="7"/>
        <v>0</v>
      </c>
      <c r="AF30" s="301"/>
      <c r="AG30" s="301"/>
      <c r="AH30" s="301"/>
      <c r="AI30" s="301"/>
      <c r="AJ30" s="301"/>
      <c r="AK30" s="301"/>
      <c r="AL30" s="301"/>
    </row>
    <row r="31" spans="1:38">
      <c r="B31" s="439" t="str">
        <f>IF($C$1="ENG","door lock Magnet","замок Magnet")</f>
        <v>замок Magnet</v>
      </c>
      <c r="C31" s="440"/>
      <c r="D31" s="285">
        <f t="shared" si="5"/>
        <v>666.66666666666674</v>
      </c>
      <c r="E31" s="69">
        <f t="shared" si="8"/>
        <v>800.00000000000011</v>
      </c>
      <c r="F31" s="26"/>
      <c r="G31" s="26"/>
      <c r="H31" s="43"/>
      <c r="I31" s="291"/>
      <c r="J31" s="8"/>
      <c r="K31" s="291"/>
      <c r="L31" s="8"/>
      <c r="M31" s="291"/>
      <c r="P31" s="8"/>
      <c r="Q31" s="291"/>
      <c r="U31" s="305"/>
      <c r="AC31" s="310">
        <v>800</v>
      </c>
      <c r="AD31" s="301">
        <v>800</v>
      </c>
      <c r="AE31" s="301">
        <f t="shared" si="7"/>
        <v>0</v>
      </c>
      <c r="AF31" s="301"/>
      <c r="AG31" s="301"/>
      <c r="AH31" s="301"/>
      <c r="AI31" s="301"/>
      <c r="AJ31" s="301"/>
      <c r="AK31" s="301"/>
      <c r="AL31" s="301"/>
    </row>
    <row r="32" spans="1:38">
      <c r="B32" s="439" t="str">
        <f>IF($C$1="ENG","door handle-lock (for sliding doors)","ручка-замок (для дверей купе)")</f>
        <v>ручка-замок (для дверей купе)</v>
      </c>
      <c r="C32" s="440"/>
      <c r="D32" s="137">
        <f t="shared" si="5"/>
        <v>466.66666666666669</v>
      </c>
      <c r="E32" s="69">
        <f t="shared" si="8"/>
        <v>560</v>
      </c>
      <c r="F32" s="26"/>
      <c r="G32" s="26"/>
      <c r="I32" s="30"/>
      <c r="K32" s="30"/>
      <c r="AC32" s="310">
        <v>560</v>
      </c>
      <c r="AD32" s="301">
        <v>560</v>
      </c>
      <c r="AE32" s="301">
        <f t="shared" si="7"/>
        <v>0</v>
      </c>
      <c r="AF32" s="301"/>
      <c r="AG32" s="301"/>
      <c r="AH32" s="301"/>
      <c r="AI32" s="301"/>
      <c r="AJ32" s="301"/>
      <c r="AK32" s="301"/>
      <c r="AL32" s="301"/>
    </row>
    <row r="33" spans="2:38">
      <c r="B33" s="439" t="str">
        <f>IF($C$1="ENG","cylinder incert","циліндр несиметричний")</f>
        <v>циліндр несиметричний</v>
      </c>
      <c r="C33" s="440"/>
      <c r="D33" s="137">
        <f t="shared" si="5"/>
        <v>325</v>
      </c>
      <c r="E33" s="69">
        <f t="shared" si="8"/>
        <v>390</v>
      </c>
      <c r="F33" s="26"/>
      <c r="G33" s="26"/>
      <c r="I33" s="62"/>
      <c r="J33" s="28"/>
      <c r="AC33" s="310">
        <v>390</v>
      </c>
      <c r="AD33" s="301">
        <v>390</v>
      </c>
      <c r="AE33" s="301">
        <f t="shared" si="7"/>
        <v>0</v>
      </c>
      <c r="AF33" s="301"/>
      <c r="AG33" s="301"/>
      <c r="AH33" s="301"/>
      <c r="AI33" s="301"/>
      <c r="AJ33" s="301"/>
      <c r="AK33" s="301"/>
      <c r="AL33" s="301"/>
    </row>
    <row r="34" spans="2:38">
      <c r="B34" s="439" t="str">
        <f>IF($C$1="ENG","door hindge Prestige (1 unit)","завіса Prestige (1 шт)")</f>
        <v>завіса Prestige (1 шт)</v>
      </c>
      <c r="C34" s="440"/>
      <c r="D34" s="139">
        <f t="shared" si="5"/>
        <v>216.66666666666669</v>
      </c>
      <c r="E34" s="69">
        <f t="shared" si="8"/>
        <v>260</v>
      </c>
      <c r="F34" s="26"/>
      <c r="G34" s="26"/>
      <c r="I34" s="62"/>
      <c r="J34" s="28"/>
      <c r="AC34" s="310">
        <v>260</v>
      </c>
      <c r="AD34" s="301">
        <v>260</v>
      </c>
      <c r="AE34" s="301">
        <f t="shared" si="7"/>
        <v>0</v>
      </c>
      <c r="AF34" s="301"/>
      <c r="AG34" s="301"/>
      <c r="AH34" s="301"/>
      <c r="AI34" s="301"/>
      <c r="AJ34" s="301"/>
      <c r="AK34" s="301"/>
      <c r="AL34" s="301"/>
    </row>
    <row r="35" spans="2:38">
      <c r="B35" s="439" t="str">
        <f>IF($C$1="ENG","door hinge caps (1 set)","накладка на завіси (1 к-т)")</f>
        <v>накладка на завіси (1 к-т)</v>
      </c>
      <c r="C35" s="440"/>
      <c r="D35" s="139">
        <f t="shared" si="5"/>
        <v>66.666666666666671</v>
      </c>
      <c r="E35" s="69">
        <f t="shared" si="8"/>
        <v>80</v>
      </c>
      <c r="F35" s="26"/>
      <c r="G35" s="26"/>
      <c r="H35" s="26"/>
      <c r="I35" s="62"/>
      <c r="J35" s="28"/>
      <c r="AC35" s="310">
        <v>80</v>
      </c>
      <c r="AD35" s="301">
        <v>80</v>
      </c>
      <c r="AE35" s="301">
        <f t="shared" si="7"/>
        <v>0</v>
      </c>
      <c r="AF35" s="301"/>
      <c r="AG35" s="301"/>
      <c r="AH35" s="301"/>
      <c r="AI35" s="301"/>
      <c r="AJ35" s="301"/>
      <c r="AK35" s="301"/>
      <c r="AL35" s="301"/>
    </row>
    <row r="36" spans="2:38">
      <c r="B36" s="439" t="str">
        <f>IF($C$1="ENG","door handle","дверна ручка")</f>
        <v>дверна ручка</v>
      </c>
      <c r="C36" s="440"/>
      <c r="D36" s="137">
        <f t="shared" si="5"/>
        <v>0</v>
      </c>
      <c r="E36" s="140" t="str">
        <f>IF($C$1="ENG","see Handles Price","див. Таблицю Ручки")</f>
        <v>див. Таблицю Ручки</v>
      </c>
      <c r="F36" s="145"/>
      <c r="G36" s="26"/>
      <c r="AC36" s="310">
        <v>0</v>
      </c>
      <c r="AD36" s="301">
        <f t="shared" ref="AD25:AD37" si="9">AC36/100*13+AC36</f>
        <v>0</v>
      </c>
      <c r="AE36" s="301" t="e">
        <f t="shared" si="7"/>
        <v>#DIV/0!</v>
      </c>
      <c r="AF36" s="301"/>
      <c r="AG36" s="301"/>
      <c r="AH36" s="301"/>
      <c r="AI36" s="301"/>
      <c r="AJ36" s="301"/>
      <c r="AK36" s="301"/>
      <c r="AL36" s="301"/>
    </row>
    <row r="37" spans="2:38">
      <c r="B37" s="439" t="str">
        <f>IF($C$1="ENG","perforated chipboard","ДСП трубчасте")</f>
        <v>ДСП трубчасте</v>
      </c>
      <c r="C37" s="440"/>
      <c r="D37" s="138">
        <f t="shared" si="5"/>
        <v>1083.3333333333335</v>
      </c>
      <c r="E37" s="72">
        <f>IF($W$5=0.2,D37*1.2,D37)/$W$4</f>
        <v>1300.0000000000002</v>
      </c>
      <c r="F37" s="26"/>
      <c r="G37" s="26"/>
      <c r="I37" s="62"/>
      <c r="J37" s="28"/>
      <c r="AC37" s="310">
        <v>1300</v>
      </c>
      <c r="AD37" s="301">
        <v>1300</v>
      </c>
      <c r="AE37" s="301">
        <f t="shared" si="7"/>
        <v>0</v>
      </c>
      <c r="AF37" s="301"/>
      <c r="AG37" s="301"/>
      <c r="AH37" s="301"/>
      <c r="AI37" s="301"/>
      <c r="AJ37" s="301"/>
      <c r="AK37" s="301"/>
      <c r="AL37" s="301"/>
    </row>
    <row r="38" spans="2:38" ht="14.25" customHeight="1">
      <c r="C38" s="26"/>
      <c r="D38" s="26"/>
      <c r="E38" s="26"/>
      <c r="F38" s="26"/>
      <c r="G38" s="26"/>
      <c r="H38" s="10"/>
      <c r="I38" s="8"/>
      <c r="S38" s="460" t="str">
        <f>IF($C$1="ENG",CONCATENATE("down to: ",B88),CONCATENATE("вниз до: ",B88))</f>
        <v>вниз до: Полотна каркасно-щитові: КУПАВА</v>
      </c>
      <c r="T38" s="461"/>
      <c r="U38" s="461"/>
      <c r="V38" s="461"/>
      <c r="W38" s="461"/>
    </row>
    <row r="39" spans="2:38" ht="14.25" customHeight="1">
      <c r="C39" s="26"/>
      <c r="D39" s="26"/>
      <c r="E39" s="26"/>
      <c r="F39" s="26"/>
      <c r="G39" s="26"/>
      <c r="H39" s="10"/>
      <c r="I39" s="8"/>
    </row>
    <row r="40" spans="2:38" ht="14.25" customHeight="1">
      <c r="C40" s="26"/>
      <c r="D40" s="26"/>
      <c r="E40" s="26"/>
      <c r="F40" s="26"/>
      <c r="G40" s="26"/>
      <c r="H40" s="10"/>
      <c r="I40" s="8"/>
    </row>
    <row r="41" spans="2:38" ht="14.25" customHeight="1">
      <c r="C41" s="26"/>
      <c r="D41" s="26"/>
      <c r="E41" s="26"/>
      <c r="F41" s="26"/>
      <c r="G41" s="26"/>
      <c r="H41" s="10"/>
      <c r="I41" s="8"/>
    </row>
    <row r="42" spans="2:38" ht="14.25" customHeight="1">
      <c r="C42" s="26"/>
      <c r="D42" s="26"/>
      <c r="E42" s="26"/>
      <c r="F42" s="26"/>
      <c r="G42" s="26"/>
      <c r="H42" s="10"/>
      <c r="I42" s="8"/>
    </row>
    <row r="43" spans="2:38" ht="14.25" customHeight="1">
      <c r="C43" s="26"/>
      <c r="D43" s="26"/>
      <c r="E43" s="26"/>
      <c r="F43" s="26"/>
      <c r="G43" s="26"/>
      <c r="H43" s="10"/>
      <c r="I43" s="8"/>
    </row>
    <row r="44" spans="2:38" ht="14.25" customHeight="1">
      <c r="C44" s="26"/>
      <c r="D44" s="26"/>
      <c r="E44" s="26"/>
      <c r="F44" s="26"/>
      <c r="G44" s="26"/>
      <c r="H44" s="10"/>
      <c r="I44" s="8"/>
    </row>
    <row r="45" spans="2:38" ht="14.25" customHeight="1">
      <c r="C45" s="26"/>
      <c r="D45" s="26"/>
      <c r="E45" s="26"/>
      <c r="F45" s="26"/>
      <c r="G45" s="26"/>
      <c r="H45" s="10"/>
      <c r="I45" s="8"/>
    </row>
    <row r="46" spans="2:38" ht="14.25" customHeight="1">
      <c r="C46" s="26"/>
      <c r="D46" s="26"/>
      <c r="E46" s="26"/>
      <c r="F46" s="26"/>
      <c r="G46" s="26"/>
      <c r="H46" s="10"/>
      <c r="I46" s="8"/>
    </row>
    <row r="47" spans="2:38" ht="14.25" customHeight="1">
      <c r="C47" s="26"/>
      <c r="D47" s="26"/>
      <c r="E47" s="26"/>
      <c r="F47" s="26"/>
      <c r="G47" s="26"/>
      <c r="H47" s="10"/>
      <c r="I47" s="8"/>
    </row>
    <row r="48" spans="2:38" ht="14.25" customHeight="1">
      <c r="C48" s="26"/>
      <c r="D48" s="26"/>
      <c r="E48" s="26"/>
      <c r="F48" s="26"/>
      <c r="G48" s="26"/>
      <c r="H48" s="10"/>
      <c r="I48" s="8"/>
    </row>
    <row r="49" spans="3:9" ht="14.25" customHeight="1">
      <c r="C49" s="26"/>
      <c r="D49" s="26"/>
      <c r="E49" s="26"/>
      <c r="F49" s="26"/>
      <c r="G49" s="26"/>
      <c r="H49" s="10"/>
      <c r="I49" s="8"/>
    </row>
    <row r="50" spans="3:9" ht="14.25" customHeight="1">
      <c r="C50" s="26"/>
      <c r="D50" s="26"/>
      <c r="E50" s="26"/>
      <c r="F50" s="26"/>
      <c r="G50" s="26"/>
      <c r="H50" s="10"/>
      <c r="I50" s="8"/>
    </row>
    <row r="51" spans="3:9" ht="14.25" customHeight="1">
      <c r="C51" s="26"/>
      <c r="D51" s="26"/>
      <c r="E51" s="26"/>
      <c r="F51" s="26"/>
      <c r="G51" s="26"/>
      <c r="H51" s="10"/>
      <c r="I51" s="8"/>
    </row>
    <row r="52" spans="3:9" ht="14.25" customHeight="1">
      <c r="C52" s="26"/>
      <c r="D52" s="26"/>
      <c r="E52" s="26"/>
      <c r="F52" s="26"/>
      <c r="G52" s="26"/>
      <c r="H52" s="10"/>
      <c r="I52" s="8"/>
    </row>
    <row r="53" spans="3:9" ht="14.25" customHeight="1">
      <c r="C53" s="26"/>
      <c r="D53" s="26"/>
      <c r="E53" s="26"/>
      <c r="F53" s="26"/>
      <c r="G53" s="26"/>
      <c r="H53" s="10"/>
      <c r="I53" s="8"/>
    </row>
    <row r="54" spans="3:9" ht="14.25" customHeight="1">
      <c r="C54" s="26"/>
      <c r="D54" s="26"/>
      <c r="E54" s="26"/>
      <c r="F54" s="26"/>
      <c r="G54" s="26"/>
      <c r="H54" s="10"/>
      <c r="I54" s="8"/>
    </row>
    <row r="55" spans="3:9" ht="14.25" customHeight="1">
      <c r="C55" s="26"/>
      <c r="D55" s="26"/>
      <c r="E55" s="26"/>
      <c r="F55" s="26"/>
      <c r="G55" s="26"/>
      <c r="H55" s="10"/>
      <c r="I55" s="8"/>
    </row>
    <row r="56" spans="3:9" ht="14.25" customHeight="1">
      <c r="C56" s="26"/>
      <c r="D56" s="26"/>
      <c r="E56" s="26"/>
      <c r="F56" s="26"/>
      <c r="G56" s="26"/>
      <c r="H56" s="10"/>
      <c r="I56" s="8"/>
    </row>
    <row r="57" spans="3:9" ht="14.25" customHeight="1">
      <c r="C57" s="26"/>
      <c r="D57" s="26"/>
      <c r="E57" s="26"/>
      <c r="F57" s="26"/>
      <c r="G57" s="26"/>
      <c r="H57" s="10"/>
      <c r="I57" s="8"/>
    </row>
    <row r="58" spans="3:9" ht="14.25" customHeight="1">
      <c r="C58" s="26"/>
      <c r="D58" s="26"/>
      <c r="E58" s="26"/>
      <c r="F58" s="26"/>
      <c r="G58" s="26"/>
      <c r="H58" s="10"/>
      <c r="I58" s="8"/>
    </row>
    <row r="59" spans="3:9" ht="14.25" customHeight="1">
      <c r="C59" s="26"/>
      <c r="D59" s="26"/>
      <c r="E59" s="26"/>
      <c r="F59" s="26"/>
      <c r="G59" s="26"/>
      <c r="H59" s="10"/>
      <c r="I59" s="8"/>
    </row>
    <row r="60" spans="3:9" ht="14.25" customHeight="1">
      <c r="C60" s="26"/>
      <c r="D60" s="26"/>
      <c r="E60" s="26"/>
      <c r="F60" s="26"/>
      <c r="G60" s="26"/>
      <c r="H60" s="10"/>
      <c r="I60" s="8"/>
    </row>
    <row r="61" spans="3:9" ht="14.25" customHeight="1">
      <c r="C61" s="26"/>
      <c r="D61" s="26"/>
      <c r="E61" s="26"/>
      <c r="F61" s="26"/>
      <c r="G61" s="26"/>
      <c r="H61" s="10"/>
      <c r="I61" s="8"/>
    </row>
    <row r="62" spans="3:9" ht="14.25" customHeight="1">
      <c r="C62" s="26"/>
      <c r="D62" s="26"/>
      <c r="E62" s="26"/>
      <c r="F62" s="26"/>
      <c r="G62" s="26"/>
      <c r="H62" s="10"/>
      <c r="I62" s="8"/>
    </row>
    <row r="63" spans="3:9" ht="14.25" customHeight="1">
      <c r="C63" s="26"/>
      <c r="D63" s="26"/>
      <c r="E63" s="26"/>
      <c r="F63" s="26"/>
      <c r="G63" s="26"/>
      <c r="H63" s="10"/>
      <c r="I63" s="8"/>
    </row>
    <row r="64" spans="3:9" ht="14.25" customHeight="1">
      <c r="C64" s="26"/>
      <c r="D64" s="26"/>
      <c r="E64" s="26"/>
      <c r="F64" s="26"/>
      <c r="G64" s="26"/>
      <c r="H64" s="10"/>
      <c r="I64" s="8"/>
    </row>
    <row r="65" spans="3:9" ht="14.25" customHeight="1">
      <c r="C65" s="26"/>
      <c r="D65" s="26"/>
      <c r="E65" s="26"/>
      <c r="F65" s="26"/>
      <c r="G65" s="26"/>
      <c r="H65" s="10"/>
      <c r="I65" s="8"/>
    </row>
    <row r="66" spans="3:9" ht="14.25" customHeight="1">
      <c r="C66" s="26"/>
      <c r="D66" s="26"/>
      <c r="E66" s="26"/>
      <c r="F66" s="26"/>
      <c r="G66" s="26"/>
      <c r="H66" s="10"/>
      <c r="I66" s="8"/>
    </row>
    <row r="67" spans="3:9" ht="14.25" customHeight="1">
      <c r="C67" s="26"/>
      <c r="D67" s="26"/>
      <c r="E67" s="26"/>
      <c r="F67" s="26"/>
      <c r="G67" s="26"/>
      <c r="H67" s="10"/>
      <c r="I67" s="8"/>
    </row>
    <row r="68" spans="3:9" ht="14.25" customHeight="1">
      <c r="C68" s="26"/>
      <c r="D68" s="26"/>
      <c r="E68" s="26"/>
      <c r="F68" s="26"/>
      <c r="G68" s="26"/>
      <c r="H68" s="10"/>
      <c r="I68" s="8"/>
    </row>
    <row r="69" spans="3:9" ht="14.25" customHeight="1">
      <c r="C69" s="26"/>
      <c r="D69" s="26"/>
      <c r="E69" s="26"/>
      <c r="F69" s="26"/>
      <c r="G69" s="26"/>
      <c r="H69" s="10"/>
      <c r="I69" s="8"/>
    </row>
    <row r="70" spans="3:9" ht="14.25" customHeight="1">
      <c r="C70" s="26"/>
      <c r="D70" s="26"/>
      <c r="E70" s="26"/>
      <c r="F70" s="26"/>
      <c r="G70" s="26"/>
      <c r="H70" s="10"/>
      <c r="I70" s="8"/>
    </row>
    <row r="71" spans="3:9" ht="14.25" customHeight="1">
      <c r="C71" s="26"/>
      <c r="D71" s="26"/>
      <c r="E71" s="26"/>
      <c r="F71" s="26"/>
      <c r="G71" s="26"/>
      <c r="H71" s="10"/>
      <c r="I71" s="8"/>
    </row>
    <row r="72" spans="3:9" ht="14.25" customHeight="1">
      <c r="C72" s="26"/>
      <c r="D72" s="26"/>
      <c r="E72" s="26"/>
      <c r="F72" s="26"/>
      <c r="G72" s="26"/>
      <c r="H72" s="10"/>
      <c r="I72" s="8"/>
    </row>
    <row r="73" spans="3:9" ht="14.25" customHeight="1">
      <c r="C73" s="26"/>
      <c r="D73" s="26"/>
      <c r="E73" s="26"/>
      <c r="F73" s="26"/>
      <c r="G73" s="26"/>
      <c r="H73" s="10"/>
      <c r="I73" s="8"/>
    </row>
    <row r="74" spans="3:9" ht="14.25" customHeight="1">
      <c r="C74" s="26"/>
      <c r="D74" s="26"/>
      <c r="E74" s="26"/>
      <c r="F74" s="26"/>
      <c r="G74" s="26"/>
      <c r="H74" s="10"/>
      <c r="I74" s="8"/>
    </row>
    <row r="75" spans="3:9" ht="14.25" customHeight="1">
      <c r="C75" s="26"/>
      <c r="D75" s="26"/>
      <c r="E75" s="26"/>
      <c r="F75" s="26"/>
      <c r="G75" s="26"/>
      <c r="H75" s="10"/>
      <c r="I75" s="8"/>
    </row>
    <row r="76" spans="3:9" ht="14.25" customHeight="1">
      <c r="C76" s="26"/>
      <c r="D76" s="26"/>
      <c r="E76" s="26"/>
      <c r="F76" s="26"/>
      <c r="G76" s="26"/>
      <c r="H76" s="10"/>
      <c r="I76" s="8"/>
    </row>
    <row r="77" spans="3:9" ht="14.25" customHeight="1">
      <c r="C77" s="26"/>
      <c r="D77" s="26"/>
      <c r="E77" s="26"/>
      <c r="F77" s="26"/>
      <c r="G77" s="26"/>
      <c r="H77" s="10"/>
      <c r="I77" s="8"/>
    </row>
    <row r="78" spans="3:9" ht="14.25" customHeight="1">
      <c r="C78" s="26"/>
      <c r="D78" s="26"/>
      <c r="E78" s="26"/>
      <c r="F78" s="26"/>
      <c r="G78" s="26"/>
      <c r="H78" s="10"/>
      <c r="I78" s="8"/>
    </row>
    <row r="79" spans="3:9" ht="14.25" customHeight="1">
      <c r="C79" s="26"/>
      <c r="D79" s="26"/>
      <c r="E79" s="26"/>
      <c r="F79" s="26"/>
      <c r="G79" s="26"/>
      <c r="H79" s="10"/>
      <c r="I79" s="8"/>
    </row>
    <row r="80" spans="3:9" ht="14.25" customHeight="1">
      <c r="C80" s="26"/>
      <c r="D80" s="26"/>
      <c r="E80" s="26"/>
      <c r="F80" s="26"/>
      <c r="G80" s="26"/>
      <c r="H80" s="10"/>
      <c r="I80" s="8"/>
    </row>
    <row r="81" spans="1:46" ht="14.25" customHeight="1">
      <c r="C81" s="26"/>
      <c r="D81" s="26"/>
      <c r="E81" s="26"/>
      <c r="F81" s="26"/>
      <c r="G81" s="26"/>
      <c r="H81" s="10"/>
      <c r="I81" s="8"/>
    </row>
    <row r="82" spans="1:46" ht="14.25" customHeight="1">
      <c r="C82" s="26"/>
      <c r="D82" s="26"/>
      <c r="E82" s="26"/>
      <c r="F82" s="26"/>
      <c r="G82" s="26"/>
      <c r="H82" s="10"/>
      <c r="I82" s="8"/>
    </row>
    <row r="83" spans="1:46" ht="14.25" customHeight="1">
      <c r="C83" s="26"/>
      <c r="D83" s="26"/>
      <c r="E83" s="26"/>
      <c r="F83" s="26"/>
      <c r="G83" s="26"/>
      <c r="H83" s="10"/>
      <c r="I83" s="8"/>
    </row>
    <row r="84" spans="1:46" ht="14.25" customHeight="1">
      <c r="C84" s="26"/>
      <c r="D84" s="26"/>
      <c r="E84" s="26"/>
      <c r="F84" s="26"/>
      <c r="G84" s="26"/>
      <c r="H84" s="10"/>
      <c r="I84" s="8"/>
    </row>
    <row r="85" spans="1:46" ht="14.25" customHeight="1">
      <c r="C85" s="26"/>
      <c r="D85" s="26"/>
      <c r="E85" s="26"/>
      <c r="F85" s="26"/>
      <c r="G85" s="26"/>
      <c r="H85" s="10"/>
      <c r="I85" s="8"/>
    </row>
    <row r="86" spans="1:46" ht="14.25" customHeight="1">
      <c r="C86" s="26"/>
      <c r="D86" s="26"/>
      <c r="E86" s="26"/>
      <c r="F86" s="26"/>
      <c r="G86" s="26"/>
      <c r="H86" s="10"/>
      <c r="I86" s="8"/>
    </row>
    <row r="87" spans="1:46" ht="14.25" customHeight="1">
      <c r="C87" s="26"/>
      <c r="D87" s="26"/>
      <c r="E87" s="26"/>
      <c r="F87" s="26"/>
      <c r="G87" s="26"/>
      <c r="H87" s="10"/>
      <c r="I87" s="8"/>
    </row>
    <row r="88" spans="1:46" s="8" customFormat="1">
      <c r="B88" s="421" t="str">
        <f>TITLE!$C$9</f>
        <v>Полотна каркасно-щитові: КУПАВА</v>
      </c>
      <c r="C88" s="421"/>
      <c r="D88" s="122"/>
      <c r="E88" s="122"/>
      <c r="F88" s="122"/>
      <c r="G88" s="122"/>
      <c r="H88" s="122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419" t="str">
        <f>IF($C$1="ENG",CONCATENATE("up to: ",B10),CONCATENATE("вгору до: ",B10))</f>
        <v>вгору до: Полотна каркасно-щитові: СТАНДАРТ</v>
      </c>
      <c r="T88" s="420"/>
      <c r="U88" s="420"/>
      <c r="V88" s="420"/>
      <c r="W88" s="420"/>
      <c r="AN88" s="291"/>
      <c r="AO88" s="291"/>
      <c r="AP88" s="291"/>
      <c r="AQ88" s="291"/>
      <c r="AR88" s="291"/>
      <c r="AS88" s="291"/>
      <c r="AT88" s="291"/>
    </row>
    <row r="89" spans="1:46" s="8" customFormat="1" ht="5.0999999999999996" customHeight="1">
      <c r="B89" s="121"/>
      <c r="C89" s="121"/>
      <c r="D89" s="9"/>
      <c r="E89" s="9"/>
      <c r="F89" s="10"/>
      <c r="G89" s="10"/>
      <c r="H89" s="10"/>
      <c r="T89" s="119"/>
      <c r="U89" s="119"/>
      <c r="V89" s="119"/>
      <c r="W89" s="119"/>
      <c r="AN89" s="291"/>
      <c r="AO89" s="291"/>
      <c r="AP89" s="291"/>
      <c r="AQ89" s="291"/>
      <c r="AR89" s="291"/>
      <c r="AS89" s="291"/>
      <c r="AT89" s="291"/>
    </row>
    <row r="90" spans="1:46" s="8" customFormat="1" ht="12.75" customHeight="1">
      <c r="B90" s="448" t="str">
        <f>IF($C$1="ENG","model","модель")</f>
        <v>модель</v>
      </c>
      <c r="C90" s="126" t="str">
        <f>IF($C$1="ENG","cover:","покриття:")</f>
        <v>покриття:</v>
      </c>
      <c r="D90" s="430" t="str">
        <f>IF($C$1="ENG","SIMPL / V-CELL","SIMPL / V-CELL")</f>
        <v>SIMPL / V-CELL</v>
      </c>
      <c r="E90" s="432"/>
      <c r="F90" s="430" t="str">
        <f>IF($C$1="ENG","UNI-MAT","UNI-MAT")</f>
        <v>UNI-MAT</v>
      </c>
      <c r="G90" s="432"/>
      <c r="H90" s="46"/>
      <c r="I90" s="46"/>
      <c r="J90" s="46"/>
      <c r="K90" s="46"/>
      <c r="T90" s="119"/>
      <c r="U90" s="119"/>
      <c r="V90" s="119"/>
      <c r="W90" s="119"/>
      <c r="AN90" s="291"/>
      <c r="AO90" s="291"/>
      <c r="AP90" s="291"/>
      <c r="AQ90" s="291"/>
      <c r="AR90" s="291"/>
      <c r="AS90" s="291"/>
      <c r="AT90" s="291"/>
    </row>
    <row r="91" spans="1:46" ht="12.75" customHeight="1">
      <c r="A91" s="8"/>
      <c r="B91" s="449"/>
      <c r="C91" s="127" t="str">
        <f>IF($C$1="ENG","filling:","заповнення:")</f>
        <v>заповнення:</v>
      </c>
      <c r="D91" s="441" t="str">
        <f>IF($C$1="ENG","honeycomb core ","сотове заповнення")</f>
        <v>сотове заповнення</v>
      </c>
      <c r="E91" s="442"/>
      <c r="F91" s="441" t="str">
        <f>IF($C$1="ENG","honeycomb core ","сотове заповнення")</f>
        <v>сотове заповнення</v>
      </c>
      <c r="G91" s="442"/>
      <c r="H91" s="46"/>
      <c r="I91" s="46"/>
      <c r="J91" s="46"/>
      <c r="K91" s="46"/>
      <c r="L91" s="11"/>
      <c r="M91" s="11"/>
      <c r="P91" s="11"/>
      <c r="Q91" s="11"/>
    </row>
    <row r="92" spans="1:46" ht="12.75" customHeight="1">
      <c r="A92" s="8"/>
      <c r="B92" s="450"/>
      <c r="C92" s="128" t="str">
        <f>IF($C$1="ENG","glazing:","скління:")</f>
        <v>скління:</v>
      </c>
      <c r="D92" s="424" t="str">
        <f>IF($C$1="ENG","Krizet","Кризет")</f>
        <v>Кризет</v>
      </c>
      <c r="E92" s="434"/>
      <c r="F92" s="424" t="str">
        <f>IF($C$1="ENG","Krizet","Кризет")</f>
        <v>Кризет</v>
      </c>
      <c r="G92" s="434"/>
      <c r="H92" s="47"/>
      <c r="I92" s="47"/>
      <c r="J92" s="47"/>
      <c r="K92" s="135"/>
      <c r="L92" s="11"/>
      <c r="M92" s="11"/>
      <c r="P92" s="11"/>
      <c r="Q92" s="11"/>
      <c r="AC92" s="1" t="str">
        <f>D90</f>
        <v>SIMPL / V-CELL</v>
      </c>
      <c r="AD92" s="1" t="str">
        <f>F90</f>
        <v>UNI-MAT</v>
      </c>
    </row>
    <row r="93" spans="1:46" ht="35.1" customHeight="1">
      <c r="A93" s="8"/>
      <c r="B93" s="16" t="s">
        <v>17</v>
      </c>
      <c r="C93" s="17"/>
      <c r="D93" s="18">
        <f>IF(AC93="","",(1-$W$2)*(AC93/1.2))</f>
        <v>2975</v>
      </c>
      <c r="E93" s="69">
        <f>IF($W$5=0.2,D93*1.2,D93)/$W$4</f>
        <v>3570</v>
      </c>
      <c r="F93" s="18">
        <f>IF(AD93="","",(1-$W$2)*(AD93/1.2))</f>
        <v>3425</v>
      </c>
      <c r="G93" s="69">
        <f>IF($W$5=0.2,F93*1.2,F93)/$W$4</f>
        <v>4110</v>
      </c>
      <c r="H93" s="28"/>
      <c r="I93" s="62"/>
      <c r="J93" s="28"/>
      <c r="K93" s="62"/>
      <c r="L93" s="108"/>
      <c r="M93" s="62"/>
      <c r="N93" s="108"/>
      <c r="O93" s="62"/>
      <c r="P93" s="108"/>
      <c r="Q93" s="62"/>
      <c r="R93" s="108"/>
      <c r="S93" s="62"/>
      <c r="T93" s="108"/>
      <c r="U93" s="20"/>
      <c r="V93" s="108"/>
      <c r="W93" s="20"/>
      <c r="AC93" s="346">
        <v>3570</v>
      </c>
      <c r="AD93" s="346">
        <v>4110</v>
      </c>
      <c r="AE93" s="301">
        <v>3570</v>
      </c>
      <c r="AF93" s="301">
        <v>4110</v>
      </c>
      <c r="AG93" s="301">
        <f>AE93/AC93-1</f>
        <v>0</v>
      </c>
      <c r="AH93" s="301">
        <f>AF93/AD93-1</f>
        <v>0</v>
      </c>
      <c r="AI93" s="301"/>
      <c r="AJ93" s="301"/>
      <c r="AK93" s="301"/>
      <c r="AL93" s="301"/>
    </row>
    <row r="94" spans="1:46" ht="35.1" customHeight="1">
      <c r="A94" s="8"/>
      <c r="B94" s="23" t="s">
        <v>20</v>
      </c>
      <c r="C94" s="24"/>
      <c r="D94" s="25">
        <f>IF(AC94="","",(1-$W$2)*(AC94/1.2))</f>
        <v>3383.3333333333335</v>
      </c>
      <c r="E94" s="72">
        <f>IF($W$5=0.2,D94*1.2,D94)/$W$4</f>
        <v>4060</v>
      </c>
      <c r="F94" s="25">
        <f>IF(AD94="","",(1-$W$2)*(AD94/1.2))</f>
        <v>3883.3333333333335</v>
      </c>
      <c r="G94" s="72">
        <f>IF($W$5=0.2,F94*1.2,F94)/$W$4</f>
        <v>4660</v>
      </c>
      <c r="H94" s="28"/>
      <c r="I94" s="62"/>
      <c r="J94" s="28"/>
      <c r="K94" s="62"/>
      <c r="L94" s="108"/>
      <c r="M94" s="62"/>
      <c r="N94" s="108"/>
      <c r="O94" s="62"/>
      <c r="P94" s="108"/>
      <c r="Q94" s="62"/>
      <c r="R94" s="108"/>
      <c r="S94" s="62"/>
      <c r="T94" s="108"/>
      <c r="U94" s="20"/>
      <c r="V94" s="108"/>
      <c r="W94" s="20"/>
      <c r="AC94" s="346">
        <v>4060</v>
      </c>
      <c r="AD94" s="346">
        <v>4660</v>
      </c>
      <c r="AE94" s="301">
        <v>4060</v>
      </c>
      <c r="AF94" s="301">
        <v>4660</v>
      </c>
      <c r="AG94" s="301">
        <f>AE94/AC94-1</f>
        <v>0</v>
      </c>
      <c r="AH94" s="301">
        <f>AF94/AD94-1</f>
        <v>0</v>
      </c>
      <c r="AI94" s="301"/>
      <c r="AJ94" s="301"/>
      <c r="AK94" s="301"/>
      <c r="AL94" s="301"/>
    </row>
    <row r="95" spans="1:46">
      <c r="C95" s="26"/>
      <c r="D95" s="26"/>
      <c r="E95" s="26"/>
      <c r="F95" s="26"/>
      <c r="G95" s="26"/>
      <c r="H95" s="63"/>
      <c r="I95" s="48"/>
      <c r="J95" s="48"/>
      <c r="K95" s="48"/>
    </row>
    <row r="96" spans="1:46">
      <c r="B96" s="220" t="str">
        <f>IF($C$1="ENG","For additonal charge:","Послуги за додаткову плату:")</f>
        <v>Послуги за додаткову плату:</v>
      </c>
      <c r="C96" s="221"/>
      <c r="D96" s="221"/>
      <c r="E96" s="222"/>
      <c r="F96" s="26"/>
      <c r="G96" s="26"/>
      <c r="H96" s="63"/>
      <c r="I96" s="48"/>
      <c r="J96" s="48"/>
      <c r="K96" s="48"/>
    </row>
    <row r="97" spans="2:38" ht="5.0999999999999996" customHeight="1">
      <c r="B97" s="27"/>
      <c r="C97" s="26"/>
      <c r="D97" s="131"/>
      <c r="E97" s="26"/>
      <c r="F97" s="26"/>
      <c r="G97" s="26"/>
      <c r="H97" s="5"/>
    </row>
    <row r="98" spans="2:38">
      <c r="B98" s="446" t="str">
        <f>IF($C$1="ENG","Ventilation cut","вентиляційний підріз")</f>
        <v>вентиляційний підріз</v>
      </c>
      <c r="C98" s="447"/>
      <c r="D98" s="137">
        <f>IF(AC98="","",(1-$W$2)*(AC98/1.2))</f>
        <v>141.66666666666669</v>
      </c>
      <c r="E98" s="96">
        <f>IF($W$5=0.2,D98*1.2,D98)/$W$4</f>
        <v>170.00000000000003</v>
      </c>
      <c r="F98" s="26"/>
      <c r="G98" s="26"/>
      <c r="I98" s="62"/>
      <c r="J98" s="28"/>
      <c r="AC98" s="310">
        <v>170</v>
      </c>
      <c r="AD98" s="301">
        <v>170</v>
      </c>
      <c r="AE98" s="301">
        <f>AD98/AC98-1</f>
        <v>0</v>
      </c>
      <c r="AF98" s="301"/>
      <c r="AG98" s="301"/>
      <c r="AH98" s="301"/>
      <c r="AI98" s="301"/>
      <c r="AJ98" s="301"/>
      <c r="AK98" s="301"/>
      <c r="AL98" s="301"/>
    </row>
    <row r="99" spans="2:38">
      <c r="B99" s="439" t="str">
        <f>IF($C$1="ENG","third door hindge","третя завіса")</f>
        <v>третя завіса</v>
      </c>
      <c r="C99" s="440"/>
      <c r="D99" s="18">
        <f t="shared" ref="D99:D109" si="10">IF(AC99="","",(1-$W$2)*(AC99/1.2))</f>
        <v>66.666666666666671</v>
      </c>
      <c r="E99" s="97">
        <f>IF($W$5=0.2,D99*1.2,D99)/$W$4</f>
        <v>80</v>
      </c>
      <c r="F99" s="26"/>
      <c r="G99" s="26"/>
      <c r="H99" s="5"/>
      <c r="AC99" s="310">
        <v>80</v>
      </c>
      <c r="AD99" s="301">
        <v>80</v>
      </c>
      <c r="AE99" s="301">
        <f t="shared" ref="AE99:AE109" si="11">AD99/AC99-1</f>
        <v>0</v>
      </c>
      <c r="AF99" s="301"/>
      <c r="AG99" s="301"/>
      <c r="AH99" s="301"/>
      <c r="AI99" s="301"/>
      <c r="AJ99" s="301"/>
      <c r="AK99" s="301"/>
      <c r="AL99" s="301"/>
    </row>
    <row r="100" spans="2:38">
      <c r="B100" s="439" t="str">
        <f>IF($C$1="ENG","glazing Satin","скло Сатин")</f>
        <v>скло Сатин</v>
      </c>
      <c r="C100" s="440"/>
      <c r="D100" s="137">
        <f t="shared" si="10"/>
        <v>283.33333333333337</v>
      </c>
      <c r="E100" s="97">
        <f t="shared" ref="E100:E107" si="12">IF($W$5=0.2,D100*1.2,D100)/$W$4</f>
        <v>340.00000000000006</v>
      </c>
      <c r="F100" s="145"/>
      <c r="G100" s="145"/>
      <c r="AC100" s="310">
        <v>340</v>
      </c>
      <c r="AD100" s="301">
        <v>340</v>
      </c>
      <c r="AE100" s="301">
        <f t="shared" si="11"/>
        <v>0</v>
      </c>
      <c r="AF100" s="301"/>
      <c r="AG100" s="301"/>
      <c r="AH100" s="301"/>
      <c r="AI100" s="301"/>
      <c r="AJ100" s="301"/>
      <c r="AK100" s="301"/>
      <c r="AL100" s="301"/>
    </row>
    <row r="101" spans="2:38">
      <c r="B101" s="439" t="str">
        <f>IF($C$1="ENG","glazing Graphite / Bronze","скло Графіт / Бронза")</f>
        <v>скло Графіт / Бронза</v>
      </c>
      <c r="C101" s="440"/>
      <c r="D101" s="137">
        <f>IF(AC101="","",(1-$W$2)*(AC101/1.2))</f>
        <v>458.33333333333337</v>
      </c>
      <c r="E101" s="97">
        <f t="shared" si="12"/>
        <v>550</v>
      </c>
      <c r="F101" s="145"/>
      <c r="G101" s="145"/>
      <c r="AC101" s="310">
        <v>550</v>
      </c>
      <c r="AD101" s="301">
        <v>550</v>
      </c>
      <c r="AE101" s="301">
        <f t="shared" si="11"/>
        <v>0</v>
      </c>
      <c r="AF101" s="301"/>
      <c r="AG101" s="301"/>
      <c r="AH101" s="301"/>
      <c r="AI101" s="301"/>
      <c r="AJ101" s="301"/>
      <c r="AK101" s="301"/>
      <c r="AL101" s="301"/>
    </row>
    <row r="102" spans="2:38">
      <c r="B102" s="439" t="str">
        <f>IF($C$1="ENG","door lock Soft","замок Soft")</f>
        <v>замок Soft</v>
      </c>
      <c r="C102" s="440"/>
      <c r="D102" s="106">
        <f t="shared" si="10"/>
        <v>458.33333333333337</v>
      </c>
      <c r="E102" s="97">
        <f t="shared" si="12"/>
        <v>550</v>
      </c>
      <c r="F102" s="26"/>
      <c r="G102" s="26"/>
      <c r="H102" s="5"/>
      <c r="AC102" s="310">
        <v>550</v>
      </c>
      <c r="AD102" s="301">
        <v>550</v>
      </c>
      <c r="AE102" s="301">
        <f t="shared" si="11"/>
        <v>0</v>
      </c>
      <c r="AF102" s="301"/>
      <c r="AG102" s="301"/>
      <c r="AH102" s="301"/>
      <c r="AI102" s="301"/>
      <c r="AJ102" s="301"/>
      <c r="AK102" s="301"/>
      <c r="AL102" s="301"/>
    </row>
    <row r="103" spans="2:38">
      <c r="B103" s="439" t="str">
        <f>IF($C$1="ENG","door lock Magnet","замок Magnet")</f>
        <v>замок Magnet</v>
      </c>
      <c r="C103" s="440"/>
      <c r="D103" s="106">
        <f t="shared" si="10"/>
        <v>666.66666666666674</v>
      </c>
      <c r="E103" s="97">
        <f t="shared" si="12"/>
        <v>800.00000000000011</v>
      </c>
      <c r="F103" s="26"/>
      <c r="G103" s="26"/>
      <c r="H103" s="5"/>
      <c r="AC103" s="310">
        <v>800</v>
      </c>
      <c r="AD103" s="301">
        <v>800</v>
      </c>
      <c r="AE103" s="301">
        <f t="shared" si="11"/>
        <v>0</v>
      </c>
      <c r="AF103" s="301"/>
      <c r="AG103" s="301"/>
      <c r="AH103" s="301"/>
      <c r="AI103" s="301"/>
      <c r="AJ103" s="301"/>
      <c r="AK103" s="301"/>
      <c r="AL103" s="301"/>
    </row>
    <row r="104" spans="2:38">
      <c r="B104" s="439" t="str">
        <f>IF($C$1="ENG","door handle-lock (for sliding doors)","ручка-замок (для дверей купе)")</f>
        <v>ручка-замок (для дверей купе)</v>
      </c>
      <c r="C104" s="440"/>
      <c r="D104" s="106">
        <f t="shared" si="10"/>
        <v>466.66666666666669</v>
      </c>
      <c r="E104" s="97">
        <f t="shared" si="12"/>
        <v>560</v>
      </c>
      <c r="F104" s="26"/>
      <c r="G104" s="26"/>
      <c r="H104" s="5"/>
      <c r="AC104" s="310">
        <v>560</v>
      </c>
      <c r="AD104" s="301">
        <v>560</v>
      </c>
      <c r="AE104" s="301">
        <f t="shared" si="11"/>
        <v>0</v>
      </c>
      <c r="AF104" s="301"/>
      <c r="AG104" s="301"/>
      <c r="AH104" s="301"/>
      <c r="AI104" s="301"/>
      <c r="AJ104" s="301"/>
      <c r="AK104" s="301"/>
      <c r="AL104" s="301"/>
    </row>
    <row r="105" spans="2:38">
      <c r="B105" s="439" t="str">
        <f>IF($C$1="ENG","cylinder incert","циліндр несиметричний")</f>
        <v>циліндр несиметричний</v>
      </c>
      <c r="C105" s="440"/>
      <c r="D105" s="137">
        <f t="shared" si="10"/>
        <v>325</v>
      </c>
      <c r="E105" s="97">
        <f t="shared" si="12"/>
        <v>390</v>
      </c>
      <c r="F105" s="26"/>
      <c r="G105" s="26"/>
      <c r="AC105" s="310">
        <v>390</v>
      </c>
      <c r="AD105" s="301">
        <v>390</v>
      </c>
      <c r="AE105" s="301">
        <f t="shared" si="11"/>
        <v>0</v>
      </c>
      <c r="AF105" s="301"/>
      <c r="AG105" s="301"/>
      <c r="AH105" s="301"/>
      <c r="AI105" s="301"/>
      <c r="AJ105" s="301"/>
      <c r="AK105" s="301"/>
      <c r="AL105" s="301"/>
    </row>
    <row r="106" spans="2:38">
      <c r="B106" s="439" t="str">
        <f>IF($C$1="ENG","door hindge Prestige (1 unit)","завіса Prestige (1 шт)")</f>
        <v>завіса Prestige (1 шт)</v>
      </c>
      <c r="C106" s="440"/>
      <c r="D106" s="139">
        <f t="shared" si="10"/>
        <v>216.66666666666669</v>
      </c>
      <c r="E106" s="97">
        <f t="shared" si="12"/>
        <v>260</v>
      </c>
      <c r="F106" s="26"/>
      <c r="G106" s="26"/>
      <c r="AC106" s="310">
        <v>260</v>
      </c>
      <c r="AD106" s="301">
        <v>260</v>
      </c>
      <c r="AE106" s="301">
        <f t="shared" si="11"/>
        <v>0</v>
      </c>
      <c r="AF106" s="301"/>
      <c r="AG106" s="301"/>
      <c r="AH106" s="301"/>
      <c r="AI106" s="301"/>
      <c r="AJ106" s="301"/>
      <c r="AK106" s="301"/>
      <c r="AL106" s="301"/>
    </row>
    <row r="107" spans="2:38">
      <c r="B107" s="439" t="str">
        <f>IF($C$1="ENG","door hinge caps (1 set)","накладка на завіси (1 к-т)")</f>
        <v>накладка на завіси (1 к-т)</v>
      </c>
      <c r="C107" s="440"/>
      <c r="D107" s="139">
        <f t="shared" si="10"/>
        <v>66.666666666666671</v>
      </c>
      <c r="E107" s="97">
        <f t="shared" si="12"/>
        <v>80</v>
      </c>
      <c r="F107" s="26"/>
      <c r="G107" s="26"/>
      <c r="AC107" s="310">
        <v>80</v>
      </c>
      <c r="AD107" s="301">
        <v>80</v>
      </c>
      <c r="AE107" s="301">
        <f t="shared" si="11"/>
        <v>0</v>
      </c>
      <c r="AF107" s="301"/>
      <c r="AG107" s="301"/>
      <c r="AH107" s="301"/>
      <c r="AI107" s="301"/>
      <c r="AJ107" s="301"/>
      <c r="AK107" s="301"/>
      <c r="AL107" s="301"/>
    </row>
    <row r="108" spans="2:38">
      <c r="B108" s="439" t="str">
        <f>IF($C$1="ENG","door handle","дверна ручка")</f>
        <v>дверна ручка</v>
      </c>
      <c r="C108" s="440"/>
      <c r="D108" s="137">
        <f t="shared" si="10"/>
        <v>0</v>
      </c>
      <c r="E108" s="308" t="str">
        <f>IF($C$1="ENG","see Handles Price","див. Таблицю Ручки")</f>
        <v>див. Таблицю Ручки</v>
      </c>
      <c r="F108" s="26"/>
      <c r="G108" s="26"/>
      <c r="AC108" s="310">
        <f t="shared" ref="AC98:AD109" si="13">AB108/100*13+AB108</f>
        <v>0</v>
      </c>
      <c r="AD108" s="301">
        <f t="shared" si="13"/>
        <v>0</v>
      </c>
      <c r="AE108" s="301" t="e">
        <f t="shared" si="11"/>
        <v>#DIV/0!</v>
      </c>
      <c r="AF108" s="301"/>
      <c r="AG108" s="301"/>
      <c r="AH108" s="301"/>
      <c r="AI108" s="301"/>
      <c r="AJ108" s="301"/>
      <c r="AK108" s="301"/>
      <c r="AL108" s="301"/>
    </row>
    <row r="109" spans="2:38">
      <c r="B109" s="439" t="str">
        <f>IF($C$1="ENG","perforated chipboard","ДСП трубчасте")</f>
        <v>ДСП трубчасте</v>
      </c>
      <c r="C109" s="440"/>
      <c r="D109" s="138">
        <f t="shared" si="10"/>
        <v>1083.3333333333335</v>
      </c>
      <c r="E109" s="98">
        <f>IF($W$5=0.2,D109*1.2,D109)/$W$4</f>
        <v>1300.0000000000002</v>
      </c>
      <c r="F109" s="26"/>
      <c r="G109" s="26"/>
      <c r="AC109" s="310">
        <v>1300</v>
      </c>
      <c r="AD109" s="301">
        <v>1300</v>
      </c>
      <c r="AE109" s="301">
        <f t="shared" si="11"/>
        <v>0</v>
      </c>
      <c r="AF109" s="301"/>
      <c r="AG109" s="301"/>
      <c r="AH109" s="301"/>
      <c r="AI109" s="301"/>
      <c r="AJ109" s="301"/>
      <c r="AK109" s="301"/>
      <c r="AL109" s="301"/>
    </row>
    <row r="110" spans="2:38" ht="14.25" customHeight="1">
      <c r="C110" s="26"/>
      <c r="D110" s="26"/>
      <c r="E110" s="26"/>
      <c r="F110" s="26"/>
      <c r="G110" s="26"/>
      <c r="H110" s="5"/>
      <c r="S110" s="460" t="str">
        <f>IF($C$1="ENG",CONCATENATE("down to: B209",),CONCATENATE("вниз до: ",B160))</f>
        <v>вниз до: Полотна каркасно-щитові: ГЕОМЕТРІЯ</v>
      </c>
      <c r="T110" s="461"/>
      <c r="U110" s="461"/>
      <c r="V110" s="461"/>
      <c r="W110" s="461"/>
    </row>
    <row r="111" spans="2:38" ht="14.25" customHeight="1">
      <c r="C111" s="26"/>
      <c r="D111" s="26"/>
      <c r="E111" s="26"/>
      <c r="F111" s="26"/>
      <c r="G111" s="26"/>
      <c r="H111" s="5"/>
    </row>
    <row r="112" spans="2:38" ht="14.25" customHeight="1">
      <c r="C112" s="26"/>
      <c r="D112" s="26"/>
      <c r="F112" s="26"/>
      <c r="G112" s="26"/>
      <c r="H112" s="5"/>
    </row>
    <row r="113" spans="3:8" ht="14.25" customHeight="1">
      <c r="C113" s="26"/>
      <c r="D113" s="26"/>
      <c r="E113" s="26"/>
      <c r="F113" s="26"/>
      <c r="G113" s="26"/>
      <c r="H113" s="5"/>
    </row>
    <row r="114" spans="3:8" ht="14.25" customHeight="1">
      <c r="C114" s="26"/>
      <c r="D114" s="26"/>
      <c r="E114" s="26"/>
      <c r="F114" s="26"/>
      <c r="G114" s="26"/>
      <c r="H114" s="5"/>
    </row>
    <row r="115" spans="3:8" ht="14.25" customHeight="1">
      <c r="C115" s="26"/>
      <c r="D115" s="26"/>
      <c r="E115" s="26"/>
      <c r="F115" s="26"/>
      <c r="G115" s="26"/>
      <c r="H115" s="5"/>
    </row>
    <row r="116" spans="3:8" ht="14.25" customHeight="1">
      <c r="C116" s="26"/>
      <c r="D116" s="26"/>
      <c r="E116" s="26"/>
      <c r="F116" s="26"/>
      <c r="G116" s="26"/>
      <c r="H116" s="5"/>
    </row>
    <row r="117" spans="3:8" ht="14.25" customHeight="1">
      <c r="C117" s="26"/>
      <c r="D117" s="26"/>
      <c r="E117" s="26"/>
      <c r="F117" s="26"/>
      <c r="G117" s="26"/>
      <c r="H117" s="5"/>
    </row>
    <row r="118" spans="3:8" ht="14.25" customHeight="1">
      <c r="C118" s="26"/>
      <c r="D118" s="26"/>
      <c r="E118" s="26"/>
      <c r="F118" s="26"/>
      <c r="G118" s="26"/>
      <c r="H118" s="5"/>
    </row>
    <row r="119" spans="3:8" ht="14.25" customHeight="1">
      <c r="C119" s="26"/>
      <c r="D119" s="26"/>
      <c r="E119" s="26"/>
      <c r="F119" s="26"/>
      <c r="G119" s="26"/>
      <c r="H119" s="5"/>
    </row>
    <row r="120" spans="3:8" ht="14.25" customHeight="1">
      <c r="C120" s="26"/>
      <c r="D120" s="26"/>
      <c r="E120" s="26"/>
      <c r="F120" s="26"/>
      <c r="G120" s="26"/>
      <c r="H120" s="5"/>
    </row>
    <row r="121" spans="3:8" ht="14.25" customHeight="1">
      <c r="C121" s="26"/>
      <c r="D121" s="26"/>
      <c r="E121" s="26"/>
      <c r="F121" s="26"/>
      <c r="G121" s="26"/>
      <c r="H121" s="5"/>
    </row>
    <row r="122" spans="3:8" ht="14.25" customHeight="1">
      <c r="C122" s="26"/>
      <c r="D122" s="26"/>
      <c r="E122" s="26"/>
      <c r="F122" s="26"/>
      <c r="G122" s="26"/>
      <c r="H122" s="5"/>
    </row>
    <row r="123" spans="3:8" ht="14.25" customHeight="1">
      <c r="C123" s="26"/>
      <c r="D123" s="26"/>
      <c r="E123" s="26"/>
      <c r="F123" s="26"/>
      <c r="G123" s="26"/>
      <c r="H123" s="5"/>
    </row>
    <row r="124" spans="3:8" ht="14.25" customHeight="1">
      <c r="C124" s="26"/>
      <c r="D124" s="26"/>
      <c r="E124" s="26"/>
      <c r="F124" s="26"/>
      <c r="G124" s="26"/>
      <c r="H124" s="5"/>
    </row>
    <row r="125" spans="3:8" ht="14.25" customHeight="1">
      <c r="C125" s="26"/>
      <c r="D125" s="26"/>
      <c r="E125" s="26"/>
      <c r="F125" s="26"/>
      <c r="G125" s="26"/>
      <c r="H125" s="5"/>
    </row>
    <row r="126" spans="3:8" ht="14.25" customHeight="1">
      <c r="C126" s="26"/>
      <c r="D126" s="26"/>
      <c r="E126" s="26"/>
      <c r="F126" s="26"/>
      <c r="G126" s="26"/>
      <c r="H126" s="5"/>
    </row>
    <row r="127" spans="3:8" ht="14.25" customHeight="1">
      <c r="C127" s="26"/>
      <c r="D127" s="26"/>
      <c r="E127" s="26"/>
      <c r="F127" s="26"/>
      <c r="G127" s="26"/>
      <c r="H127" s="5"/>
    </row>
    <row r="128" spans="3:8" ht="14.25" customHeight="1">
      <c r="C128" s="26"/>
      <c r="D128" s="26"/>
      <c r="E128" s="26"/>
      <c r="F128" s="26"/>
      <c r="G128" s="26"/>
      <c r="H128" s="5"/>
    </row>
    <row r="129" spans="3:8" ht="14.25" customHeight="1">
      <c r="C129" s="26"/>
      <c r="D129" s="26"/>
      <c r="E129" s="26"/>
      <c r="F129" s="26"/>
      <c r="G129" s="26"/>
      <c r="H129" s="5"/>
    </row>
    <row r="130" spans="3:8" ht="14.25" customHeight="1">
      <c r="C130" s="26"/>
      <c r="D130" s="26"/>
      <c r="E130" s="26"/>
      <c r="F130" s="26"/>
      <c r="G130" s="26"/>
      <c r="H130" s="5"/>
    </row>
    <row r="131" spans="3:8" ht="14.25" customHeight="1">
      <c r="C131" s="26"/>
      <c r="D131" s="26"/>
      <c r="E131" s="26"/>
      <c r="F131" s="26"/>
      <c r="G131" s="26"/>
      <c r="H131" s="5"/>
    </row>
    <row r="132" spans="3:8" ht="14.25" customHeight="1">
      <c r="C132" s="26"/>
      <c r="D132" s="26"/>
      <c r="E132" s="26"/>
      <c r="F132" s="26"/>
      <c r="G132" s="26"/>
      <c r="H132" s="5"/>
    </row>
    <row r="133" spans="3:8" ht="14.25" customHeight="1">
      <c r="C133" s="26"/>
      <c r="D133" s="26"/>
      <c r="E133" s="26"/>
      <c r="F133" s="26"/>
      <c r="G133" s="26"/>
      <c r="H133" s="5"/>
    </row>
    <row r="134" spans="3:8" ht="14.25" customHeight="1">
      <c r="C134" s="26"/>
      <c r="D134" s="26"/>
      <c r="E134" s="26"/>
      <c r="F134" s="26"/>
      <c r="G134" s="26"/>
      <c r="H134" s="5"/>
    </row>
    <row r="135" spans="3:8" ht="14.25" customHeight="1">
      <c r="C135" s="26"/>
      <c r="D135" s="26"/>
      <c r="E135" s="26"/>
      <c r="F135" s="26"/>
      <c r="G135" s="26"/>
      <c r="H135" s="5"/>
    </row>
    <row r="136" spans="3:8" ht="14.25" customHeight="1">
      <c r="C136" s="26"/>
      <c r="D136" s="26"/>
      <c r="E136" s="26"/>
      <c r="F136" s="26"/>
      <c r="G136" s="26"/>
      <c r="H136" s="5"/>
    </row>
    <row r="137" spans="3:8" ht="14.25" customHeight="1">
      <c r="C137" s="26"/>
      <c r="D137" s="26"/>
      <c r="E137" s="26"/>
      <c r="F137" s="26"/>
      <c r="G137" s="26"/>
      <c r="H137" s="5"/>
    </row>
    <row r="138" spans="3:8" ht="14.25" customHeight="1">
      <c r="C138" s="26"/>
      <c r="D138" s="26"/>
      <c r="E138" s="26"/>
      <c r="F138" s="26"/>
      <c r="G138" s="26"/>
      <c r="H138" s="5"/>
    </row>
    <row r="139" spans="3:8" ht="14.25" customHeight="1">
      <c r="C139" s="26"/>
      <c r="D139" s="26"/>
      <c r="E139" s="26"/>
      <c r="F139" s="26"/>
      <c r="G139" s="26"/>
      <c r="H139" s="5"/>
    </row>
    <row r="140" spans="3:8" ht="14.25" customHeight="1">
      <c r="C140" s="26"/>
      <c r="D140" s="26"/>
      <c r="E140" s="26"/>
      <c r="F140" s="26"/>
      <c r="G140" s="26"/>
      <c r="H140" s="5"/>
    </row>
    <row r="141" spans="3:8" ht="14.25" customHeight="1">
      <c r="C141" s="26"/>
      <c r="D141" s="26"/>
      <c r="E141" s="26"/>
      <c r="F141" s="26"/>
      <c r="G141" s="26"/>
      <c r="H141" s="5"/>
    </row>
    <row r="142" spans="3:8" ht="14.25" customHeight="1">
      <c r="C142" s="26"/>
      <c r="D142" s="26"/>
      <c r="E142" s="26"/>
      <c r="F142" s="26"/>
      <c r="G142" s="26"/>
      <c r="H142" s="5"/>
    </row>
    <row r="143" spans="3:8" ht="14.25" customHeight="1">
      <c r="C143" s="26"/>
      <c r="D143" s="26"/>
      <c r="E143" s="26"/>
      <c r="F143" s="26"/>
      <c r="G143" s="26"/>
      <c r="H143" s="5"/>
    </row>
    <row r="144" spans="3:8" ht="14.25" customHeight="1">
      <c r="C144" s="26"/>
      <c r="D144" s="26"/>
      <c r="E144" s="26"/>
      <c r="F144" s="26"/>
      <c r="G144" s="26"/>
      <c r="H144" s="5"/>
    </row>
    <row r="145" spans="2:46" ht="14.25" customHeight="1">
      <c r="C145" s="26"/>
      <c r="D145" s="26"/>
      <c r="E145" s="26"/>
      <c r="F145" s="26"/>
      <c r="G145" s="26"/>
      <c r="H145" s="5"/>
    </row>
    <row r="146" spans="2:46" ht="14.25" customHeight="1">
      <c r="C146" s="26"/>
      <c r="D146" s="26"/>
      <c r="E146" s="26"/>
      <c r="F146" s="26"/>
      <c r="G146" s="26"/>
      <c r="H146" s="5"/>
    </row>
    <row r="147" spans="2:46" ht="14.25" customHeight="1">
      <c r="C147" s="26"/>
      <c r="D147" s="26"/>
      <c r="E147" s="26"/>
      <c r="F147" s="26"/>
      <c r="G147" s="26"/>
      <c r="H147" s="5"/>
    </row>
    <row r="148" spans="2:46" ht="14.25" customHeight="1">
      <c r="C148" s="26"/>
      <c r="D148" s="26"/>
      <c r="E148" s="26"/>
      <c r="F148" s="26"/>
      <c r="G148" s="26"/>
      <c r="H148" s="5"/>
    </row>
    <row r="149" spans="2:46" ht="14.25" customHeight="1">
      <c r="C149" s="26"/>
      <c r="D149" s="26"/>
      <c r="E149" s="26"/>
      <c r="F149" s="26"/>
      <c r="G149" s="26"/>
      <c r="H149" s="5"/>
    </row>
    <row r="150" spans="2:46" ht="14.25" customHeight="1">
      <c r="C150" s="26"/>
      <c r="D150" s="26"/>
      <c r="E150" s="26"/>
      <c r="F150" s="26"/>
      <c r="G150" s="26"/>
      <c r="H150" s="5"/>
    </row>
    <row r="151" spans="2:46" ht="14.25" customHeight="1">
      <c r="C151" s="26"/>
      <c r="D151" s="26"/>
      <c r="E151" s="26"/>
      <c r="F151" s="26"/>
      <c r="G151" s="26"/>
      <c r="H151" s="5"/>
    </row>
    <row r="152" spans="2:46" ht="14.25" customHeight="1">
      <c r="C152" s="26"/>
      <c r="D152" s="26"/>
      <c r="E152" s="26"/>
      <c r="F152" s="26"/>
      <c r="G152" s="26"/>
      <c r="H152" s="5"/>
    </row>
    <row r="153" spans="2:46" ht="14.25" customHeight="1">
      <c r="C153" s="26"/>
      <c r="D153" s="26"/>
      <c r="E153" s="26"/>
      <c r="F153" s="26"/>
      <c r="G153" s="26"/>
      <c r="H153" s="5"/>
    </row>
    <row r="154" spans="2:46" ht="14.25" customHeight="1">
      <c r="C154" s="26"/>
      <c r="D154" s="26"/>
      <c r="E154" s="26"/>
      <c r="F154" s="26"/>
      <c r="G154" s="26"/>
      <c r="H154" s="5"/>
    </row>
    <row r="155" spans="2:46" ht="14.25" customHeight="1">
      <c r="C155" s="26"/>
      <c r="D155" s="26"/>
      <c r="E155" s="26"/>
      <c r="F155" s="26"/>
      <c r="G155" s="26"/>
      <c r="H155" s="5"/>
    </row>
    <row r="156" spans="2:46" ht="14.25" customHeight="1">
      <c r="C156" s="26"/>
      <c r="D156" s="26"/>
      <c r="E156" s="26"/>
      <c r="F156" s="26"/>
      <c r="G156" s="26"/>
      <c r="H156" s="5"/>
    </row>
    <row r="157" spans="2:46" ht="14.25" customHeight="1">
      <c r="C157" s="26"/>
      <c r="D157" s="26"/>
      <c r="E157" s="26"/>
      <c r="F157" s="26"/>
      <c r="G157" s="26"/>
      <c r="H157" s="5"/>
    </row>
    <row r="158" spans="2:46" ht="14.25" customHeight="1">
      <c r="C158" s="26"/>
      <c r="D158" s="26"/>
      <c r="E158" s="26"/>
      <c r="F158" s="26"/>
      <c r="G158" s="26"/>
      <c r="H158" s="5"/>
    </row>
    <row r="159" spans="2:46" ht="14.25" customHeight="1">
      <c r="C159" s="26"/>
      <c r="D159" s="26"/>
      <c r="E159" s="26"/>
      <c r="F159" s="26"/>
      <c r="G159" s="26"/>
      <c r="H159" s="5"/>
    </row>
    <row r="160" spans="2:46" s="8" customFormat="1">
      <c r="B160" s="421" t="str">
        <f>TITLE!$C$10</f>
        <v>Полотна каркасно-щитові: ГЕОМЕТРІЯ</v>
      </c>
      <c r="C160" s="421"/>
      <c r="D160" s="422"/>
      <c r="E160" s="422"/>
      <c r="F160" s="122"/>
      <c r="G160" s="122"/>
      <c r="H160" s="122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419" t="str">
        <f>IF($C$1="ENG",CONCATENATE("up to: ",B88),CONCATENATE("вгору до: ",B88))</f>
        <v>вгору до: Полотна каркасно-щитові: КУПАВА</v>
      </c>
      <c r="T160" s="420"/>
      <c r="U160" s="420"/>
      <c r="V160" s="420"/>
      <c r="W160" s="420"/>
      <c r="AN160" s="291"/>
      <c r="AO160" s="291"/>
      <c r="AP160" s="291"/>
      <c r="AQ160" s="291"/>
      <c r="AR160" s="291"/>
      <c r="AS160" s="291"/>
      <c r="AT160" s="291"/>
    </row>
    <row r="161" spans="1:46" s="8" customFormat="1" ht="5.0999999999999996" customHeight="1">
      <c r="B161" s="121"/>
      <c r="C161" s="121"/>
      <c r="D161" s="9"/>
      <c r="E161" s="9"/>
      <c r="F161" s="9"/>
      <c r="G161" s="9"/>
      <c r="H161" s="10"/>
      <c r="T161" s="148"/>
      <c r="U161" s="148"/>
      <c r="V161" s="148"/>
      <c r="W161" s="148"/>
      <c r="AN161" s="291"/>
      <c r="AO161" s="291"/>
      <c r="AP161" s="291"/>
      <c r="AQ161" s="291"/>
      <c r="AR161" s="291"/>
      <c r="AS161" s="291"/>
      <c r="AT161" s="291"/>
    </row>
    <row r="162" spans="1:46" ht="12.75" customHeight="1">
      <c r="A162" s="8"/>
      <c r="B162" s="448" t="str">
        <f>IF($C$1="ENG","model","модель")</f>
        <v>модель</v>
      </c>
      <c r="C162" s="126" t="str">
        <f>IF($C$1="ENG","cover:","покриття:")</f>
        <v>покриття:</v>
      </c>
      <c r="D162" s="430" t="str">
        <f>IF($C$1="ENG","SIMPL / V-CELL","SIMPL / V-CELL")</f>
        <v>SIMPL / V-CELL</v>
      </c>
      <c r="E162" s="432"/>
      <c r="F162" s="430" t="str">
        <f>IF($C$1="ENG","UNI-MAT","UNI-MAT")</f>
        <v>UNI-MAT</v>
      </c>
      <c r="G162" s="432"/>
      <c r="H162" s="430" t="str">
        <f>IF($C$1="ENG","RESIST","RESIST")</f>
        <v>RESIST</v>
      </c>
      <c r="I162" s="432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</row>
    <row r="163" spans="1:46" ht="12.75" customHeight="1">
      <c r="A163" s="8"/>
      <c r="B163" s="449"/>
      <c r="C163" s="127" t="str">
        <f>IF($C$1="ENG","filling:","заповнення:")</f>
        <v>заповнення:</v>
      </c>
      <c r="D163" s="441" t="str">
        <f>IF($C$1="ENG","honeycomb core ","сотове заповнення")</f>
        <v>сотове заповнення</v>
      </c>
      <c r="E163" s="442"/>
      <c r="F163" s="441" t="str">
        <f>IF($C$1="ENG","honeycomb core ","сотове заповнення")</f>
        <v>сотове заповнення</v>
      </c>
      <c r="G163" s="442"/>
      <c r="H163" s="441" t="str">
        <f>IF($C$1="ENG","honeycomb core ","сотове заповнення")</f>
        <v>сотове заповнення</v>
      </c>
      <c r="I163" s="442"/>
      <c r="J163" s="47"/>
      <c r="K163" s="47"/>
      <c r="L163" s="48"/>
      <c r="M163" s="48"/>
      <c r="N163" s="48"/>
      <c r="O163" s="48"/>
      <c r="P163" s="48"/>
      <c r="Q163" s="48"/>
      <c r="R163" s="48"/>
      <c r="S163" s="48"/>
      <c r="T163" s="47"/>
      <c r="U163" s="47"/>
      <c r="V163" s="47"/>
      <c r="W163" s="47"/>
    </row>
    <row r="164" spans="1:46" ht="12.75" customHeight="1">
      <c r="A164" s="8"/>
      <c r="B164" s="450"/>
      <c r="C164" s="128" t="str">
        <f>IF($C$1="ENG","glazing:","скління:")</f>
        <v>скління:</v>
      </c>
      <c r="D164" s="424" t="str">
        <f>IF($C$1="ENG","Krizet","Кризет")</f>
        <v>Кризет</v>
      </c>
      <c r="E164" s="434"/>
      <c r="F164" s="424" t="str">
        <f>IF($C$1="ENG","Krizet","Кризет")</f>
        <v>Кризет</v>
      </c>
      <c r="G164" s="425"/>
      <c r="H164" s="424" t="str">
        <f>IF($C$1="ENG","Krizet","Кризет")</f>
        <v>Кризет</v>
      </c>
      <c r="I164" s="425"/>
      <c r="J164" s="47"/>
      <c r="K164" s="135"/>
      <c r="L164" s="48"/>
      <c r="M164" s="48"/>
      <c r="N164" s="48"/>
      <c r="O164" s="48"/>
      <c r="P164" s="48"/>
      <c r="Q164" s="48"/>
      <c r="R164" s="48"/>
      <c r="S164" s="48"/>
      <c r="T164" s="47"/>
      <c r="U164" s="47"/>
      <c r="V164" s="47"/>
      <c r="W164" s="135"/>
      <c r="AC164" s="1" t="str">
        <f>D162</f>
        <v>SIMPL / V-CELL</v>
      </c>
      <c r="AD164" s="1" t="str">
        <f>F162</f>
        <v>UNI-MAT</v>
      </c>
      <c r="AE164" s="1" t="str">
        <f>H162</f>
        <v>RESIST</v>
      </c>
    </row>
    <row r="165" spans="1:46" ht="35.1" customHeight="1">
      <c r="A165" s="8"/>
      <c r="B165" s="13" t="s">
        <v>19</v>
      </c>
      <c r="C165" s="14"/>
      <c r="D165" s="105">
        <f>IF(AC165="","",(1-$W$2)*(AC165/1.2))</f>
        <v>2958.3333333333335</v>
      </c>
      <c r="E165" s="67">
        <f>IF($W$5=0.2,D165*1.2,D165)/$W$4</f>
        <v>3550</v>
      </c>
      <c r="F165" s="105">
        <f>IF(AD165="","",(1-$W$2)*(AD165/1.2))</f>
        <v>3400</v>
      </c>
      <c r="G165" s="67">
        <f>IF($W$5=0.2,F165*1.2,F165)/$W$4</f>
        <v>4080</v>
      </c>
      <c r="H165" s="105">
        <f>IF(AE165="","",(1-$W$2)*(AE165/1.2))</f>
        <v>3633.3333333333335</v>
      </c>
      <c r="I165" s="67">
        <f>IF($W$5=0.2,H165*1.2,H165)/$W$4</f>
        <v>4360</v>
      </c>
      <c r="J165" s="28"/>
      <c r="K165" s="62"/>
      <c r="L165" s="263"/>
      <c r="M165" s="147"/>
      <c r="N165" s="263"/>
      <c r="O165" s="289"/>
      <c r="P165" s="263"/>
      <c r="Q165" s="147"/>
      <c r="R165" s="263"/>
      <c r="S165" s="289"/>
      <c r="T165" s="28"/>
      <c r="U165" s="62"/>
      <c r="V165" s="28"/>
      <c r="W165" s="62"/>
      <c r="X165" s="62"/>
      <c r="Y165" s="62"/>
      <c r="Z165" s="62"/>
      <c r="AA165" s="62"/>
      <c r="AB165" s="62"/>
      <c r="AC165" s="346">
        <v>3550</v>
      </c>
      <c r="AD165" s="346">
        <v>4080</v>
      </c>
      <c r="AE165" s="346">
        <v>4360</v>
      </c>
      <c r="AF165" s="301">
        <v>3550</v>
      </c>
      <c r="AG165" s="301">
        <f>AF165/AC165-1</f>
        <v>0</v>
      </c>
      <c r="AH165" s="301">
        <v>4080</v>
      </c>
      <c r="AI165" s="301">
        <f>AH165/AD165-1</f>
        <v>0</v>
      </c>
      <c r="AJ165" s="301">
        <v>4360</v>
      </c>
      <c r="AK165" s="301">
        <f>AJ165/AE165-1</f>
        <v>0</v>
      </c>
      <c r="AL165" s="301"/>
      <c r="AM165" s="348"/>
      <c r="AN165" s="323"/>
      <c r="AO165" s="348"/>
    </row>
    <row r="166" spans="1:46" ht="35.1" customHeight="1">
      <c r="A166" s="8"/>
      <c r="B166" s="16" t="s">
        <v>22</v>
      </c>
      <c r="C166" s="17"/>
      <c r="D166" s="106">
        <f>IF(AC166="","",(1-$W$2)*(AC166/1.2))</f>
        <v>3208.3333333333335</v>
      </c>
      <c r="E166" s="69">
        <f>IF($W$5=0.2,D166*1.2,D166)/$W$4</f>
        <v>3850</v>
      </c>
      <c r="F166" s="106">
        <f>IF(AD166="","",(1-$W$2)*(AD166/1.2))</f>
        <v>3700</v>
      </c>
      <c r="G166" s="69">
        <f>IF($W$5=0.2,F166*1.2,F166)/$W$4</f>
        <v>4440</v>
      </c>
      <c r="H166" s="106">
        <f>IF(AE166="","",(1-$W$2)*(AE166/1.2))</f>
        <v>3850</v>
      </c>
      <c r="I166" s="69">
        <f>IF($W$5=0.2,H166*1.2,H166)/$W$4</f>
        <v>4620</v>
      </c>
      <c r="J166" s="28"/>
      <c r="K166" s="62"/>
      <c r="L166" s="263"/>
      <c r="M166" s="147"/>
      <c r="N166" s="263"/>
      <c r="O166" s="289"/>
      <c r="P166" s="263"/>
      <c r="Q166" s="147"/>
      <c r="R166" s="263"/>
      <c r="S166" s="289"/>
      <c r="T166" s="28"/>
      <c r="U166" s="62"/>
      <c r="V166" s="28"/>
      <c r="W166" s="62"/>
      <c r="AC166" s="346">
        <v>3850</v>
      </c>
      <c r="AD166" s="346">
        <v>4440</v>
      </c>
      <c r="AE166" s="346">
        <v>4620</v>
      </c>
      <c r="AF166" s="301">
        <v>3850</v>
      </c>
      <c r="AG166" s="301">
        <f t="shared" ref="AG166:AG169" si="14">AF166/AC166-1</f>
        <v>0</v>
      </c>
      <c r="AH166" s="301">
        <v>4440</v>
      </c>
      <c r="AI166" s="301">
        <f t="shared" ref="AI166:AI169" si="15">AH166/AD166-1</f>
        <v>0</v>
      </c>
      <c r="AJ166" s="301">
        <v>4620</v>
      </c>
      <c r="AK166" s="301">
        <f t="shared" ref="AK166:AK169" si="16">AJ166/AE166-1</f>
        <v>0</v>
      </c>
      <c r="AL166" s="301"/>
      <c r="AM166" s="348"/>
      <c r="AN166" s="323"/>
      <c r="AO166" s="348"/>
    </row>
    <row r="167" spans="1:46" ht="35.1" customHeight="1">
      <c r="A167" s="8"/>
      <c r="B167" s="16" t="s">
        <v>23</v>
      </c>
      <c r="C167" s="17"/>
      <c r="D167" s="106">
        <f>IF(AC167="","",(1-$W$2)*(AC167/1.2))</f>
        <v>3208.3333333333335</v>
      </c>
      <c r="E167" s="69">
        <f>IF($W$5=0.2,D167*1.2,D167)/$W$4</f>
        <v>3850</v>
      </c>
      <c r="F167" s="106">
        <f>IF(AD167="","",(1-$W$2)*(AD167/1.2))</f>
        <v>3700</v>
      </c>
      <c r="G167" s="69">
        <f>IF($W$5=0.2,F167*1.2,F167)/$W$4</f>
        <v>4440</v>
      </c>
      <c r="H167" s="106">
        <f>IF(AE167="","",(1-$W$2)*(AE167/1.2))</f>
        <v>3850</v>
      </c>
      <c r="I167" s="69">
        <f>IF($W$5=0.2,H167*1.2,H167)/$W$4</f>
        <v>4620</v>
      </c>
      <c r="J167" s="28"/>
      <c r="K167" s="62"/>
      <c r="L167" s="263"/>
      <c r="M167" s="147"/>
      <c r="N167" s="263"/>
      <c r="O167" s="289"/>
      <c r="P167" s="263"/>
      <c r="Q167" s="147"/>
      <c r="R167" s="263"/>
      <c r="S167" s="289"/>
      <c r="T167" s="28"/>
      <c r="U167" s="62"/>
      <c r="V167" s="28"/>
      <c r="W167" s="62"/>
      <c r="AC167" s="346">
        <v>3850</v>
      </c>
      <c r="AD167" s="346">
        <v>4440</v>
      </c>
      <c r="AE167" s="346">
        <v>4620</v>
      </c>
      <c r="AF167" s="301">
        <v>3850</v>
      </c>
      <c r="AG167" s="301">
        <f t="shared" si="14"/>
        <v>0</v>
      </c>
      <c r="AH167" s="301">
        <v>4440</v>
      </c>
      <c r="AI167" s="301">
        <f t="shared" si="15"/>
        <v>0</v>
      </c>
      <c r="AJ167" s="301">
        <v>4620</v>
      </c>
      <c r="AK167" s="301">
        <f t="shared" si="16"/>
        <v>0</v>
      </c>
      <c r="AL167" s="301"/>
      <c r="AM167" s="348"/>
      <c r="AN167" s="323"/>
      <c r="AO167" s="348"/>
    </row>
    <row r="168" spans="1:46" ht="35.1" customHeight="1">
      <c r="A168" s="8"/>
      <c r="B168" s="16" t="s">
        <v>24</v>
      </c>
      <c r="C168" s="17"/>
      <c r="D168" s="106">
        <f>IF(AC168="","",(1-$W$2)*(AC168/1.2))</f>
        <v>3208.3333333333335</v>
      </c>
      <c r="E168" s="69">
        <f>IF($W$5=0.2,D168*1.2,D168)/$W$4</f>
        <v>3850</v>
      </c>
      <c r="F168" s="106">
        <f>IF(AD168="","",(1-$W$2)*(AD168/1.2))</f>
        <v>3700</v>
      </c>
      <c r="G168" s="69">
        <f>IF($W$5=0.2,F168*1.2,F168)/$W$4</f>
        <v>4440</v>
      </c>
      <c r="H168" s="106">
        <f>IF(AE168="","",(1-$W$2)*(AE168/1.2))</f>
        <v>3850</v>
      </c>
      <c r="I168" s="69">
        <f>IF($W$5=0.2,H168*1.2,H168)/$W$4</f>
        <v>4620</v>
      </c>
      <c r="J168" s="28"/>
      <c r="K168" s="62"/>
      <c r="L168" s="263"/>
      <c r="M168" s="147"/>
      <c r="N168" s="263"/>
      <c r="O168" s="289"/>
      <c r="P168" s="263"/>
      <c r="Q168" s="147"/>
      <c r="R168" s="263"/>
      <c r="S168" s="289"/>
      <c r="T168" s="28"/>
      <c r="U168" s="62"/>
      <c r="V168" s="28"/>
      <c r="W168" s="62"/>
      <c r="AC168" s="346">
        <v>3850</v>
      </c>
      <c r="AD168" s="346">
        <v>4440</v>
      </c>
      <c r="AE168" s="346">
        <v>4620</v>
      </c>
      <c r="AF168" s="301">
        <v>3850</v>
      </c>
      <c r="AG168" s="301">
        <f t="shared" si="14"/>
        <v>0</v>
      </c>
      <c r="AH168" s="301">
        <v>4440</v>
      </c>
      <c r="AI168" s="301">
        <f t="shared" si="15"/>
        <v>0</v>
      </c>
      <c r="AJ168" s="301">
        <v>4620</v>
      </c>
      <c r="AK168" s="301">
        <f t="shared" si="16"/>
        <v>0</v>
      </c>
      <c r="AL168" s="301"/>
      <c r="AM168" s="348"/>
      <c r="AN168" s="323"/>
      <c r="AO168" s="348"/>
    </row>
    <row r="169" spans="1:46" ht="35.1" customHeight="1">
      <c r="A169" s="8"/>
      <c r="B169" s="23" t="s">
        <v>25</v>
      </c>
      <c r="C169" s="24"/>
      <c r="D169" s="107">
        <f>IF(AC169="","",(1-$W$2)*(AC169/1.2))</f>
        <v>3208.3333333333335</v>
      </c>
      <c r="E169" s="72">
        <f>IF($W$5=0.2,D169*1.2,D169)/$W$4</f>
        <v>3850</v>
      </c>
      <c r="F169" s="107">
        <f>IF(AD169="","",(1-$W$2)*(AD169/1.2))</f>
        <v>3700</v>
      </c>
      <c r="G169" s="72">
        <f>IF($W$5=0.2,F169*1.2,F169)/$W$4</f>
        <v>4440</v>
      </c>
      <c r="H169" s="107">
        <f>IF(AE169="","",(1-$W$2)*(AE169/1.2))</f>
        <v>3850</v>
      </c>
      <c r="I169" s="72">
        <f>IF($W$5=0.2,H169*1.2,H169)/$W$4</f>
        <v>4620</v>
      </c>
      <c r="J169" s="28"/>
      <c r="K169" s="62"/>
      <c r="L169" s="263"/>
      <c r="M169" s="147"/>
      <c r="N169" s="263"/>
      <c r="O169" s="289"/>
      <c r="P169" s="263"/>
      <c r="Q169" s="147"/>
      <c r="R169" s="263"/>
      <c r="S169" s="289"/>
      <c r="T169" s="28"/>
      <c r="U169" s="62"/>
      <c r="V169" s="28"/>
      <c r="W169" s="62"/>
      <c r="AC169" s="346">
        <v>3850</v>
      </c>
      <c r="AD169" s="346">
        <v>4440</v>
      </c>
      <c r="AE169" s="346">
        <v>4620</v>
      </c>
      <c r="AF169" s="301">
        <v>3850</v>
      </c>
      <c r="AG169" s="301">
        <f t="shared" si="14"/>
        <v>0</v>
      </c>
      <c r="AH169" s="301">
        <v>4440</v>
      </c>
      <c r="AI169" s="301">
        <f t="shared" si="15"/>
        <v>0</v>
      </c>
      <c r="AJ169" s="301">
        <v>4620</v>
      </c>
      <c r="AK169" s="301">
        <f t="shared" si="16"/>
        <v>0</v>
      </c>
      <c r="AL169" s="301"/>
      <c r="AM169" s="348"/>
      <c r="AN169" s="323"/>
      <c r="AO169" s="348"/>
    </row>
    <row r="170" spans="1:46">
      <c r="C170" s="26"/>
      <c r="D170" s="26"/>
      <c r="E170" s="26"/>
      <c r="F170" s="26"/>
      <c r="G170" s="26"/>
      <c r="H170" s="63"/>
      <c r="I170" s="48"/>
      <c r="J170" s="48"/>
      <c r="K170" s="147"/>
      <c r="L170" s="48"/>
      <c r="M170" s="48"/>
      <c r="N170" s="48"/>
      <c r="O170" s="147"/>
      <c r="P170" s="48"/>
      <c r="Q170" s="48"/>
      <c r="R170" s="48"/>
      <c r="S170" s="147"/>
      <c r="T170" s="48"/>
      <c r="U170" s="62"/>
      <c r="V170" s="48"/>
      <c r="W170" s="48"/>
    </row>
    <row r="171" spans="1:46">
      <c r="B171" s="220" t="str">
        <f>IF($C$1="ENG","For additonal charge:","Послуги за додаткову плату:")</f>
        <v>Послуги за додаткову плату:</v>
      </c>
      <c r="C171" s="221"/>
      <c r="D171" s="221"/>
      <c r="E171" s="222"/>
      <c r="F171" s="26"/>
      <c r="G171" s="26"/>
      <c r="H171" s="10"/>
      <c r="I171" s="8"/>
    </row>
    <row r="172" spans="1:46" ht="5.0999999999999996" customHeight="1">
      <c r="B172" s="27"/>
      <c r="C172" s="26"/>
      <c r="D172" s="26"/>
      <c r="E172" s="26"/>
      <c r="F172" s="26"/>
      <c r="G172" s="26"/>
      <c r="H172" s="10"/>
      <c r="I172" s="8"/>
    </row>
    <row r="173" spans="1:46">
      <c r="B173" s="446" t="str">
        <f>IF($C$1="ENG","Ventilation sleeves (1 row)","вентиляційні віддушини (1ряд)")</f>
        <v>вентиляційні віддушини (1ряд)</v>
      </c>
      <c r="C173" s="447"/>
      <c r="D173" s="136">
        <f t="shared" ref="D173:D185" si="17">IF(AC173="","",(1-$W$2)*(AC173/1.2))</f>
        <v>208.33333333333334</v>
      </c>
      <c r="E173" s="67">
        <f>IF($W$5=0.2,D173*1.2,D173)/$W$4</f>
        <v>250</v>
      </c>
      <c r="F173" s="26"/>
      <c r="G173" s="26"/>
      <c r="AC173" s="310">
        <v>250</v>
      </c>
      <c r="AD173" s="301">
        <v>250</v>
      </c>
      <c r="AE173" s="301">
        <f t="shared" ref="AE173:AE185" si="18">AD173/AC173-1</f>
        <v>0</v>
      </c>
      <c r="AF173" s="301"/>
      <c r="AG173" s="301"/>
      <c r="AH173" s="301"/>
      <c r="AI173" s="301"/>
      <c r="AJ173" s="301"/>
      <c r="AK173" s="301"/>
      <c r="AL173" s="301"/>
    </row>
    <row r="174" spans="1:46">
      <c r="B174" s="446" t="str">
        <f>IF($C$1="ENG","Ventilation cut","вентиляційний підріз")</f>
        <v>вентиляційний підріз</v>
      </c>
      <c r="C174" s="447"/>
      <c r="D174" s="137">
        <f t="shared" si="17"/>
        <v>141.66666666666669</v>
      </c>
      <c r="E174" s="69">
        <f>IF($W$5=0.2,D174*1.2,D174)/$W$4</f>
        <v>170.00000000000003</v>
      </c>
      <c r="F174" s="26"/>
      <c r="G174" s="26"/>
      <c r="I174" s="62"/>
      <c r="J174" s="28"/>
      <c r="AC174" s="310">
        <v>170</v>
      </c>
      <c r="AD174" s="301">
        <v>170</v>
      </c>
      <c r="AE174" s="301">
        <f t="shared" si="18"/>
        <v>0</v>
      </c>
      <c r="AF174" s="301"/>
      <c r="AG174" s="301"/>
      <c r="AH174" s="301"/>
      <c r="AI174" s="301"/>
      <c r="AJ174" s="301"/>
      <c r="AK174" s="301"/>
      <c r="AL174" s="301"/>
    </row>
    <row r="175" spans="1:46">
      <c r="B175" s="446" t="str">
        <f>IF($C$1="ENG","third door hindge","третя завіса")</f>
        <v>третя завіса</v>
      </c>
      <c r="C175" s="447"/>
      <c r="D175" s="137">
        <f t="shared" si="17"/>
        <v>66.666666666666671</v>
      </c>
      <c r="E175" s="69">
        <f>IF($W$5=0.2,D175*1.2,D175)/$W$4</f>
        <v>80</v>
      </c>
      <c r="F175" s="26"/>
      <c r="G175" s="26"/>
      <c r="AC175" s="310">
        <v>80</v>
      </c>
      <c r="AD175" s="301">
        <v>80</v>
      </c>
      <c r="AE175" s="301">
        <f t="shared" si="18"/>
        <v>0</v>
      </c>
      <c r="AF175" s="301"/>
      <c r="AG175" s="301"/>
      <c r="AH175" s="301"/>
      <c r="AI175" s="301"/>
      <c r="AJ175" s="301"/>
      <c r="AK175" s="301"/>
      <c r="AL175" s="301"/>
    </row>
    <row r="176" spans="1:46">
      <c r="B176" s="439" t="str">
        <f>IF($C$1="ENG","glazing Satin / Wave","скло Сатин / Жалюзі")</f>
        <v>скло Сатин / Жалюзі</v>
      </c>
      <c r="C176" s="440"/>
      <c r="D176" s="137">
        <f t="shared" si="17"/>
        <v>283.33333333333337</v>
      </c>
      <c r="E176" s="69">
        <f>IF($W$5=0.2,D176*1.2,D176)/$W$4</f>
        <v>340.00000000000006</v>
      </c>
      <c r="F176" s="145"/>
      <c r="G176" s="145"/>
      <c r="AC176" s="310">
        <v>340</v>
      </c>
      <c r="AD176" s="301">
        <v>340</v>
      </c>
      <c r="AE176" s="301">
        <f t="shared" si="18"/>
        <v>0</v>
      </c>
      <c r="AF176" s="301"/>
      <c r="AG176" s="301"/>
      <c r="AH176" s="301"/>
      <c r="AI176" s="301"/>
      <c r="AJ176" s="301"/>
      <c r="AK176" s="301"/>
      <c r="AL176" s="301"/>
    </row>
    <row r="177" spans="2:38">
      <c r="B177" s="439" t="str">
        <f>IF($C$1="ENG","glazing Graphite / Bronze","скло Графіт / Бронза")</f>
        <v>скло Графіт / Бронза</v>
      </c>
      <c r="C177" s="440"/>
      <c r="D177" s="137">
        <f>IF(AC177="","",(1-$W$2)*(AC177/1.2))</f>
        <v>458.33333333333337</v>
      </c>
      <c r="E177" s="69">
        <f>IF($W$5=0.2,D177*1.2,D177)/$W$4</f>
        <v>550</v>
      </c>
      <c r="F177" s="145"/>
      <c r="G177" s="145"/>
      <c r="AC177" s="310">
        <v>550</v>
      </c>
      <c r="AD177" s="301">
        <v>550</v>
      </c>
      <c r="AE177" s="301">
        <f t="shared" si="18"/>
        <v>0</v>
      </c>
      <c r="AF177" s="301"/>
      <c r="AG177" s="301"/>
      <c r="AH177" s="301"/>
      <c r="AI177" s="301"/>
      <c r="AJ177" s="301"/>
      <c r="AK177" s="301"/>
      <c r="AL177" s="301"/>
    </row>
    <row r="178" spans="2:38">
      <c r="B178" s="439" t="str">
        <f>IF($C$1="ENG","door lock Soft","замок Soft")</f>
        <v>замок Soft</v>
      </c>
      <c r="C178" s="440"/>
      <c r="D178" s="106">
        <f t="shared" si="17"/>
        <v>458.33333333333337</v>
      </c>
      <c r="E178" s="97">
        <f t="shared" ref="E178:E183" si="19">IF($W$5=0.2,D178*1.2,D178)/$W$4</f>
        <v>550</v>
      </c>
      <c r="F178" s="26"/>
      <c r="G178" s="26"/>
      <c r="H178" s="5"/>
      <c r="AC178" s="310">
        <v>550</v>
      </c>
      <c r="AD178" s="301">
        <v>550</v>
      </c>
      <c r="AE178" s="301">
        <f t="shared" si="18"/>
        <v>0</v>
      </c>
      <c r="AF178" s="301"/>
      <c r="AG178" s="301"/>
      <c r="AH178" s="301"/>
      <c r="AI178" s="301"/>
      <c r="AJ178" s="301"/>
      <c r="AK178" s="301"/>
      <c r="AL178" s="301"/>
    </row>
    <row r="179" spans="2:38">
      <c r="B179" s="439" t="str">
        <f>IF($C$1="ENG","door lock Magnet","замок Magnet")</f>
        <v>замок Magnet</v>
      </c>
      <c r="C179" s="440"/>
      <c r="D179" s="106">
        <f t="shared" si="17"/>
        <v>666.66666666666674</v>
      </c>
      <c r="E179" s="97">
        <f t="shared" si="19"/>
        <v>800.00000000000011</v>
      </c>
      <c r="F179" s="26"/>
      <c r="G179" s="26"/>
      <c r="H179" s="5"/>
      <c r="AC179" s="310">
        <v>800</v>
      </c>
      <c r="AD179" s="301">
        <v>800</v>
      </c>
      <c r="AE179" s="301">
        <f t="shared" si="18"/>
        <v>0</v>
      </c>
      <c r="AF179" s="301"/>
      <c r="AG179" s="301"/>
      <c r="AH179" s="301"/>
      <c r="AI179" s="301"/>
      <c r="AJ179" s="301"/>
      <c r="AK179" s="301"/>
      <c r="AL179" s="301"/>
    </row>
    <row r="180" spans="2:38">
      <c r="B180" s="439" t="str">
        <f>IF($C$1="ENG","door handle-lock (for sliding doors)","ручка-замок (для дверей купе)")</f>
        <v>ручка-замок (для дверей купе)</v>
      </c>
      <c r="C180" s="440"/>
      <c r="D180" s="137">
        <f t="shared" si="17"/>
        <v>466.66666666666669</v>
      </c>
      <c r="E180" s="69">
        <f t="shared" si="19"/>
        <v>560</v>
      </c>
      <c r="F180" s="26"/>
      <c r="G180" s="26"/>
      <c r="I180" s="30"/>
      <c r="K180" s="30"/>
      <c r="AC180" s="310">
        <v>560</v>
      </c>
      <c r="AD180" s="301">
        <v>560</v>
      </c>
      <c r="AE180" s="301">
        <f t="shared" si="18"/>
        <v>0</v>
      </c>
      <c r="AF180" s="301"/>
      <c r="AG180" s="301"/>
      <c r="AH180" s="301"/>
      <c r="AI180" s="301"/>
      <c r="AJ180" s="301"/>
      <c r="AK180" s="301"/>
      <c r="AL180" s="301"/>
    </row>
    <row r="181" spans="2:38">
      <c r="B181" s="439" t="str">
        <f>IF($C$1="ENG","cylinder incert","циліндр несиметричний")</f>
        <v>циліндр несиметричний</v>
      </c>
      <c r="C181" s="440"/>
      <c r="D181" s="137">
        <f t="shared" si="17"/>
        <v>325</v>
      </c>
      <c r="E181" s="69">
        <f t="shared" si="19"/>
        <v>390</v>
      </c>
      <c r="F181" s="26"/>
      <c r="G181" s="26"/>
      <c r="AC181" s="310">
        <v>390</v>
      </c>
      <c r="AD181" s="301">
        <v>390</v>
      </c>
      <c r="AE181" s="301">
        <f t="shared" si="18"/>
        <v>0</v>
      </c>
      <c r="AF181" s="301"/>
      <c r="AG181" s="301"/>
      <c r="AH181" s="301"/>
      <c r="AI181" s="301"/>
      <c r="AJ181" s="301"/>
      <c r="AK181" s="301"/>
      <c r="AL181" s="301"/>
    </row>
    <row r="182" spans="2:38">
      <c r="B182" s="439" t="str">
        <f>IF($C$1="ENG","door hindge Prestige (1 unit)","завіса Prestige (1 шт)")</f>
        <v>завіса Prestige (1 шт)</v>
      </c>
      <c r="C182" s="440"/>
      <c r="D182" s="139">
        <f t="shared" si="17"/>
        <v>216.66666666666669</v>
      </c>
      <c r="E182" s="69">
        <f t="shared" si="19"/>
        <v>260</v>
      </c>
      <c r="F182" s="26"/>
      <c r="G182" s="26"/>
      <c r="AC182" s="310">
        <v>260</v>
      </c>
      <c r="AD182" s="301">
        <v>260</v>
      </c>
      <c r="AE182" s="301">
        <f t="shared" si="18"/>
        <v>0</v>
      </c>
      <c r="AF182" s="301"/>
      <c r="AG182" s="301"/>
      <c r="AH182" s="301"/>
      <c r="AI182" s="301"/>
      <c r="AJ182" s="301"/>
      <c r="AK182" s="301"/>
      <c r="AL182" s="301"/>
    </row>
    <row r="183" spans="2:38">
      <c r="B183" s="439" t="str">
        <f>IF($C$1="ENG","door hinge caps (1 set)","накладка на завіси (1 к-т)")</f>
        <v>накладка на завіси (1 к-т)</v>
      </c>
      <c r="C183" s="440"/>
      <c r="D183" s="139">
        <f t="shared" si="17"/>
        <v>66.666666666666671</v>
      </c>
      <c r="E183" s="69">
        <f t="shared" si="19"/>
        <v>80</v>
      </c>
      <c r="F183" s="26"/>
      <c r="G183" s="26"/>
      <c r="AC183" s="310">
        <v>80</v>
      </c>
      <c r="AD183" s="301">
        <v>80</v>
      </c>
      <c r="AE183" s="301">
        <f t="shared" si="18"/>
        <v>0</v>
      </c>
      <c r="AF183" s="301"/>
      <c r="AG183" s="301"/>
      <c r="AH183" s="301"/>
      <c r="AI183" s="301"/>
      <c r="AJ183" s="301"/>
      <c r="AK183" s="301"/>
      <c r="AL183" s="301"/>
    </row>
    <row r="184" spans="2:38">
      <c r="B184" s="439" t="str">
        <f>IF($C$1="ENG","door handle","дверна ручка")</f>
        <v>дверна ручка</v>
      </c>
      <c r="C184" s="440"/>
      <c r="D184" s="137">
        <f t="shared" si="17"/>
        <v>0</v>
      </c>
      <c r="E184" s="140" t="str">
        <f>IF($C$1="ENG","see Handles Price","див. Таблицю Ручки")</f>
        <v>див. Таблицю Ручки</v>
      </c>
      <c r="F184" s="26"/>
      <c r="G184" s="26"/>
      <c r="AC184" s="310">
        <v>0</v>
      </c>
      <c r="AD184" s="301">
        <f t="shared" ref="AD174:AD185" si="20">AC184/100*13+AC184</f>
        <v>0</v>
      </c>
      <c r="AE184" s="301" t="e">
        <f t="shared" si="18"/>
        <v>#DIV/0!</v>
      </c>
      <c r="AF184" s="301"/>
      <c r="AG184" s="301"/>
      <c r="AH184" s="301"/>
      <c r="AI184" s="301"/>
      <c r="AJ184" s="301"/>
      <c r="AK184" s="301"/>
      <c r="AL184" s="301"/>
    </row>
    <row r="185" spans="2:38">
      <c r="B185" s="439" t="str">
        <f>IF($C$1="ENG","perforated chipboard","ДСП трубчасте")</f>
        <v>ДСП трубчасте</v>
      </c>
      <c r="C185" s="440"/>
      <c r="D185" s="138">
        <f t="shared" si="17"/>
        <v>1083.3333333333335</v>
      </c>
      <c r="E185" s="72">
        <f>IF($W$5=0.2,D185*1.2,D185)/$W$4</f>
        <v>1300.0000000000002</v>
      </c>
      <c r="F185" s="26"/>
      <c r="G185" s="26"/>
      <c r="AC185" s="310">
        <v>1300</v>
      </c>
      <c r="AD185" s="301">
        <v>1300</v>
      </c>
      <c r="AE185" s="301">
        <f t="shared" si="18"/>
        <v>0</v>
      </c>
      <c r="AF185" s="301"/>
      <c r="AG185" s="301"/>
      <c r="AH185" s="301"/>
      <c r="AI185" s="301"/>
      <c r="AJ185" s="301"/>
      <c r="AK185" s="301"/>
      <c r="AL185" s="301"/>
    </row>
    <row r="186" spans="2:38" ht="14.25" customHeight="1">
      <c r="C186" s="26"/>
      <c r="D186" s="26"/>
      <c r="E186" s="26"/>
      <c r="F186" s="26"/>
      <c r="G186" s="26"/>
      <c r="H186" s="5"/>
      <c r="S186" s="412"/>
      <c r="T186" s="460" t="str">
        <f>IF($C$1="ENG",CONCATENATE("down to: ",B285),CONCATENATE("вниз до: ",B285))</f>
        <v>вниз до: Полотна каркасно-щитові: ІДЕЯ</v>
      </c>
      <c r="U186" s="460"/>
      <c r="V186" s="460"/>
      <c r="W186" s="460"/>
    </row>
    <row r="187" spans="2:38" ht="14.25" customHeight="1">
      <c r="C187" s="26"/>
      <c r="D187" s="26"/>
      <c r="E187" s="26"/>
      <c r="F187" s="26"/>
      <c r="G187" s="26"/>
      <c r="H187" s="5"/>
      <c r="L187" s="108"/>
      <c r="N187" s="108"/>
      <c r="O187" s="20"/>
      <c r="P187" s="108"/>
      <c r="R187" s="108"/>
      <c r="S187" s="20"/>
    </row>
    <row r="188" spans="2:38" ht="14.25" customHeight="1">
      <c r="C188" s="26"/>
      <c r="D188" s="26"/>
      <c r="E188" s="26"/>
      <c r="F188" s="26"/>
      <c r="G188" s="26"/>
      <c r="H188" s="5"/>
      <c r="L188" s="108"/>
      <c r="N188" s="108"/>
      <c r="O188" s="20"/>
      <c r="P188" s="108"/>
      <c r="R188" s="108"/>
      <c r="S188" s="20"/>
      <c r="T188" s="108"/>
      <c r="V188" s="108"/>
      <c r="W188" s="20"/>
    </row>
    <row r="189" spans="2:38" ht="14.25" customHeight="1">
      <c r="C189" s="26"/>
      <c r="D189" s="26"/>
      <c r="E189" s="26"/>
      <c r="F189" s="26"/>
      <c r="G189" s="26"/>
      <c r="H189" s="5"/>
      <c r="L189" s="108"/>
      <c r="N189" s="108"/>
      <c r="O189" s="20"/>
      <c r="P189" s="108"/>
      <c r="R189" s="108"/>
      <c r="S189" s="20"/>
      <c r="T189" s="108"/>
      <c r="V189" s="108"/>
      <c r="W189" s="20"/>
    </row>
    <row r="190" spans="2:38" ht="14.25" customHeight="1">
      <c r="C190" s="26"/>
      <c r="D190" s="26"/>
      <c r="E190" s="26"/>
      <c r="F190" s="26"/>
      <c r="G190" s="26"/>
      <c r="H190" s="5"/>
      <c r="L190" s="108"/>
      <c r="N190" s="108"/>
      <c r="O190" s="20"/>
      <c r="P190" s="108"/>
      <c r="R190" s="108"/>
      <c r="S190" s="20"/>
      <c r="T190" s="108"/>
      <c r="V190" s="108"/>
      <c r="W190" s="20"/>
    </row>
    <row r="191" spans="2:38" ht="14.25" customHeight="1">
      <c r="C191" s="26"/>
      <c r="D191" s="26"/>
      <c r="E191" s="26"/>
      <c r="F191" s="26"/>
      <c r="G191" s="26"/>
      <c r="H191" s="5"/>
      <c r="L191" s="108"/>
      <c r="N191" s="108"/>
      <c r="O191" s="20"/>
      <c r="P191" s="108"/>
      <c r="R191" s="108"/>
      <c r="S191" s="20"/>
      <c r="T191" s="108"/>
      <c r="V191" s="108"/>
      <c r="W191" s="20"/>
    </row>
    <row r="192" spans="2:38" ht="14.25" customHeight="1">
      <c r="C192" s="26"/>
      <c r="D192" s="26"/>
      <c r="E192" s="26"/>
      <c r="F192" s="26"/>
      <c r="G192" s="26"/>
      <c r="H192" s="5"/>
      <c r="L192" s="108"/>
      <c r="N192" s="108"/>
      <c r="O192" s="20"/>
      <c r="P192" s="108"/>
      <c r="R192" s="108"/>
      <c r="S192" s="20"/>
      <c r="T192" s="108"/>
      <c r="V192" s="108"/>
      <c r="W192" s="20"/>
    </row>
    <row r="193" spans="3:23" ht="14.25" customHeight="1">
      <c r="C193" s="26"/>
      <c r="D193" s="26"/>
      <c r="E193" s="26"/>
      <c r="F193" s="26"/>
      <c r="G193" s="26"/>
      <c r="H193" s="5"/>
      <c r="L193" s="108"/>
      <c r="N193" s="108"/>
      <c r="O193" s="20"/>
      <c r="P193" s="108"/>
      <c r="R193" s="108"/>
      <c r="S193" s="20"/>
      <c r="T193" s="108"/>
      <c r="V193" s="108"/>
      <c r="W193" s="20"/>
    </row>
    <row r="194" spans="3:23" ht="14.25" customHeight="1">
      <c r="C194" s="26"/>
      <c r="D194" s="26"/>
      <c r="E194" s="26"/>
      <c r="F194" s="26"/>
      <c r="G194" s="26"/>
      <c r="H194" s="5"/>
      <c r="L194" s="108"/>
      <c r="N194" s="108"/>
      <c r="O194" s="20"/>
      <c r="P194" s="108"/>
      <c r="R194" s="108"/>
      <c r="S194" s="20"/>
      <c r="T194" s="108"/>
      <c r="V194" s="108"/>
      <c r="W194" s="20"/>
    </row>
    <row r="195" spans="3:23" ht="14.25" customHeight="1">
      <c r="C195" s="26"/>
      <c r="D195" s="26"/>
      <c r="E195" s="26"/>
      <c r="F195" s="26"/>
      <c r="G195" s="26"/>
      <c r="H195" s="5"/>
    </row>
    <row r="196" spans="3:23" ht="14.25" customHeight="1">
      <c r="C196" s="26"/>
      <c r="D196" s="26"/>
      <c r="E196" s="26"/>
      <c r="F196" s="26"/>
      <c r="G196" s="26"/>
      <c r="H196" s="5"/>
    </row>
    <row r="197" spans="3:23" ht="14.25" customHeight="1">
      <c r="C197" s="26"/>
      <c r="D197" s="26"/>
      <c r="E197" s="26"/>
      <c r="F197" s="26"/>
      <c r="G197" s="26"/>
      <c r="H197" s="5"/>
    </row>
    <row r="198" spans="3:23" ht="14.25" customHeight="1">
      <c r="C198" s="26"/>
      <c r="D198" s="26"/>
      <c r="E198" s="26"/>
      <c r="F198" s="26"/>
      <c r="G198" s="26"/>
      <c r="H198" s="5"/>
    </row>
    <row r="199" spans="3:23" ht="14.25" customHeight="1">
      <c r="C199" s="26"/>
      <c r="D199" s="26"/>
      <c r="E199" s="26"/>
      <c r="F199" s="26"/>
      <c r="G199" s="26"/>
      <c r="H199" s="5"/>
    </row>
    <row r="200" spans="3:23" ht="14.25" customHeight="1">
      <c r="C200" s="26"/>
      <c r="D200" s="26"/>
      <c r="E200" s="26"/>
      <c r="F200" s="26"/>
      <c r="G200" s="26"/>
      <c r="H200" s="5"/>
    </row>
    <row r="201" spans="3:23" ht="14.25" customHeight="1">
      <c r="C201" s="26"/>
      <c r="D201" s="26"/>
      <c r="E201" s="26"/>
      <c r="F201" s="26"/>
      <c r="G201" s="26"/>
      <c r="H201" s="5"/>
    </row>
    <row r="202" spans="3:23" ht="14.25" customHeight="1">
      <c r="C202" s="26"/>
      <c r="D202" s="26"/>
      <c r="E202" s="26"/>
      <c r="F202" s="26"/>
      <c r="G202" s="26"/>
      <c r="H202" s="5"/>
    </row>
    <row r="203" spans="3:23" ht="14.25" customHeight="1">
      <c r="C203" s="26"/>
      <c r="D203" s="26"/>
      <c r="E203" s="26"/>
      <c r="F203" s="26"/>
      <c r="G203" s="26"/>
      <c r="H203" s="5"/>
    </row>
    <row r="204" spans="3:23" ht="14.25" customHeight="1">
      <c r="C204" s="26"/>
      <c r="D204" s="26"/>
      <c r="E204" s="26"/>
      <c r="F204" s="26"/>
      <c r="G204" s="26"/>
      <c r="H204" s="5"/>
    </row>
    <row r="205" spans="3:23" ht="14.25" customHeight="1">
      <c r="C205" s="26"/>
      <c r="D205" s="26"/>
      <c r="E205" s="26"/>
      <c r="F205" s="26"/>
      <c r="G205" s="26"/>
      <c r="H205" s="5"/>
    </row>
    <row r="206" spans="3:23" ht="14.25" customHeight="1">
      <c r="C206" s="26"/>
      <c r="D206" s="26"/>
      <c r="E206" s="26"/>
      <c r="F206" s="26"/>
      <c r="G206" s="26"/>
      <c r="H206" s="5"/>
    </row>
    <row r="207" spans="3:23" ht="14.25" customHeight="1">
      <c r="C207" s="26"/>
      <c r="D207" s="26"/>
      <c r="E207" s="26"/>
      <c r="F207" s="26"/>
      <c r="G207" s="26"/>
      <c r="H207" s="5"/>
    </row>
    <row r="208" spans="3:23" ht="14.25" customHeight="1">
      <c r="C208" s="26"/>
      <c r="D208" s="26"/>
      <c r="E208" s="26"/>
      <c r="F208" s="26"/>
      <c r="G208" s="26"/>
      <c r="H208" s="5"/>
    </row>
    <row r="209" spans="3:8" ht="14.25" customHeight="1">
      <c r="C209" s="26"/>
      <c r="D209" s="26"/>
      <c r="E209" s="26"/>
      <c r="F209" s="26"/>
      <c r="G209" s="26"/>
      <c r="H209" s="5"/>
    </row>
    <row r="210" spans="3:8" ht="14.25" customHeight="1">
      <c r="C210" s="26"/>
      <c r="D210" s="26"/>
      <c r="E210" s="26"/>
      <c r="F210" s="26"/>
      <c r="G210" s="26"/>
      <c r="H210" s="5"/>
    </row>
    <row r="211" spans="3:8" ht="14.25" customHeight="1">
      <c r="C211" s="26"/>
      <c r="D211" s="26"/>
      <c r="E211" s="26"/>
      <c r="F211" s="26"/>
      <c r="G211" s="26"/>
      <c r="H211" s="5"/>
    </row>
    <row r="212" spans="3:8" ht="14.25" customHeight="1">
      <c r="C212" s="26"/>
      <c r="D212" s="26"/>
      <c r="E212" s="26"/>
      <c r="F212" s="26"/>
      <c r="G212" s="26"/>
      <c r="H212" s="5"/>
    </row>
    <row r="213" spans="3:8" ht="14.25" customHeight="1">
      <c r="C213" s="26"/>
      <c r="D213" s="26"/>
      <c r="E213" s="26"/>
      <c r="F213" s="26"/>
      <c r="G213" s="26"/>
      <c r="H213" s="5"/>
    </row>
    <row r="214" spans="3:8" ht="14.25" customHeight="1">
      <c r="C214" s="26"/>
      <c r="D214" s="26"/>
      <c r="E214" s="26"/>
      <c r="F214" s="26"/>
      <c r="G214" s="26"/>
      <c r="H214" s="5"/>
    </row>
    <row r="215" spans="3:8" ht="14.25" customHeight="1">
      <c r="C215" s="26"/>
      <c r="D215" s="26"/>
      <c r="E215" s="26"/>
      <c r="F215" s="26"/>
      <c r="G215" s="26"/>
      <c r="H215" s="5"/>
    </row>
    <row r="216" spans="3:8" ht="14.25" customHeight="1">
      <c r="C216" s="26"/>
      <c r="D216" s="26"/>
      <c r="E216" s="26"/>
      <c r="F216" s="26"/>
      <c r="G216" s="26"/>
      <c r="H216" s="5"/>
    </row>
    <row r="217" spans="3:8" ht="14.25" customHeight="1">
      <c r="C217" s="26"/>
      <c r="D217" s="26"/>
      <c r="E217" s="26"/>
      <c r="F217" s="26"/>
      <c r="G217" s="26"/>
      <c r="H217" s="5"/>
    </row>
    <row r="218" spans="3:8" ht="14.25" customHeight="1">
      <c r="C218" s="26"/>
      <c r="D218" s="26"/>
      <c r="E218" s="26"/>
      <c r="F218" s="26"/>
      <c r="G218" s="26"/>
      <c r="H218" s="5"/>
    </row>
    <row r="219" spans="3:8" ht="14.25" customHeight="1">
      <c r="C219" s="26"/>
      <c r="D219" s="26"/>
      <c r="E219" s="26"/>
      <c r="F219" s="26"/>
      <c r="G219" s="26"/>
      <c r="H219" s="5"/>
    </row>
    <row r="220" spans="3:8" ht="14.25" customHeight="1">
      <c r="C220" s="26"/>
      <c r="D220" s="26"/>
      <c r="E220" s="26"/>
      <c r="F220" s="26"/>
      <c r="G220" s="26"/>
      <c r="H220" s="5"/>
    </row>
    <row r="221" spans="3:8" ht="14.25" customHeight="1">
      <c r="C221" s="26"/>
      <c r="D221" s="26"/>
      <c r="E221" s="26"/>
      <c r="F221" s="26"/>
      <c r="G221" s="26"/>
      <c r="H221" s="5"/>
    </row>
    <row r="222" spans="3:8" ht="14.25" customHeight="1">
      <c r="C222" s="26"/>
      <c r="D222" s="26"/>
      <c r="E222" s="26"/>
      <c r="F222" s="26"/>
      <c r="G222" s="26"/>
      <c r="H222" s="5"/>
    </row>
    <row r="223" spans="3:8" ht="14.25" customHeight="1">
      <c r="C223" s="26"/>
      <c r="D223" s="26"/>
      <c r="E223" s="26"/>
      <c r="F223" s="26"/>
      <c r="G223" s="26"/>
      <c r="H223" s="5"/>
    </row>
    <row r="224" spans="3:8" ht="14.25" customHeight="1">
      <c r="C224" s="26"/>
      <c r="D224" s="26"/>
      <c r="E224" s="26"/>
      <c r="F224" s="26"/>
      <c r="G224" s="26"/>
      <c r="H224" s="5"/>
    </row>
    <row r="225" spans="2:19" ht="14.25" customHeight="1">
      <c r="C225" s="26"/>
      <c r="D225" s="26"/>
      <c r="E225" s="26"/>
      <c r="F225" s="26"/>
      <c r="G225" s="26"/>
      <c r="H225" s="5"/>
    </row>
    <row r="226" spans="2:19" ht="14.25" customHeight="1">
      <c r="C226" s="26"/>
      <c r="D226" s="26"/>
      <c r="E226" s="26"/>
      <c r="F226" s="26"/>
      <c r="G226" s="26"/>
      <c r="H226" s="5"/>
    </row>
    <row r="227" spans="2:19" ht="14.25" customHeight="1">
      <c r="C227" s="26"/>
      <c r="D227" s="26"/>
      <c r="E227" s="26"/>
      <c r="F227" s="26"/>
      <c r="G227" s="26"/>
      <c r="H227" s="5"/>
    </row>
    <row r="228" spans="2:19" ht="14.25" customHeight="1">
      <c r="C228" s="26"/>
      <c r="D228" s="26"/>
      <c r="E228" s="26"/>
      <c r="F228" s="26"/>
      <c r="G228" s="26"/>
      <c r="H228" s="5"/>
    </row>
    <row r="229" spans="2:19" ht="14.25" customHeight="1">
      <c r="C229" s="26"/>
      <c r="D229" s="26"/>
      <c r="E229" s="26"/>
      <c r="F229" s="26"/>
      <c r="G229" s="26"/>
      <c r="H229" s="5"/>
    </row>
    <row r="230" spans="2:19" ht="14.25" customHeight="1">
      <c r="C230" s="26"/>
      <c r="D230" s="26"/>
      <c r="E230" s="26"/>
      <c r="F230" s="26"/>
      <c r="G230" s="26"/>
      <c r="H230" s="5"/>
    </row>
    <row r="231" spans="2:19" ht="14.25" customHeight="1">
      <c r="C231" s="26"/>
      <c r="D231" s="26"/>
      <c r="E231" s="26"/>
      <c r="F231" s="26"/>
      <c r="G231" s="26"/>
      <c r="H231" s="5"/>
    </row>
    <row r="232" spans="2:19" ht="14.25" customHeight="1">
      <c r="C232" s="26"/>
      <c r="D232" s="26"/>
      <c r="E232" s="26"/>
      <c r="F232" s="26"/>
      <c r="G232" s="26"/>
      <c r="H232" s="5"/>
    </row>
    <row r="233" spans="2:19" ht="14.25" customHeight="1">
      <c r="C233" s="26"/>
      <c r="D233" s="26"/>
      <c r="E233" s="26"/>
      <c r="F233" s="26"/>
      <c r="G233" s="26"/>
      <c r="H233" s="5"/>
    </row>
    <row r="234" spans="2:19" ht="14.25" customHeight="1">
      <c r="C234" s="26"/>
      <c r="D234" s="26"/>
      <c r="E234" s="26"/>
      <c r="F234" s="26"/>
      <c r="G234" s="26"/>
      <c r="H234" s="5"/>
    </row>
    <row r="235" spans="2:19" ht="14.25" customHeight="1">
      <c r="B235" s="32"/>
      <c r="C235" s="36"/>
      <c r="D235" s="36"/>
      <c r="E235" s="36"/>
      <c r="F235" s="36"/>
      <c r="G235" s="36"/>
      <c r="H235" s="37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</row>
    <row r="236" spans="2:19" ht="14.25" customHeight="1">
      <c r="C236" s="26"/>
      <c r="D236" s="26"/>
      <c r="E236" s="26"/>
      <c r="F236" s="26"/>
      <c r="G236" s="26"/>
      <c r="H236" s="5"/>
    </row>
    <row r="237" spans="2:19" ht="14.25" customHeight="1">
      <c r="C237" s="26"/>
      <c r="D237" s="26"/>
      <c r="E237" s="26"/>
      <c r="F237" s="26"/>
      <c r="G237" s="26"/>
      <c r="H237" s="5"/>
    </row>
    <row r="238" spans="2:19" ht="14.25" customHeight="1">
      <c r="C238" s="26"/>
      <c r="D238" s="26"/>
      <c r="E238" s="26"/>
      <c r="F238" s="26"/>
      <c r="G238" s="26"/>
      <c r="H238" s="5"/>
    </row>
    <row r="239" spans="2:19" ht="14.25" customHeight="1">
      <c r="C239" s="26"/>
      <c r="D239" s="26"/>
      <c r="E239" s="26"/>
      <c r="F239" s="26"/>
      <c r="G239" s="26"/>
      <c r="H239" s="5"/>
    </row>
    <row r="240" spans="2:19" ht="14.25" customHeight="1">
      <c r="C240" s="26"/>
      <c r="D240" s="26"/>
      <c r="E240" s="26"/>
      <c r="F240" s="26"/>
      <c r="G240" s="26"/>
      <c r="H240" s="5"/>
    </row>
    <row r="241" spans="3:8" ht="14.25" customHeight="1">
      <c r="C241" s="26"/>
      <c r="D241" s="26"/>
      <c r="E241" s="26"/>
      <c r="F241" s="26"/>
      <c r="G241" s="26"/>
      <c r="H241" s="5"/>
    </row>
    <row r="242" spans="3:8" ht="14.25" customHeight="1">
      <c r="C242" s="26"/>
      <c r="D242" s="26"/>
      <c r="E242" s="26"/>
      <c r="F242" s="26"/>
      <c r="G242" s="26"/>
      <c r="H242" s="5"/>
    </row>
    <row r="243" spans="3:8" ht="14.25" customHeight="1">
      <c r="C243" s="26"/>
      <c r="D243" s="26"/>
      <c r="E243" s="26"/>
      <c r="F243" s="26"/>
      <c r="G243" s="26"/>
      <c r="H243" s="5"/>
    </row>
    <row r="244" spans="3:8" ht="14.25" customHeight="1">
      <c r="C244" s="26"/>
      <c r="D244" s="26"/>
      <c r="E244" s="26"/>
      <c r="F244" s="26"/>
      <c r="G244" s="26"/>
      <c r="H244" s="5"/>
    </row>
    <row r="245" spans="3:8" ht="14.25" customHeight="1">
      <c r="C245" s="26"/>
      <c r="D245" s="26"/>
      <c r="E245" s="26"/>
      <c r="F245" s="26"/>
      <c r="G245" s="26"/>
      <c r="H245" s="5"/>
    </row>
    <row r="246" spans="3:8" ht="14.25" customHeight="1">
      <c r="C246" s="26"/>
      <c r="D246" s="26"/>
      <c r="E246" s="26"/>
      <c r="F246" s="26"/>
      <c r="G246" s="26"/>
      <c r="H246" s="5"/>
    </row>
    <row r="247" spans="3:8" ht="14.25" customHeight="1">
      <c r="C247" s="26"/>
      <c r="D247" s="26"/>
      <c r="E247" s="26"/>
      <c r="F247" s="26"/>
      <c r="G247" s="26"/>
      <c r="H247" s="5"/>
    </row>
    <row r="248" spans="3:8" ht="14.25" customHeight="1">
      <c r="C248" s="26"/>
      <c r="D248" s="26"/>
      <c r="E248" s="26"/>
      <c r="F248" s="26"/>
      <c r="G248" s="26"/>
      <c r="H248" s="5"/>
    </row>
    <row r="249" spans="3:8" ht="14.25" customHeight="1">
      <c r="C249" s="26"/>
      <c r="D249" s="26"/>
      <c r="E249" s="26"/>
      <c r="F249" s="26"/>
      <c r="G249" s="26"/>
      <c r="H249" s="5"/>
    </row>
    <row r="250" spans="3:8" ht="14.25" customHeight="1">
      <c r="C250" s="26"/>
      <c r="D250" s="26"/>
      <c r="E250" s="26"/>
      <c r="F250" s="26"/>
      <c r="G250" s="26"/>
      <c r="H250" s="5"/>
    </row>
    <row r="251" spans="3:8" ht="14.25" customHeight="1">
      <c r="C251" s="26"/>
      <c r="D251" s="26"/>
      <c r="E251" s="26"/>
      <c r="F251" s="26"/>
      <c r="G251" s="26"/>
      <c r="H251" s="5"/>
    </row>
    <row r="252" spans="3:8" ht="14.25" customHeight="1">
      <c r="C252" s="26"/>
      <c r="D252" s="26"/>
      <c r="E252" s="26"/>
      <c r="F252" s="26"/>
      <c r="G252" s="26"/>
      <c r="H252" s="5"/>
    </row>
    <row r="253" spans="3:8" ht="14.25" customHeight="1">
      <c r="C253" s="26"/>
      <c r="D253" s="26"/>
      <c r="E253" s="26"/>
      <c r="F253" s="26"/>
      <c r="G253" s="26"/>
      <c r="H253" s="5"/>
    </row>
    <row r="254" spans="3:8" ht="14.25" customHeight="1">
      <c r="C254" s="26"/>
      <c r="D254" s="26"/>
      <c r="E254" s="26"/>
      <c r="F254" s="26"/>
      <c r="G254" s="26"/>
      <c r="H254" s="5"/>
    </row>
    <row r="255" spans="3:8" ht="14.25" customHeight="1">
      <c r="C255" s="26"/>
      <c r="D255" s="26"/>
      <c r="E255" s="26"/>
      <c r="F255" s="26"/>
      <c r="G255" s="26"/>
      <c r="H255" s="5"/>
    </row>
    <row r="256" spans="3:8" ht="14.25" customHeight="1">
      <c r="C256" s="26"/>
      <c r="D256" s="26"/>
      <c r="E256" s="26"/>
      <c r="F256" s="26"/>
      <c r="G256" s="26"/>
      <c r="H256" s="5"/>
    </row>
    <row r="257" spans="3:8" ht="14.25" customHeight="1">
      <c r="C257" s="26"/>
      <c r="D257" s="26"/>
      <c r="E257" s="26"/>
      <c r="F257" s="26"/>
      <c r="G257" s="26"/>
      <c r="H257" s="5"/>
    </row>
    <row r="258" spans="3:8" ht="14.25" customHeight="1">
      <c r="C258" s="26"/>
      <c r="D258" s="26"/>
      <c r="E258" s="26"/>
      <c r="F258" s="26"/>
      <c r="G258" s="26"/>
      <c r="H258" s="5"/>
    </row>
    <row r="259" spans="3:8" ht="14.25" customHeight="1">
      <c r="C259" s="26"/>
      <c r="D259" s="26"/>
      <c r="E259" s="26"/>
      <c r="F259" s="26"/>
      <c r="G259" s="26"/>
      <c r="H259" s="5"/>
    </row>
    <row r="260" spans="3:8" ht="14.25" customHeight="1">
      <c r="C260" s="26"/>
      <c r="D260" s="26"/>
      <c r="E260" s="26"/>
      <c r="F260" s="26"/>
      <c r="G260" s="26"/>
      <c r="H260" s="5"/>
    </row>
    <row r="261" spans="3:8" ht="14.25" customHeight="1">
      <c r="C261" s="26"/>
      <c r="D261" s="26"/>
      <c r="E261" s="26"/>
      <c r="F261" s="26"/>
      <c r="G261" s="26"/>
      <c r="H261" s="5"/>
    </row>
    <row r="262" spans="3:8" ht="14.25" customHeight="1">
      <c r="C262" s="26"/>
      <c r="D262" s="26"/>
      <c r="E262" s="26"/>
      <c r="F262" s="26"/>
      <c r="G262" s="26"/>
      <c r="H262" s="5"/>
    </row>
    <row r="263" spans="3:8" ht="14.25" customHeight="1">
      <c r="C263" s="26"/>
      <c r="D263" s="26"/>
      <c r="E263" s="26"/>
      <c r="F263" s="26"/>
      <c r="G263" s="26"/>
      <c r="H263" s="5"/>
    </row>
    <row r="264" spans="3:8" ht="14.25" customHeight="1">
      <c r="C264" s="26"/>
      <c r="D264" s="26"/>
      <c r="E264" s="26"/>
      <c r="F264" s="26"/>
      <c r="G264" s="26"/>
      <c r="H264" s="5"/>
    </row>
    <row r="265" spans="3:8" ht="14.25" customHeight="1">
      <c r="C265" s="26"/>
      <c r="D265" s="26"/>
      <c r="E265" s="26"/>
      <c r="F265" s="26"/>
      <c r="G265" s="26"/>
      <c r="H265" s="5"/>
    </row>
    <row r="266" spans="3:8" ht="14.25" customHeight="1">
      <c r="C266" s="26"/>
      <c r="D266" s="26"/>
      <c r="E266" s="26"/>
      <c r="F266" s="26"/>
      <c r="G266" s="26"/>
      <c r="H266" s="5"/>
    </row>
    <row r="267" spans="3:8" ht="14.25" customHeight="1">
      <c r="C267" s="26"/>
      <c r="D267" s="26"/>
      <c r="E267" s="26"/>
      <c r="F267" s="26"/>
      <c r="G267" s="26"/>
      <c r="H267" s="5"/>
    </row>
    <row r="268" spans="3:8" ht="14.25" customHeight="1">
      <c r="C268" s="26"/>
      <c r="D268" s="26"/>
      <c r="E268" s="26"/>
      <c r="F268" s="26"/>
      <c r="G268" s="26"/>
      <c r="H268" s="5"/>
    </row>
    <row r="269" spans="3:8" ht="14.25" customHeight="1">
      <c r="C269" s="26"/>
      <c r="D269" s="26"/>
      <c r="E269" s="26"/>
      <c r="F269" s="26"/>
      <c r="G269" s="26"/>
      <c r="H269" s="5"/>
    </row>
    <row r="270" spans="3:8" ht="14.25" customHeight="1">
      <c r="C270" s="26"/>
      <c r="D270" s="26"/>
      <c r="E270" s="26"/>
      <c r="F270" s="26"/>
      <c r="G270" s="26"/>
      <c r="H270" s="5"/>
    </row>
    <row r="271" spans="3:8" ht="14.25" customHeight="1">
      <c r="C271" s="26"/>
      <c r="D271" s="26"/>
      <c r="E271" s="26"/>
      <c r="F271" s="26"/>
      <c r="G271" s="26"/>
      <c r="H271" s="5"/>
    </row>
    <row r="272" spans="3:8" ht="14.25" customHeight="1">
      <c r="C272" s="26"/>
      <c r="D272" s="26"/>
      <c r="E272" s="26"/>
      <c r="F272" s="26"/>
      <c r="G272" s="26"/>
      <c r="H272" s="5"/>
    </row>
    <row r="273" spans="1:46" ht="14.25" customHeight="1">
      <c r="C273" s="26"/>
      <c r="D273" s="26"/>
      <c r="E273" s="26"/>
      <c r="F273" s="26"/>
      <c r="G273" s="26"/>
      <c r="H273" s="5"/>
    </row>
    <row r="274" spans="1:46" ht="14.25" customHeight="1">
      <c r="C274" s="26"/>
      <c r="D274" s="26"/>
      <c r="E274" s="26"/>
      <c r="F274" s="26"/>
      <c r="G274" s="26"/>
      <c r="H274" s="5"/>
    </row>
    <row r="275" spans="1:46" ht="14.25" customHeight="1">
      <c r="C275" s="26"/>
      <c r="D275" s="26"/>
      <c r="E275" s="26"/>
      <c r="F275" s="26"/>
      <c r="G275" s="26"/>
      <c r="H275" s="5"/>
    </row>
    <row r="276" spans="1:46" ht="14.25" customHeight="1">
      <c r="C276" s="26"/>
      <c r="D276" s="26"/>
      <c r="E276" s="26"/>
      <c r="F276" s="26"/>
      <c r="G276" s="26"/>
      <c r="H276" s="5"/>
    </row>
    <row r="277" spans="1:46" ht="13.5" customHeight="1">
      <c r="C277" s="26"/>
      <c r="D277" s="26"/>
      <c r="E277" s="26"/>
      <c r="F277" s="26"/>
      <c r="G277" s="26"/>
      <c r="H277" s="5"/>
    </row>
    <row r="278" spans="1:46" ht="14.25" customHeight="1">
      <c r="C278" s="26"/>
      <c r="D278" s="26"/>
      <c r="E278" s="26"/>
      <c r="F278" s="26"/>
      <c r="G278" s="26"/>
      <c r="H278" s="5"/>
    </row>
    <row r="279" spans="1:46" ht="14.25" customHeight="1">
      <c r="C279" s="26"/>
      <c r="D279" s="26"/>
      <c r="E279" s="26"/>
      <c r="F279" s="26"/>
      <c r="G279" s="26"/>
      <c r="H279" s="5"/>
    </row>
    <row r="280" spans="1:46" ht="14.25" customHeight="1">
      <c r="C280" s="26"/>
      <c r="D280" s="26"/>
      <c r="E280" s="26"/>
      <c r="F280" s="26"/>
      <c r="G280" s="26"/>
      <c r="H280" s="5"/>
    </row>
    <row r="281" spans="1:46" ht="14.25" customHeight="1">
      <c r="C281" s="26"/>
      <c r="D281" s="26"/>
      <c r="E281" s="26"/>
      <c r="F281" s="26"/>
      <c r="G281" s="26"/>
      <c r="H281" s="5"/>
    </row>
    <row r="282" spans="1:46" ht="14.25" customHeight="1">
      <c r="C282" s="26"/>
      <c r="D282" s="26"/>
      <c r="E282" s="26"/>
      <c r="F282" s="26"/>
      <c r="G282" s="26"/>
      <c r="H282" s="5"/>
    </row>
    <row r="283" spans="1:46" ht="14.25" customHeight="1">
      <c r="C283" s="26"/>
      <c r="D283" s="26"/>
      <c r="E283" s="26"/>
      <c r="F283" s="26"/>
      <c r="G283" s="26"/>
      <c r="H283" s="5"/>
    </row>
    <row r="284" spans="1:46" ht="14.25" customHeight="1">
      <c r="C284" s="26"/>
      <c r="D284" s="26"/>
      <c r="E284" s="26"/>
      <c r="F284" s="26"/>
      <c r="G284" s="26"/>
      <c r="H284" s="5"/>
    </row>
    <row r="285" spans="1:46" s="8" customFormat="1">
      <c r="B285" s="421" t="str">
        <f>TITLE!$C$11</f>
        <v>Полотна каркасно-щитові: ІДЕЯ</v>
      </c>
      <c r="C285" s="421"/>
      <c r="D285" s="122"/>
      <c r="E285" s="122"/>
      <c r="F285" s="122"/>
      <c r="G285" s="122"/>
      <c r="H285" s="122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419" t="str">
        <f>IF($C$1="ENG",CONCATENATE("up to: "),CONCATENATE("вгору до: ",B160))</f>
        <v>вгору до: Полотна каркасно-щитові: ГЕОМЕТРІЯ</v>
      </c>
      <c r="T285" s="420"/>
      <c r="U285" s="420"/>
      <c r="V285" s="420"/>
      <c r="W285" s="420"/>
      <c r="AN285" s="291"/>
      <c r="AO285" s="291"/>
      <c r="AP285" s="291"/>
      <c r="AQ285" s="291"/>
      <c r="AR285" s="291"/>
      <c r="AS285" s="291"/>
      <c r="AT285" s="291"/>
    </row>
    <row r="286" spans="1:46" s="8" customFormat="1" ht="5.0999999999999996" customHeight="1">
      <c r="B286" s="121"/>
      <c r="C286" s="121"/>
      <c r="D286" s="9"/>
      <c r="E286" s="9"/>
      <c r="F286" s="9"/>
      <c r="G286" s="9"/>
      <c r="H286" s="10"/>
      <c r="T286" s="119"/>
      <c r="U286" s="119"/>
      <c r="V286" s="119"/>
      <c r="W286" s="119"/>
      <c r="AN286" s="291"/>
      <c r="AO286" s="291"/>
      <c r="AP286" s="291"/>
      <c r="AQ286" s="291"/>
      <c r="AR286" s="291"/>
      <c r="AS286" s="291"/>
      <c r="AT286" s="291"/>
    </row>
    <row r="287" spans="1:46" ht="12.75" customHeight="1">
      <c r="A287" s="8"/>
      <c r="B287" s="448" t="str">
        <f>IF($C$1="ENG","model","модель")</f>
        <v>модель</v>
      </c>
      <c r="C287" s="126" t="str">
        <f>IF($C$1="ENG","cover:","покриття:")</f>
        <v>покриття:</v>
      </c>
      <c r="D287" s="430" t="str">
        <f>IF($C$1="ENG","SIMPL / V-CELL","SIMPL / V-CELL")</f>
        <v>SIMPL / V-CELL</v>
      </c>
      <c r="E287" s="432"/>
      <c r="F287" s="430" t="str">
        <f>IF($C$1="ENG","UNI-MAT","UNI-MAT")</f>
        <v>UNI-MAT</v>
      </c>
      <c r="G287" s="432"/>
      <c r="H287" s="430" t="str">
        <f>IF($C$1="ENG","RESIST","RESIST")</f>
        <v>RESIST</v>
      </c>
      <c r="I287" s="432"/>
      <c r="J287" s="46"/>
      <c r="K287" s="46"/>
      <c r="L287" s="104"/>
      <c r="M287" s="11"/>
      <c r="P287" s="104"/>
      <c r="Q287" s="11"/>
    </row>
    <row r="288" spans="1:46" ht="12.75" customHeight="1">
      <c r="A288" s="8"/>
      <c r="B288" s="449"/>
      <c r="C288" s="127" t="str">
        <f>IF($C$1="ENG","filling:","заповнення:")</f>
        <v>заповнення:</v>
      </c>
      <c r="D288" s="441" t="str">
        <f>IF($C$1="ENG","honeycomb core ","сотове заповнення")</f>
        <v>сотове заповнення</v>
      </c>
      <c r="E288" s="442"/>
      <c r="F288" s="441" t="str">
        <f>IF($C$1="ENG","honeycomb core ","сотове заповнення")</f>
        <v>сотове заповнення</v>
      </c>
      <c r="G288" s="442"/>
      <c r="H288" s="441" t="str">
        <f>IF($C$1="ENG","honeycomb core ","сотове заповнення")</f>
        <v>сотове заповнення</v>
      </c>
      <c r="I288" s="442"/>
      <c r="J288" s="150"/>
      <c r="K288" s="150"/>
      <c r="L288" s="104"/>
      <c r="M288" s="11"/>
      <c r="P288" s="104"/>
      <c r="Q288" s="11"/>
    </row>
    <row r="289" spans="1:42" ht="12.75" customHeight="1">
      <c r="A289" s="8"/>
      <c r="B289" s="450"/>
      <c r="C289" s="128" t="str">
        <f>IF($C$1="ENG","glazing:","скління:")</f>
        <v>скління:</v>
      </c>
      <c r="D289" s="424" t="str">
        <f>IF($C$1="ENG","Satin / Wave","Сатин / Жалюзі")</f>
        <v>Сатин / Жалюзі</v>
      </c>
      <c r="E289" s="434"/>
      <c r="F289" s="424" t="str">
        <f>IF($C$1="ENG","Satin / Wave","Сатин / Жалюзі")</f>
        <v>Сатин / Жалюзі</v>
      </c>
      <c r="G289" s="434"/>
      <c r="H289" s="424" t="str">
        <f>IF($C$1="ENG","Satin / Wave","Сатин / Жалюзі")</f>
        <v>Сатин / Жалюзі</v>
      </c>
      <c r="I289" s="434"/>
      <c r="J289" s="47"/>
      <c r="K289" s="135"/>
      <c r="L289" s="104"/>
      <c r="M289" s="11"/>
      <c r="P289" s="104"/>
      <c r="Q289" s="11"/>
      <c r="AC289" s="1" t="str">
        <f>D287</f>
        <v>SIMPL / V-CELL</v>
      </c>
      <c r="AD289" s="1" t="str">
        <f>F287</f>
        <v>UNI-MAT</v>
      </c>
      <c r="AE289" s="1" t="str">
        <f>H287</f>
        <v>RESIST</v>
      </c>
    </row>
    <row r="290" spans="1:42" ht="35.1" customHeight="1">
      <c r="A290" s="8"/>
      <c r="B290" s="13" t="s">
        <v>26</v>
      </c>
      <c r="C290" s="14"/>
      <c r="D290" s="15">
        <f>IF(AC290="","",(1-$W$2)*(AC290/1.2))</f>
        <v>2075</v>
      </c>
      <c r="E290" s="67">
        <f>IF($W$5=0.2,D290*1.2,D290)/$W$4</f>
        <v>2490</v>
      </c>
      <c r="F290" s="15">
        <f>IF(AD290="","",(1-$W$2)*(AD290/1.2))</f>
        <v>2383.3333333333335</v>
      </c>
      <c r="G290" s="67">
        <f>IF($W$5=0.2,F290*1.2,F290)/$W$4</f>
        <v>2860</v>
      </c>
      <c r="H290" s="15">
        <f>IF(AE290="","",(1-$W$2)*(AE290/1.2))</f>
        <v>2641.666666666667</v>
      </c>
      <c r="I290" s="67">
        <f>IF($W$5=0.2,H290*1.2,H290)/$W$4</f>
        <v>3170.0000000000005</v>
      </c>
      <c r="J290" s="28"/>
      <c r="K290" s="62"/>
      <c r="L290" s="146"/>
      <c r="M290" s="20"/>
      <c r="N290" s="108"/>
      <c r="O290" s="20"/>
      <c r="P290" s="146"/>
      <c r="Q290" s="20"/>
      <c r="R290" s="108"/>
      <c r="S290" s="20"/>
      <c r="T290" s="108"/>
      <c r="V290" s="108"/>
      <c r="W290" s="20"/>
      <c r="X290" s="22"/>
      <c r="Y290" s="22"/>
      <c r="Z290" s="22"/>
      <c r="AA290" s="22"/>
      <c r="AB290" s="22"/>
      <c r="AC290" s="346">
        <v>2490</v>
      </c>
      <c r="AD290" s="346">
        <v>2860</v>
      </c>
      <c r="AE290" s="346">
        <v>3170</v>
      </c>
      <c r="AF290" s="301">
        <v>2490</v>
      </c>
      <c r="AG290" s="301">
        <f>AF290/AC290-1</f>
        <v>0</v>
      </c>
      <c r="AH290" s="301">
        <v>2860</v>
      </c>
      <c r="AI290" s="301">
        <f>AH290/AD290-1</f>
        <v>0</v>
      </c>
      <c r="AJ290" s="301">
        <v>3170</v>
      </c>
      <c r="AK290" s="301">
        <f>AJ290/AE290-1</f>
        <v>0</v>
      </c>
      <c r="AL290" s="301"/>
      <c r="AM290" s="348"/>
      <c r="AN290" s="323"/>
      <c r="AO290" s="348"/>
      <c r="AP290" s="347"/>
    </row>
    <row r="291" spans="1:42" ht="35.1" customHeight="1">
      <c r="A291" s="8"/>
      <c r="B291" s="16" t="s">
        <v>22</v>
      </c>
      <c r="C291" s="17"/>
      <c r="D291" s="18">
        <f>IF(AC291="","",(1-$W$2)*(AC291/1.2))</f>
        <v>3991.666666666667</v>
      </c>
      <c r="E291" s="69">
        <f>IF($W$5=0.2,D291*1.2,D291)/$W$4</f>
        <v>4790</v>
      </c>
      <c r="F291" s="18">
        <f>IF(AD291="","",(1-$W$2)*(AD291/1.2))</f>
        <v>4591.666666666667</v>
      </c>
      <c r="G291" s="69">
        <f>IF($W$5=0.2,F291*1.2,F291)/$W$4</f>
        <v>5510</v>
      </c>
      <c r="H291" s="18">
        <f>IF(AE291="","",(1-$W$2)*(AE291/1.2))</f>
        <v>4958.3333333333339</v>
      </c>
      <c r="I291" s="69">
        <f>IF($W$5=0.2,H291*1.2,H291)/$W$4</f>
        <v>5950.0000000000009</v>
      </c>
      <c r="J291" s="28"/>
      <c r="K291" s="62"/>
      <c r="L291" s="146"/>
      <c r="M291" s="20"/>
      <c r="N291" s="108"/>
      <c r="O291" s="20"/>
      <c r="P291" s="146"/>
      <c r="Q291" s="20"/>
      <c r="R291" s="108"/>
      <c r="S291" s="20"/>
      <c r="T291" s="108"/>
      <c r="V291" s="108"/>
      <c r="W291" s="20"/>
      <c r="AC291" s="346">
        <v>4790</v>
      </c>
      <c r="AD291" s="346">
        <v>5510</v>
      </c>
      <c r="AE291" s="346">
        <v>5950</v>
      </c>
      <c r="AF291" s="301">
        <v>4790</v>
      </c>
      <c r="AG291" s="301">
        <f t="shared" ref="AG291:AG294" si="21">AF291/AC291-1</f>
        <v>0</v>
      </c>
      <c r="AH291" s="301">
        <v>5510</v>
      </c>
      <c r="AI291" s="301">
        <f t="shared" ref="AI291:AI294" si="22">AH291/AD291-1</f>
        <v>0</v>
      </c>
      <c r="AJ291" s="301">
        <v>5950</v>
      </c>
      <c r="AK291" s="301">
        <f>AJ291/AE291-1</f>
        <v>0</v>
      </c>
      <c r="AL291" s="301"/>
      <c r="AM291" s="348"/>
      <c r="AN291" s="323"/>
      <c r="AO291" s="348"/>
      <c r="AP291" s="347"/>
    </row>
    <row r="292" spans="1:42" ht="35.1" customHeight="1">
      <c r="A292" s="8"/>
      <c r="B292" s="16" t="s">
        <v>23</v>
      </c>
      <c r="C292" s="17"/>
      <c r="D292" s="18">
        <f>IF(AC292="","",(1-$W$2)*(AC292/1.2))</f>
        <v>4158.3333333333339</v>
      </c>
      <c r="E292" s="69">
        <f>IF($W$5=0.2,D292*1.2,D292)/$W$4</f>
        <v>4990.0000000000009</v>
      </c>
      <c r="F292" s="18">
        <f>IF(AD292="","",(1-$W$2)*(AD292/1.2))</f>
        <v>4791.666666666667</v>
      </c>
      <c r="G292" s="69">
        <f>IF($W$5=0.2,F292*1.2,F292)/$W$4</f>
        <v>5750</v>
      </c>
      <c r="H292" s="18">
        <f>IF(AE292="","",(1-$W$2)*(AE292/1.2))</f>
        <v>5066.666666666667</v>
      </c>
      <c r="I292" s="69">
        <f>IF($W$5=0.2,H292*1.2,H292)/$W$4</f>
        <v>6080</v>
      </c>
      <c r="J292" s="28"/>
      <c r="K292" s="62"/>
      <c r="L292" s="146"/>
      <c r="M292" s="20"/>
      <c r="N292" s="108"/>
      <c r="O292" s="20"/>
      <c r="P292" s="146"/>
      <c r="Q292" s="20"/>
      <c r="R292" s="108"/>
      <c r="S292" s="20"/>
      <c r="T292" s="108"/>
      <c r="V292" s="108"/>
      <c r="W292" s="20"/>
      <c r="AC292" s="346">
        <v>4990</v>
      </c>
      <c r="AD292" s="346">
        <v>5750</v>
      </c>
      <c r="AE292" s="346">
        <v>6080</v>
      </c>
      <c r="AF292" s="301">
        <v>4990</v>
      </c>
      <c r="AG292" s="301">
        <f t="shared" si="21"/>
        <v>0</v>
      </c>
      <c r="AH292" s="301">
        <v>5750</v>
      </c>
      <c r="AI292" s="301">
        <f t="shared" si="22"/>
        <v>0</v>
      </c>
      <c r="AJ292" s="301">
        <v>6080</v>
      </c>
      <c r="AK292" s="301">
        <f t="shared" ref="AK291:AK294" si="23">AJ292/AE292-1</f>
        <v>0</v>
      </c>
      <c r="AL292" s="301"/>
      <c r="AM292" s="348"/>
      <c r="AN292" s="323"/>
      <c r="AO292" s="348"/>
      <c r="AP292" s="347"/>
    </row>
    <row r="293" spans="1:42" ht="35.1" customHeight="1">
      <c r="A293" s="8"/>
      <c r="B293" s="16" t="s">
        <v>25</v>
      </c>
      <c r="C293" s="17"/>
      <c r="D293" s="18">
        <f>IF(AC293="","",(1-$W$2)*(AC293/1.2))</f>
        <v>4541.666666666667</v>
      </c>
      <c r="E293" s="69">
        <f>IF($W$5=0.2,D293*1.2,D293)/$W$4</f>
        <v>5450</v>
      </c>
      <c r="F293" s="18">
        <f>IF(AD293="","",(1-$W$2)*(AD293/1.2))</f>
        <v>5225</v>
      </c>
      <c r="G293" s="69">
        <f>IF($W$5=0.2,F293*1.2,F293)/$W$4</f>
        <v>6270</v>
      </c>
      <c r="H293" s="18">
        <f>IF(AE293="","",(1-$W$2)*(AE293/1.2))</f>
        <v>5458.3333333333339</v>
      </c>
      <c r="I293" s="69">
        <f>IF($W$5=0.2,H293*1.2,H293)/$W$4</f>
        <v>6550.0000000000009</v>
      </c>
      <c r="J293" s="28"/>
      <c r="K293" s="62"/>
      <c r="L293" s="146"/>
      <c r="M293" s="20"/>
      <c r="N293" s="108"/>
      <c r="O293" s="20"/>
      <c r="P293" s="146"/>
      <c r="Q293" s="20"/>
      <c r="R293" s="108"/>
      <c r="S293" s="20"/>
      <c r="T293" s="108"/>
      <c r="V293" s="108"/>
      <c r="W293" s="20"/>
      <c r="AC293" s="346">
        <v>5450</v>
      </c>
      <c r="AD293" s="346">
        <v>6270</v>
      </c>
      <c r="AE293" s="346">
        <v>6550</v>
      </c>
      <c r="AF293" s="301">
        <v>5450</v>
      </c>
      <c r="AG293" s="301">
        <f t="shared" si="21"/>
        <v>0</v>
      </c>
      <c r="AH293" s="301">
        <v>6270</v>
      </c>
      <c r="AI293" s="301">
        <f t="shared" si="22"/>
        <v>0</v>
      </c>
      <c r="AJ293" s="301">
        <v>6550</v>
      </c>
      <c r="AK293" s="301">
        <f t="shared" si="23"/>
        <v>0</v>
      </c>
      <c r="AL293" s="301"/>
      <c r="AM293" s="348"/>
      <c r="AN293" s="323"/>
      <c r="AO293" s="348"/>
      <c r="AP293" s="347"/>
    </row>
    <row r="294" spans="1:42" ht="35.1" customHeight="1">
      <c r="A294" s="8"/>
      <c r="B294" s="23" t="s">
        <v>27</v>
      </c>
      <c r="C294" s="24"/>
      <c r="D294" s="25">
        <f>IF(AC294="","",(1-$W$2)*(AC294/1.2))</f>
        <v>3475</v>
      </c>
      <c r="E294" s="72">
        <f>IF($W$5=0.2,D294*1.2,D294)/$W$4</f>
        <v>4170</v>
      </c>
      <c r="F294" s="25">
        <f>IF(AD294="","",(1-$W$2)*(AD294/1.2))</f>
        <v>3991.666666666667</v>
      </c>
      <c r="G294" s="72">
        <f>IF($W$5=0.2,F294*1.2,F294)/$W$4</f>
        <v>4790</v>
      </c>
      <c r="H294" s="25">
        <f>IF(AE294="","",(1-$W$2)*(AE294/1.2))</f>
        <v>4158.3333333333339</v>
      </c>
      <c r="I294" s="72">
        <f>IF($W$5=0.2,H294*1.2,H294)/$W$4</f>
        <v>4990.0000000000009</v>
      </c>
      <c r="J294" s="28"/>
      <c r="K294" s="62"/>
      <c r="L294" s="146"/>
      <c r="M294" s="20"/>
      <c r="N294" s="108"/>
      <c r="O294" s="20"/>
      <c r="P294" s="146"/>
      <c r="Q294" s="20"/>
      <c r="R294" s="108"/>
      <c r="S294" s="20"/>
      <c r="T294" s="108"/>
      <c r="V294" s="108"/>
      <c r="W294" s="20"/>
      <c r="AC294" s="346">
        <v>4170</v>
      </c>
      <c r="AD294" s="346">
        <v>4790</v>
      </c>
      <c r="AE294" s="346">
        <v>4990</v>
      </c>
      <c r="AF294" s="301">
        <v>4170</v>
      </c>
      <c r="AG294" s="301">
        <f t="shared" si="21"/>
        <v>0</v>
      </c>
      <c r="AH294" s="301">
        <v>4790</v>
      </c>
      <c r="AI294" s="301">
        <f t="shared" si="22"/>
        <v>0</v>
      </c>
      <c r="AJ294" s="301">
        <v>4990</v>
      </c>
      <c r="AK294" s="301">
        <f t="shared" si="23"/>
        <v>0</v>
      </c>
      <c r="AL294" s="301"/>
      <c r="AM294" s="348"/>
      <c r="AN294" s="323"/>
      <c r="AO294" s="348"/>
      <c r="AP294" s="347"/>
    </row>
    <row r="295" spans="1:42">
      <c r="C295" s="26"/>
      <c r="D295" s="26"/>
      <c r="E295" s="60"/>
      <c r="F295" s="26"/>
      <c r="G295" s="60"/>
      <c r="H295" s="63"/>
      <c r="I295" s="147"/>
      <c r="J295" s="48"/>
      <c r="K295" s="147"/>
      <c r="L295" s="48"/>
      <c r="P295" s="48"/>
    </row>
    <row r="296" spans="1:42">
      <c r="B296" s="220" t="str">
        <f>IF($C$1="ENG","For additonal charge:","Послуги за додаткову плату:")</f>
        <v>Послуги за додаткову плату:</v>
      </c>
      <c r="C296" s="221"/>
      <c r="D296" s="221"/>
      <c r="E296" s="222"/>
      <c r="F296" s="26"/>
      <c r="G296" s="26"/>
      <c r="H296" s="10"/>
      <c r="I296" s="87"/>
      <c r="K296" s="20"/>
    </row>
    <row r="297" spans="1:42" ht="5.0999999999999996" customHeight="1">
      <c r="B297" s="27"/>
      <c r="C297" s="26"/>
      <c r="D297" s="26"/>
      <c r="E297" s="60"/>
      <c r="F297" s="26"/>
      <c r="G297" s="26"/>
      <c r="H297" s="10"/>
      <c r="I297" s="8"/>
      <c r="K297" s="20"/>
    </row>
    <row r="298" spans="1:42">
      <c r="B298" s="446" t="str">
        <f>IF($C$1="ENG","Ventilation sleeves (1 row)","вентиляційні віддушини (1ряд)")</f>
        <v>вентиляційні віддушини (1ряд)</v>
      </c>
      <c r="C298" s="447"/>
      <c r="D298" s="136">
        <f t="shared" ref="D298:D309" si="24">IF(AC298="","",(1-$W$2)*(AC298/1.2))</f>
        <v>208.33333333333334</v>
      </c>
      <c r="E298" s="67">
        <f t="shared" ref="E298:E307" si="25">IF($W$5=0.2,D298*1.2,D298)/$W$4</f>
        <v>250</v>
      </c>
      <c r="F298" s="26"/>
      <c r="G298" s="26"/>
      <c r="AC298" s="310">
        <v>250</v>
      </c>
      <c r="AD298" s="301">
        <v>250</v>
      </c>
      <c r="AE298" s="301">
        <f t="shared" ref="AE298" si="26">AD298/AC298-1</f>
        <v>0</v>
      </c>
      <c r="AF298" s="301"/>
      <c r="AG298" s="301"/>
      <c r="AH298" s="301"/>
      <c r="AI298" s="301"/>
      <c r="AJ298" s="301"/>
      <c r="AK298" s="301"/>
      <c r="AL298" s="301"/>
    </row>
    <row r="299" spans="1:42">
      <c r="B299" s="446" t="str">
        <f>IF($C$1="ENG","Ventilation cut","вентиляційний підріз")</f>
        <v>вентиляційний підріз</v>
      </c>
      <c r="C299" s="447"/>
      <c r="D299" s="137">
        <f t="shared" si="24"/>
        <v>141.66666666666669</v>
      </c>
      <c r="E299" s="69">
        <f t="shared" si="25"/>
        <v>170.00000000000003</v>
      </c>
      <c r="F299" s="26"/>
      <c r="G299" s="26"/>
      <c r="I299" s="62"/>
      <c r="J299" s="28"/>
      <c r="AC299" s="310">
        <v>170</v>
      </c>
      <c r="AD299" s="301">
        <v>170</v>
      </c>
      <c r="AE299" s="301">
        <f t="shared" ref="AE299:AE309" si="27">AD299/AC299-1</f>
        <v>0</v>
      </c>
      <c r="AF299" s="301"/>
      <c r="AG299" s="301"/>
      <c r="AH299" s="301"/>
      <c r="AI299" s="301"/>
      <c r="AJ299" s="301"/>
      <c r="AK299" s="301"/>
      <c r="AL299" s="301"/>
    </row>
    <row r="300" spans="1:42">
      <c r="B300" s="446" t="str">
        <f>IF($C$1="ENG","third door hindge","третя завіса")</f>
        <v>третя завіса</v>
      </c>
      <c r="C300" s="447"/>
      <c r="D300" s="137">
        <f t="shared" si="24"/>
        <v>66.666666666666671</v>
      </c>
      <c r="E300" s="69">
        <f t="shared" si="25"/>
        <v>80</v>
      </c>
      <c r="F300" s="26"/>
      <c r="G300" s="26"/>
      <c r="AC300" s="310">
        <v>80</v>
      </c>
      <c r="AD300" s="301">
        <v>80</v>
      </c>
      <c r="AE300" s="301">
        <f t="shared" si="27"/>
        <v>0</v>
      </c>
      <c r="AF300" s="301"/>
      <c r="AG300" s="301"/>
      <c r="AH300" s="301"/>
      <c r="AI300" s="301"/>
      <c r="AJ300" s="301"/>
      <c r="AK300" s="301"/>
      <c r="AL300" s="301"/>
    </row>
    <row r="301" spans="1:42">
      <c r="B301" s="439" t="str">
        <f>IF($C$1="ENG","glazing Graphite / Bronze","скло Графіт / Бронза")</f>
        <v>скло Графіт / Бронза</v>
      </c>
      <c r="C301" s="440"/>
      <c r="D301" s="106">
        <f>IF(AC301="","",(1-$W$2)*(AC301/1.2))</f>
        <v>458.33333333333337</v>
      </c>
      <c r="E301" s="97">
        <f>IF($W$5=0.2,D301*1.2,D301)/$W$4</f>
        <v>550</v>
      </c>
      <c r="F301" s="26"/>
      <c r="G301" s="26"/>
      <c r="H301" s="5"/>
      <c r="AC301" s="310">
        <v>550</v>
      </c>
      <c r="AD301" s="301">
        <v>550</v>
      </c>
      <c r="AE301" s="301">
        <f t="shared" si="27"/>
        <v>0</v>
      </c>
      <c r="AF301" s="301"/>
      <c r="AG301" s="301"/>
      <c r="AH301" s="301"/>
      <c r="AI301" s="301"/>
      <c r="AJ301" s="301"/>
      <c r="AK301" s="301"/>
      <c r="AL301" s="301"/>
    </row>
    <row r="302" spans="1:42">
      <c r="B302" s="439" t="str">
        <f>IF($C$1="ENG","door lock Soft","замок Soft")</f>
        <v>замок Soft</v>
      </c>
      <c r="C302" s="440"/>
      <c r="D302" s="106">
        <f t="shared" si="24"/>
        <v>458.33333333333337</v>
      </c>
      <c r="E302" s="97">
        <f t="shared" si="25"/>
        <v>550</v>
      </c>
      <c r="F302" s="26"/>
      <c r="G302" s="26"/>
      <c r="H302" s="5"/>
      <c r="AC302" s="310">
        <v>550</v>
      </c>
      <c r="AD302" s="301">
        <v>550</v>
      </c>
      <c r="AE302" s="301">
        <f t="shared" si="27"/>
        <v>0</v>
      </c>
      <c r="AF302" s="301"/>
      <c r="AG302" s="301"/>
      <c r="AH302" s="301"/>
      <c r="AI302" s="301"/>
      <c r="AJ302" s="301"/>
      <c r="AK302" s="301"/>
      <c r="AL302" s="301"/>
    </row>
    <row r="303" spans="1:42">
      <c r="B303" s="439" t="str">
        <f>IF($C$1="ENG","door lock Magnet","замок Magnet")</f>
        <v>замок Magnet</v>
      </c>
      <c r="C303" s="440"/>
      <c r="D303" s="106">
        <f t="shared" si="24"/>
        <v>666.66666666666674</v>
      </c>
      <c r="E303" s="97">
        <f t="shared" si="25"/>
        <v>800.00000000000011</v>
      </c>
      <c r="F303" s="26"/>
      <c r="G303" s="26"/>
      <c r="H303" s="5"/>
      <c r="AC303" s="310">
        <v>800</v>
      </c>
      <c r="AD303" s="301">
        <v>800</v>
      </c>
      <c r="AE303" s="301">
        <f t="shared" si="27"/>
        <v>0</v>
      </c>
      <c r="AF303" s="301"/>
      <c r="AG303" s="301"/>
      <c r="AH303" s="301"/>
      <c r="AI303" s="301"/>
      <c r="AJ303" s="301"/>
      <c r="AK303" s="301"/>
      <c r="AL303" s="301"/>
    </row>
    <row r="304" spans="1:42">
      <c r="B304" s="439" t="str">
        <f>IF($C$1="ENG","door handle-lock (for sliding doors)","ручка-замок (для дверей купе)")</f>
        <v>ручка-замок (для дверей купе)</v>
      </c>
      <c r="C304" s="440"/>
      <c r="D304" s="137">
        <f t="shared" si="24"/>
        <v>466.66666666666669</v>
      </c>
      <c r="E304" s="69">
        <f t="shared" si="25"/>
        <v>560</v>
      </c>
      <c r="F304" s="26"/>
      <c r="G304" s="26"/>
      <c r="I304" s="30"/>
      <c r="K304" s="30"/>
      <c r="AC304" s="310">
        <v>560</v>
      </c>
      <c r="AD304" s="301">
        <v>560</v>
      </c>
      <c r="AE304" s="301">
        <f t="shared" si="27"/>
        <v>0</v>
      </c>
      <c r="AF304" s="301"/>
      <c r="AG304" s="301"/>
      <c r="AH304" s="301"/>
      <c r="AI304" s="301"/>
      <c r="AJ304" s="301"/>
      <c r="AK304" s="301"/>
      <c r="AL304" s="301"/>
    </row>
    <row r="305" spans="2:38">
      <c r="B305" s="439" t="str">
        <f>IF($C$1="ENG","cylinder incert","циліндр несиметричний")</f>
        <v>циліндр несиметричний</v>
      </c>
      <c r="C305" s="440"/>
      <c r="D305" s="137">
        <f t="shared" si="24"/>
        <v>325</v>
      </c>
      <c r="E305" s="69">
        <f t="shared" si="25"/>
        <v>390</v>
      </c>
      <c r="F305" s="26"/>
      <c r="G305" s="26"/>
      <c r="AC305" s="310">
        <v>390</v>
      </c>
      <c r="AD305" s="301">
        <v>390</v>
      </c>
      <c r="AE305" s="301">
        <f t="shared" si="27"/>
        <v>0</v>
      </c>
      <c r="AF305" s="301"/>
      <c r="AG305" s="301"/>
      <c r="AH305" s="301"/>
      <c r="AI305" s="301"/>
      <c r="AJ305" s="301"/>
      <c r="AK305" s="301"/>
      <c r="AL305" s="301"/>
    </row>
    <row r="306" spans="2:38">
      <c r="B306" s="439" t="str">
        <f>IF($C$1="ENG","door hindge Prestige (1 unit)","завіса Prestige (1 шт)")</f>
        <v>завіса Prestige (1 шт)</v>
      </c>
      <c r="C306" s="440"/>
      <c r="D306" s="139">
        <f t="shared" si="24"/>
        <v>216.66666666666669</v>
      </c>
      <c r="E306" s="69">
        <f t="shared" si="25"/>
        <v>260</v>
      </c>
      <c r="F306" s="26"/>
      <c r="G306" s="26"/>
      <c r="AC306" s="310">
        <v>260</v>
      </c>
      <c r="AD306" s="301">
        <v>260</v>
      </c>
      <c r="AE306" s="301">
        <f t="shared" si="27"/>
        <v>0</v>
      </c>
      <c r="AF306" s="301"/>
      <c r="AG306" s="301"/>
      <c r="AH306" s="301"/>
      <c r="AI306" s="301"/>
      <c r="AJ306" s="301"/>
      <c r="AK306" s="301"/>
      <c r="AL306" s="301"/>
    </row>
    <row r="307" spans="2:38">
      <c r="B307" s="439" t="str">
        <f>IF($C$1="ENG","door hinge caps (1 set)","накладка на завіси (1 к-т)")</f>
        <v>накладка на завіси (1 к-т)</v>
      </c>
      <c r="C307" s="440"/>
      <c r="D307" s="139">
        <f t="shared" si="24"/>
        <v>66.666666666666671</v>
      </c>
      <c r="E307" s="69">
        <f t="shared" si="25"/>
        <v>80</v>
      </c>
      <c r="F307" s="26"/>
      <c r="G307" s="26"/>
      <c r="AC307" s="310">
        <v>80</v>
      </c>
      <c r="AD307" s="301">
        <v>80</v>
      </c>
      <c r="AE307" s="301">
        <f t="shared" si="27"/>
        <v>0</v>
      </c>
      <c r="AF307" s="301"/>
      <c r="AG307" s="301"/>
      <c r="AH307" s="301"/>
      <c r="AI307" s="301"/>
      <c r="AJ307" s="301"/>
      <c r="AK307" s="301"/>
      <c r="AL307" s="301"/>
    </row>
    <row r="308" spans="2:38">
      <c r="B308" s="439" t="str">
        <f>IF($C$1="ENG","door handle","дверна ручка")</f>
        <v>дверна ручка</v>
      </c>
      <c r="C308" s="440"/>
      <c r="D308" s="137">
        <f t="shared" si="24"/>
        <v>0</v>
      </c>
      <c r="E308" s="140" t="str">
        <f>IF($C$1="ENG","see Handles Price","див. Таблицю Ручки")</f>
        <v>див. Таблицю Ручки</v>
      </c>
      <c r="F308" s="26"/>
      <c r="G308" s="26"/>
      <c r="AC308" s="310">
        <v>0</v>
      </c>
      <c r="AD308" s="301">
        <f t="shared" ref="AD298:AD309" si="28">AC308/100*13+AC308</f>
        <v>0</v>
      </c>
      <c r="AE308" s="301" t="e">
        <f t="shared" si="27"/>
        <v>#DIV/0!</v>
      </c>
      <c r="AF308" s="301"/>
      <c r="AG308" s="301"/>
      <c r="AH308" s="301"/>
      <c r="AI308" s="301"/>
      <c r="AJ308" s="301"/>
      <c r="AK308" s="301"/>
      <c r="AL308" s="301"/>
    </row>
    <row r="309" spans="2:38">
      <c r="B309" s="439" t="str">
        <f>IF($C$1="ENG","perforated chipboard","ДСП трубчасте")</f>
        <v>ДСП трубчасте</v>
      </c>
      <c r="C309" s="440"/>
      <c r="D309" s="138">
        <f t="shared" si="24"/>
        <v>1083.3333333333335</v>
      </c>
      <c r="E309" s="72">
        <f>IF($W$5=0.2,D309*1.2,D309)/$W$4</f>
        <v>1300.0000000000002</v>
      </c>
      <c r="F309" s="26"/>
      <c r="G309" s="26"/>
      <c r="AC309" s="310">
        <v>1300</v>
      </c>
      <c r="AD309" s="301">
        <v>1300</v>
      </c>
      <c r="AE309" s="301">
        <f t="shared" si="27"/>
        <v>0</v>
      </c>
      <c r="AF309" s="301"/>
      <c r="AG309" s="301"/>
      <c r="AH309" s="301"/>
      <c r="AI309" s="301"/>
      <c r="AJ309" s="301"/>
      <c r="AK309" s="301"/>
      <c r="AL309" s="301"/>
    </row>
    <row r="310" spans="2:38" ht="14.25" customHeight="1">
      <c r="C310" s="26"/>
      <c r="D310" s="26"/>
      <c r="E310" s="26"/>
      <c r="F310" s="26"/>
      <c r="G310" s="26"/>
      <c r="H310" s="5"/>
      <c r="T310" s="466" t="str">
        <f>IF($C$1="ENG",CONCATENATE("down to: ",B360),CONCATENATE("вниз до: ",B360))</f>
        <v>вниз до: Полотна каркасно-щитові: ІДЕЯ-ЛОФТ</v>
      </c>
      <c r="U310" s="466"/>
      <c r="V310" s="466"/>
      <c r="W310" s="466"/>
    </row>
    <row r="311" spans="2:38" ht="14.25" customHeight="1">
      <c r="C311" s="26"/>
      <c r="D311" s="26"/>
      <c r="E311" s="26"/>
      <c r="F311" s="26"/>
      <c r="G311" s="26"/>
      <c r="H311" s="5"/>
    </row>
    <row r="312" spans="2:38" ht="14.25" customHeight="1">
      <c r="C312" s="26"/>
      <c r="D312" s="26"/>
      <c r="E312" s="26"/>
      <c r="F312" s="26"/>
      <c r="G312" s="26"/>
      <c r="H312" s="5"/>
    </row>
    <row r="313" spans="2:38" ht="14.25" customHeight="1">
      <c r="C313" s="26"/>
      <c r="D313" s="26"/>
      <c r="E313" s="26"/>
      <c r="F313" s="26"/>
      <c r="G313" s="26"/>
      <c r="H313" s="5"/>
    </row>
    <row r="314" spans="2:38" ht="14.25" customHeight="1">
      <c r="C314" s="26"/>
      <c r="D314" s="26"/>
      <c r="E314" s="26"/>
      <c r="F314" s="26"/>
      <c r="G314" s="26"/>
      <c r="H314" s="5"/>
    </row>
    <row r="315" spans="2:38" ht="14.25" customHeight="1">
      <c r="C315" s="26"/>
      <c r="D315" s="26"/>
      <c r="E315" s="26"/>
      <c r="F315" s="26"/>
      <c r="G315" s="26"/>
      <c r="H315" s="5"/>
    </row>
    <row r="316" spans="2:38" ht="14.25" customHeight="1">
      <c r="C316" s="26"/>
      <c r="D316" s="26"/>
      <c r="E316" s="26"/>
      <c r="F316" s="26"/>
      <c r="G316" s="26"/>
      <c r="H316" s="5"/>
    </row>
    <row r="317" spans="2:38" ht="14.25" customHeight="1">
      <c r="C317" s="26"/>
      <c r="D317" s="26"/>
      <c r="E317" s="26"/>
      <c r="F317" s="26"/>
      <c r="G317" s="26"/>
      <c r="H317" s="5"/>
    </row>
    <row r="318" spans="2:38" ht="14.25" customHeight="1">
      <c r="C318" s="26"/>
      <c r="D318" s="26"/>
      <c r="E318" s="26"/>
      <c r="F318" s="26"/>
      <c r="G318" s="26"/>
      <c r="H318" s="5"/>
    </row>
    <row r="319" spans="2:38" ht="14.25" customHeight="1">
      <c r="C319" s="26"/>
      <c r="D319" s="26"/>
      <c r="E319" s="26"/>
      <c r="F319" s="26"/>
      <c r="G319" s="26"/>
      <c r="H319" s="5"/>
    </row>
    <row r="320" spans="2:38" ht="14.25" customHeight="1">
      <c r="C320" s="26"/>
      <c r="D320" s="26"/>
      <c r="E320" s="26"/>
      <c r="F320" s="26"/>
      <c r="G320" s="26"/>
      <c r="H320" s="5"/>
    </row>
    <row r="321" spans="3:8" ht="14.25" customHeight="1">
      <c r="C321" s="26"/>
      <c r="D321" s="26"/>
      <c r="E321" s="26"/>
      <c r="F321" s="26"/>
      <c r="G321" s="26"/>
      <c r="H321" s="5"/>
    </row>
    <row r="322" spans="3:8" ht="14.25" customHeight="1">
      <c r="C322" s="26"/>
      <c r="D322" s="26"/>
      <c r="E322" s="26"/>
      <c r="F322" s="26"/>
      <c r="G322" s="26"/>
      <c r="H322" s="5"/>
    </row>
    <row r="323" spans="3:8" ht="14.25" customHeight="1">
      <c r="C323" s="26"/>
      <c r="D323" s="26"/>
      <c r="E323" s="26"/>
      <c r="F323" s="26"/>
      <c r="G323" s="26"/>
      <c r="H323" s="5"/>
    </row>
    <row r="324" spans="3:8" ht="14.25" customHeight="1">
      <c r="C324" s="26"/>
      <c r="D324" s="26"/>
      <c r="E324" s="26"/>
      <c r="F324" s="26"/>
      <c r="G324" s="26"/>
      <c r="H324" s="5"/>
    </row>
    <row r="325" spans="3:8" ht="14.25" customHeight="1">
      <c r="C325" s="26"/>
      <c r="D325" s="26"/>
      <c r="E325" s="26"/>
      <c r="F325" s="26"/>
      <c r="G325" s="26"/>
      <c r="H325" s="5"/>
    </row>
    <row r="326" spans="3:8" ht="14.25" customHeight="1">
      <c r="C326" s="26"/>
      <c r="D326" s="26"/>
      <c r="E326" s="26"/>
      <c r="F326" s="26"/>
      <c r="G326" s="26"/>
      <c r="H326" s="5"/>
    </row>
    <row r="327" spans="3:8" ht="14.25" customHeight="1">
      <c r="C327" s="26"/>
      <c r="D327" s="26"/>
      <c r="E327" s="26"/>
      <c r="F327" s="26"/>
      <c r="G327" s="26"/>
      <c r="H327" s="5"/>
    </row>
    <row r="328" spans="3:8" ht="14.25" customHeight="1">
      <c r="C328" s="26"/>
      <c r="D328" s="26"/>
      <c r="E328" s="26"/>
      <c r="F328" s="26"/>
      <c r="G328" s="26"/>
      <c r="H328" s="5"/>
    </row>
    <row r="329" spans="3:8" ht="14.25" customHeight="1">
      <c r="C329" s="26"/>
      <c r="D329" s="26"/>
      <c r="E329" s="26"/>
      <c r="F329" s="26"/>
      <c r="G329" s="26"/>
      <c r="H329" s="5"/>
    </row>
    <row r="330" spans="3:8" ht="14.25" customHeight="1">
      <c r="C330" s="26"/>
      <c r="D330" s="26"/>
      <c r="E330" s="26"/>
      <c r="F330" s="26"/>
      <c r="G330" s="26"/>
      <c r="H330" s="5"/>
    </row>
    <row r="331" spans="3:8" ht="14.25" customHeight="1">
      <c r="C331" s="26"/>
      <c r="D331" s="26"/>
      <c r="E331" s="26"/>
      <c r="F331" s="26"/>
      <c r="G331" s="26"/>
      <c r="H331" s="5"/>
    </row>
    <row r="332" spans="3:8" ht="14.25" customHeight="1">
      <c r="C332" s="26"/>
      <c r="D332" s="26"/>
      <c r="E332" s="26"/>
      <c r="F332" s="26"/>
      <c r="G332" s="26"/>
      <c r="H332" s="5"/>
    </row>
    <row r="333" spans="3:8" ht="14.25" customHeight="1">
      <c r="C333" s="26"/>
      <c r="D333" s="26"/>
      <c r="E333" s="26"/>
      <c r="F333" s="26"/>
      <c r="G333" s="26"/>
      <c r="H333" s="5"/>
    </row>
    <row r="334" spans="3:8" ht="14.25" customHeight="1">
      <c r="C334" s="26"/>
      <c r="D334" s="26"/>
      <c r="E334" s="26"/>
      <c r="F334" s="26"/>
      <c r="G334" s="26"/>
      <c r="H334" s="5"/>
    </row>
    <row r="335" spans="3:8" ht="14.25" customHeight="1">
      <c r="C335" s="26"/>
      <c r="D335" s="26"/>
      <c r="E335" s="26"/>
      <c r="F335" s="26"/>
      <c r="G335" s="26"/>
      <c r="H335" s="5"/>
    </row>
    <row r="336" spans="3:8" ht="14.25" customHeight="1">
      <c r="C336" s="26"/>
      <c r="D336" s="26"/>
      <c r="E336" s="26"/>
      <c r="F336" s="26"/>
      <c r="G336" s="26"/>
      <c r="H336" s="5"/>
    </row>
    <row r="337" spans="2:8" ht="14.25" customHeight="1">
      <c r="C337" s="26"/>
      <c r="D337" s="26"/>
      <c r="E337" s="26"/>
      <c r="F337" s="26"/>
      <c r="G337" s="26"/>
      <c r="H337" s="5"/>
    </row>
    <row r="338" spans="2:8" ht="14.25" customHeight="1">
      <c r="C338" s="26"/>
      <c r="D338" s="26"/>
      <c r="E338" s="26"/>
      <c r="F338" s="26"/>
      <c r="G338" s="26"/>
      <c r="H338" s="5"/>
    </row>
    <row r="339" spans="2:8" ht="14.25" customHeight="1">
      <c r="C339" s="26"/>
      <c r="D339" s="26"/>
      <c r="E339" s="26"/>
      <c r="F339" s="26"/>
      <c r="G339" s="26"/>
      <c r="H339" s="5"/>
    </row>
    <row r="340" spans="2:8" ht="14.25" customHeight="1">
      <c r="C340" s="26"/>
      <c r="D340" s="26"/>
      <c r="E340" s="26"/>
      <c r="F340" s="26"/>
      <c r="G340" s="26"/>
      <c r="H340" s="5"/>
    </row>
    <row r="341" spans="2:8" ht="14.25" customHeight="1">
      <c r="B341" s="38"/>
      <c r="C341" s="39"/>
      <c r="D341" s="39"/>
      <c r="E341" s="39"/>
      <c r="F341" s="39"/>
      <c r="G341" s="39"/>
      <c r="H341" s="5"/>
    </row>
    <row r="342" spans="2:8" ht="14.25" customHeight="1">
      <c r="C342" s="26"/>
      <c r="D342" s="26"/>
      <c r="E342" s="26"/>
      <c r="F342" s="26"/>
      <c r="G342" s="26"/>
      <c r="H342" s="5"/>
    </row>
    <row r="343" spans="2:8" ht="14.25" customHeight="1">
      <c r="C343" s="26"/>
      <c r="D343" s="26"/>
      <c r="E343" s="26"/>
      <c r="F343" s="26"/>
      <c r="G343" s="26"/>
      <c r="H343" s="5"/>
    </row>
    <row r="344" spans="2:8" ht="14.25" customHeight="1">
      <c r="C344" s="26"/>
      <c r="D344" s="26"/>
      <c r="E344" s="26"/>
      <c r="F344" s="26"/>
      <c r="G344" s="26"/>
      <c r="H344" s="5"/>
    </row>
    <row r="345" spans="2:8" ht="14.25" customHeight="1">
      <c r="C345" s="26"/>
      <c r="D345" s="26"/>
      <c r="E345" s="26"/>
      <c r="F345" s="26"/>
      <c r="G345" s="26"/>
      <c r="H345" s="5"/>
    </row>
    <row r="346" spans="2:8" ht="14.25" customHeight="1">
      <c r="C346" s="26"/>
      <c r="D346" s="26"/>
      <c r="E346" s="26"/>
      <c r="F346" s="26"/>
      <c r="G346" s="26"/>
      <c r="H346" s="5"/>
    </row>
    <row r="347" spans="2:8" ht="14.25" customHeight="1">
      <c r="C347" s="26"/>
      <c r="D347" s="26"/>
      <c r="E347" s="26"/>
      <c r="F347" s="26"/>
      <c r="G347" s="26"/>
      <c r="H347" s="5"/>
    </row>
    <row r="348" spans="2:8" ht="14.25" customHeight="1">
      <c r="C348" s="26"/>
      <c r="D348" s="26"/>
      <c r="E348" s="26"/>
      <c r="F348" s="26"/>
      <c r="G348" s="26"/>
      <c r="H348" s="5"/>
    </row>
    <row r="349" spans="2:8" ht="14.25" customHeight="1">
      <c r="C349" s="26"/>
      <c r="D349" s="26"/>
      <c r="E349" s="26"/>
      <c r="F349" s="26"/>
      <c r="G349" s="26"/>
      <c r="H349" s="5"/>
    </row>
    <row r="350" spans="2:8" ht="14.25" customHeight="1">
      <c r="C350" s="26"/>
      <c r="D350" s="26"/>
      <c r="E350" s="26"/>
      <c r="F350" s="26"/>
      <c r="G350" s="26"/>
      <c r="H350" s="5"/>
    </row>
    <row r="351" spans="2:8" ht="14.25" customHeight="1">
      <c r="C351" s="26"/>
      <c r="D351" s="26"/>
      <c r="E351" s="26"/>
      <c r="F351" s="26"/>
      <c r="G351" s="26"/>
      <c r="H351" s="5"/>
    </row>
    <row r="352" spans="2:8" ht="14.25" customHeight="1">
      <c r="C352" s="26"/>
      <c r="D352" s="26"/>
      <c r="E352" s="26"/>
      <c r="F352" s="26"/>
      <c r="G352" s="26"/>
      <c r="H352" s="5"/>
    </row>
    <row r="353" spans="1:46" ht="14.25" customHeight="1">
      <c r="C353" s="26"/>
      <c r="D353" s="26"/>
      <c r="E353" s="26"/>
      <c r="F353" s="26"/>
      <c r="G353" s="26"/>
      <c r="H353" s="5"/>
    </row>
    <row r="354" spans="1:46" ht="14.25" customHeight="1">
      <c r="C354" s="26"/>
      <c r="D354" s="26"/>
      <c r="E354" s="26"/>
      <c r="F354" s="26"/>
      <c r="G354" s="26"/>
      <c r="H354" s="5"/>
    </row>
    <row r="355" spans="1:46" ht="14.25" customHeight="1">
      <c r="C355" s="26"/>
      <c r="D355" s="26"/>
      <c r="E355" s="26"/>
      <c r="F355" s="26"/>
      <c r="G355" s="26"/>
      <c r="H355" s="5"/>
    </row>
    <row r="356" spans="1:46" ht="14.25" customHeight="1">
      <c r="C356" s="26"/>
      <c r="D356" s="26"/>
      <c r="E356" s="26"/>
      <c r="F356" s="26"/>
      <c r="G356" s="26"/>
      <c r="H356" s="5"/>
    </row>
    <row r="357" spans="1:46" ht="14.25" customHeight="1">
      <c r="C357" s="26"/>
      <c r="D357" s="26"/>
      <c r="E357" s="26"/>
      <c r="F357" s="26"/>
      <c r="G357" s="26"/>
      <c r="H357" s="5"/>
    </row>
    <row r="358" spans="1:46" ht="14.25" customHeight="1">
      <c r="C358" s="26"/>
      <c r="D358" s="26"/>
      <c r="E358" s="26"/>
      <c r="F358" s="26"/>
      <c r="G358" s="26"/>
      <c r="H358" s="5"/>
    </row>
    <row r="359" spans="1:46" ht="14.25" customHeight="1">
      <c r="C359" s="26"/>
      <c r="D359" s="26"/>
      <c r="E359" s="26"/>
      <c r="F359" s="26"/>
      <c r="G359" s="26"/>
      <c r="H359" s="5"/>
    </row>
    <row r="360" spans="1:46" s="8" customFormat="1">
      <c r="B360" s="421" t="str">
        <f>TITLE!$C$12</f>
        <v>Полотна каркасно-щитові: ІДЕЯ-ЛОФТ</v>
      </c>
      <c r="C360" s="421"/>
      <c r="D360" s="422"/>
      <c r="E360" s="422"/>
      <c r="F360" s="122"/>
      <c r="G360" s="122"/>
      <c r="H360" s="122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423" t="str">
        <f>IF($C$1="ENG",CONCATENATE("up to: ",B285),CONCATENATE("вгору до: ",B285))</f>
        <v>вгору до: Полотна каркасно-щитові: ІДЕЯ</v>
      </c>
      <c r="U360" s="423"/>
      <c r="V360" s="423"/>
      <c r="W360" s="423"/>
      <c r="AN360" s="291"/>
      <c r="AO360" s="291"/>
      <c r="AP360" s="291"/>
      <c r="AQ360" s="291"/>
      <c r="AR360" s="291"/>
      <c r="AS360" s="291"/>
      <c r="AT360" s="291"/>
    </row>
    <row r="361" spans="1:46" s="8" customFormat="1" ht="5.0999999999999996" customHeight="1">
      <c r="B361" s="121"/>
      <c r="C361" s="121"/>
      <c r="D361" s="9"/>
      <c r="E361" s="9"/>
      <c r="F361" s="10"/>
      <c r="G361" s="10"/>
      <c r="H361" s="10"/>
      <c r="T361" s="119"/>
      <c r="U361" s="119"/>
      <c r="V361" s="119"/>
      <c r="W361" s="119"/>
      <c r="AN361" s="291"/>
      <c r="AO361" s="291"/>
      <c r="AP361" s="291"/>
      <c r="AQ361" s="291"/>
      <c r="AR361" s="291"/>
      <c r="AS361" s="291"/>
      <c r="AT361" s="291"/>
    </row>
    <row r="362" spans="1:46" ht="12.75" customHeight="1">
      <c r="A362" s="8"/>
      <c r="B362" s="448" t="str">
        <f>IF($C$1="ENG","model","модель")</f>
        <v>модель</v>
      </c>
      <c r="C362" s="126" t="str">
        <f>IF($C$1="ENG","cover:","покриття:")</f>
        <v>покриття:</v>
      </c>
      <c r="D362" s="430" t="str">
        <f>IF($C$1="ENG","LOFT","LOFT")</f>
        <v>LOFT</v>
      </c>
      <c r="E362" s="432"/>
      <c r="F362" s="342"/>
      <c r="G362" s="147"/>
      <c r="H362" s="46"/>
      <c r="I362" s="46"/>
      <c r="J362" s="46"/>
      <c r="K362" s="46"/>
      <c r="L362" s="104"/>
      <c r="M362" s="11"/>
      <c r="P362" s="104"/>
      <c r="Q362" s="11"/>
    </row>
    <row r="363" spans="1:46" ht="12.75" customHeight="1">
      <c r="A363" s="8"/>
      <c r="B363" s="449"/>
      <c r="C363" s="127" t="str">
        <f>IF($C$1="ENG","filling:","заповнення:")</f>
        <v>заповнення:</v>
      </c>
      <c r="D363" s="441" t="str">
        <f>IF($C$1="ENG","honeycomb core ","сотове заповнення")</f>
        <v>сотове заповнення</v>
      </c>
      <c r="E363" s="442"/>
      <c r="F363" s="147"/>
      <c r="G363" s="147"/>
      <c r="H363" s="48"/>
      <c r="I363" s="48"/>
      <c r="J363" s="150"/>
      <c r="K363" s="150"/>
      <c r="L363" s="104"/>
      <c r="M363" s="11"/>
      <c r="P363" s="104"/>
      <c r="Q363" s="11"/>
    </row>
    <row r="364" spans="1:46" ht="12.75" customHeight="1">
      <c r="A364" s="8"/>
      <c r="B364" s="450"/>
      <c r="C364" s="128"/>
      <c r="D364" s="424"/>
      <c r="E364" s="434"/>
      <c r="F364" s="147"/>
      <c r="G364" s="147"/>
      <c r="H364" s="48"/>
      <c r="I364" s="48"/>
      <c r="J364" s="47"/>
      <c r="K364" s="135"/>
      <c r="L364" s="104"/>
      <c r="M364" s="11"/>
      <c r="P364" s="104"/>
      <c r="Q364" s="11"/>
    </row>
    <row r="365" spans="1:46" ht="35.1" customHeight="1">
      <c r="A365" s="8"/>
      <c r="B365" s="49" t="s">
        <v>26</v>
      </c>
      <c r="C365" s="341"/>
      <c r="D365" s="51">
        <f>IF(AC365="","",(1-$W$2)*(AC365/1.2))</f>
        <v>3225</v>
      </c>
      <c r="E365" s="88">
        <f>IF($W$5=0.2,D365*1.2,D365)/$W$4</f>
        <v>3870</v>
      </c>
      <c r="F365" s="147"/>
      <c r="G365" s="147"/>
      <c r="H365" s="48"/>
      <c r="I365" s="147"/>
      <c r="J365" s="28"/>
      <c r="K365" s="62"/>
      <c r="L365" s="146"/>
      <c r="M365" s="20"/>
      <c r="N365" s="108"/>
      <c r="O365" s="20"/>
      <c r="P365" s="146"/>
      <c r="Q365" s="20"/>
      <c r="R365" s="108"/>
      <c r="S365" s="20"/>
      <c r="T365" s="108"/>
      <c r="V365" s="108"/>
      <c r="W365" s="20"/>
      <c r="X365" s="22"/>
      <c r="Y365" s="22"/>
      <c r="Z365" s="22"/>
      <c r="AA365" s="22"/>
      <c r="AB365" s="22"/>
      <c r="AC365" s="346">
        <v>3870</v>
      </c>
      <c r="AD365" s="301">
        <v>3870</v>
      </c>
      <c r="AE365" s="301">
        <f t="shared" ref="AE365" si="29">AD365/AC365-1</f>
        <v>0</v>
      </c>
      <c r="AF365" s="301"/>
      <c r="AG365" s="301"/>
      <c r="AH365" s="301"/>
      <c r="AI365" s="301"/>
      <c r="AJ365" s="301"/>
      <c r="AK365" s="301"/>
      <c r="AL365" s="301"/>
    </row>
    <row r="366" spans="1:46">
      <c r="C366" s="26"/>
      <c r="D366" s="26"/>
      <c r="E366" s="60"/>
      <c r="F366" s="26"/>
      <c r="G366" s="60"/>
      <c r="H366" s="63"/>
      <c r="I366" s="147"/>
      <c r="J366" s="48"/>
      <c r="K366" s="147"/>
      <c r="L366" s="48"/>
      <c r="P366" s="48"/>
    </row>
    <row r="367" spans="1:46">
      <c r="B367" s="220" t="str">
        <f>IF($C$1="ENG","For additonal charge:","Послуги за додаткову плату:")</f>
        <v>Послуги за додаткову плату:</v>
      </c>
      <c r="C367" s="221"/>
      <c r="D367" s="221"/>
      <c r="E367" s="222"/>
      <c r="F367" s="26"/>
      <c r="G367" s="26"/>
      <c r="H367" s="10"/>
      <c r="I367" s="87"/>
      <c r="K367" s="20"/>
    </row>
    <row r="368" spans="1:46" ht="5.0999999999999996" customHeight="1">
      <c r="B368" s="27"/>
      <c r="C368" s="26"/>
      <c r="D368" s="26"/>
      <c r="E368" s="60"/>
      <c r="F368" s="26"/>
      <c r="G368" s="26"/>
      <c r="H368" s="10"/>
      <c r="I368" s="8"/>
      <c r="K368" s="20"/>
    </row>
    <row r="369" spans="2:38">
      <c r="B369" s="446" t="str">
        <f>IF($C$1="ENG","Ventilation sleeves (1 row)","вентиляційні віддушини (1ряд)")</f>
        <v>вентиляційні віддушини (1ряд)</v>
      </c>
      <c r="C369" s="447"/>
      <c r="D369" s="136">
        <f>IF(AC369="","",(1-$W$2)*(AC369/1.2))</f>
        <v>208.33333333333334</v>
      </c>
      <c r="E369" s="67">
        <f>IF($W$5=0.2,D369*1.2,D369)/$W$4</f>
        <v>250</v>
      </c>
      <c r="F369" s="26"/>
      <c r="G369" s="26"/>
      <c r="AC369" s="310">
        <v>250</v>
      </c>
      <c r="AD369" s="301">
        <v>250</v>
      </c>
      <c r="AE369" s="301">
        <f>AD369/AC369-1</f>
        <v>0</v>
      </c>
      <c r="AF369" s="301"/>
      <c r="AG369" s="301"/>
      <c r="AH369" s="301"/>
      <c r="AI369" s="301"/>
      <c r="AJ369" s="301"/>
      <c r="AK369" s="301"/>
      <c r="AL369" s="301"/>
    </row>
    <row r="370" spans="2:38">
      <c r="B370" s="446" t="str">
        <f>IF($C$1="ENG","Ventilation cut","вентиляційний підріз")</f>
        <v>вентиляційний підріз</v>
      </c>
      <c r="C370" s="447"/>
      <c r="D370" s="137">
        <f>IF(AC370="","",(1-$W$2)*(AC370/1.2))</f>
        <v>141.66666666666669</v>
      </c>
      <c r="E370" s="69">
        <f>IF($W$5=0.2,D370*1.2,D370)/$W$4</f>
        <v>170.00000000000003</v>
      </c>
      <c r="F370" s="26"/>
      <c r="G370" s="26"/>
      <c r="I370" s="62"/>
      <c r="J370" s="28"/>
      <c r="AC370" s="310">
        <v>170</v>
      </c>
      <c r="AD370" s="301">
        <v>170</v>
      </c>
      <c r="AE370" s="301">
        <f t="shared" ref="AE370:AE379" si="30">AD370/AC370-1</f>
        <v>0</v>
      </c>
      <c r="AF370" s="301"/>
      <c r="AG370" s="301"/>
      <c r="AH370" s="301"/>
      <c r="AI370" s="301"/>
      <c r="AJ370" s="301"/>
      <c r="AK370" s="301"/>
      <c r="AL370" s="301"/>
    </row>
    <row r="371" spans="2:38">
      <c r="B371" s="446" t="str">
        <f>IF($C$1="ENG","third door hindge","третя завіса")</f>
        <v>третя завіса</v>
      </c>
      <c r="C371" s="447"/>
      <c r="D371" s="137">
        <f>IF(AC371="","",(1-$W$2)*(AC371/1.2))</f>
        <v>66.666666666666671</v>
      </c>
      <c r="E371" s="69">
        <f>IF($W$5=0.2,D371*1.2,D371)/$W$4</f>
        <v>80</v>
      </c>
      <c r="F371" s="26"/>
      <c r="G371" s="26"/>
      <c r="AC371" s="310">
        <v>80</v>
      </c>
      <c r="AD371" s="301">
        <v>80</v>
      </c>
      <c r="AE371" s="301">
        <f t="shared" si="30"/>
        <v>0</v>
      </c>
      <c r="AF371" s="301"/>
      <c r="AG371" s="301"/>
      <c r="AH371" s="301"/>
      <c r="AI371" s="301"/>
      <c r="AJ371" s="301"/>
      <c r="AK371" s="301"/>
      <c r="AL371" s="301"/>
    </row>
    <row r="372" spans="2:38">
      <c r="B372" s="439" t="str">
        <f>IF($C$1="ENG","door lock Soft","замок Soft")</f>
        <v>замок Soft</v>
      </c>
      <c r="C372" s="440"/>
      <c r="D372" s="106">
        <f t="shared" ref="D372:D379" si="31">IF(AC372="","",(1-$W$2)*(AC372/1.2))</f>
        <v>458.33333333333337</v>
      </c>
      <c r="E372" s="97">
        <f t="shared" ref="E372:E377" si="32">IF($W$5=0.2,D372*1.2,D372)/$W$4</f>
        <v>550</v>
      </c>
      <c r="F372" s="26"/>
      <c r="G372" s="26"/>
      <c r="H372" s="5"/>
      <c r="AC372" s="310">
        <v>550</v>
      </c>
      <c r="AD372" s="301">
        <v>550</v>
      </c>
      <c r="AE372" s="301">
        <f t="shared" si="30"/>
        <v>0</v>
      </c>
      <c r="AF372" s="301"/>
      <c r="AG372" s="301"/>
      <c r="AH372" s="301"/>
      <c r="AI372" s="301"/>
      <c r="AJ372" s="301"/>
      <c r="AK372" s="301"/>
      <c r="AL372" s="301"/>
    </row>
    <row r="373" spans="2:38">
      <c r="B373" s="439" t="str">
        <f>IF($C$1="ENG","door lock Magnet","замок Magnet")</f>
        <v>замок Magnet</v>
      </c>
      <c r="C373" s="440"/>
      <c r="D373" s="106">
        <f t="shared" si="31"/>
        <v>666.66666666666674</v>
      </c>
      <c r="E373" s="97">
        <f t="shared" si="32"/>
        <v>800.00000000000011</v>
      </c>
      <c r="F373" s="26"/>
      <c r="G373" s="26"/>
      <c r="H373" s="5"/>
      <c r="AC373" s="310">
        <v>800</v>
      </c>
      <c r="AD373" s="301">
        <v>800</v>
      </c>
      <c r="AE373" s="301">
        <f t="shared" si="30"/>
        <v>0</v>
      </c>
      <c r="AF373" s="301"/>
      <c r="AG373" s="301"/>
      <c r="AH373" s="301"/>
      <c r="AI373" s="301"/>
      <c r="AJ373" s="301"/>
      <c r="AK373" s="301"/>
      <c r="AL373" s="301"/>
    </row>
    <row r="374" spans="2:38">
      <c r="B374" s="439" t="str">
        <f>IF($C$1="ENG","door handle-lock (for sliding doors)","ручка-замок (для дверей купе)")</f>
        <v>ручка-замок (для дверей купе)</v>
      </c>
      <c r="C374" s="440"/>
      <c r="D374" s="137">
        <f t="shared" si="31"/>
        <v>466.66666666666669</v>
      </c>
      <c r="E374" s="69">
        <f t="shared" si="32"/>
        <v>560</v>
      </c>
      <c r="F374" s="26"/>
      <c r="G374" s="26"/>
      <c r="I374" s="30"/>
      <c r="K374" s="30"/>
      <c r="AC374" s="310">
        <v>560</v>
      </c>
      <c r="AD374" s="301">
        <v>560</v>
      </c>
      <c r="AE374" s="301">
        <f t="shared" si="30"/>
        <v>0</v>
      </c>
      <c r="AF374" s="301"/>
      <c r="AG374" s="301"/>
      <c r="AH374" s="301"/>
      <c r="AI374" s="301"/>
      <c r="AJ374" s="301"/>
      <c r="AK374" s="301"/>
      <c r="AL374" s="301"/>
    </row>
    <row r="375" spans="2:38">
      <c r="B375" s="439" t="str">
        <f>IF($C$1="ENG","cylinder incert","циліндр несиметричний")</f>
        <v>циліндр несиметричний</v>
      </c>
      <c r="C375" s="440"/>
      <c r="D375" s="137">
        <f t="shared" si="31"/>
        <v>325</v>
      </c>
      <c r="E375" s="69">
        <f t="shared" si="32"/>
        <v>390</v>
      </c>
      <c r="F375" s="26"/>
      <c r="G375" s="26"/>
      <c r="AC375" s="310">
        <v>390</v>
      </c>
      <c r="AD375" s="301">
        <v>390</v>
      </c>
      <c r="AE375" s="301">
        <f t="shared" si="30"/>
        <v>0</v>
      </c>
      <c r="AF375" s="301"/>
      <c r="AG375" s="301"/>
      <c r="AH375" s="301"/>
      <c r="AI375" s="301"/>
      <c r="AJ375" s="301"/>
      <c r="AK375" s="301"/>
      <c r="AL375" s="301"/>
    </row>
    <row r="376" spans="2:38">
      <c r="B376" s="439" t="str">
        <f>IF($C$1="ENG","door hindge Prestige (1 unit)","завіса Prestige (1 шт)")</f>
        <v>завіса Prestige (1 шт)</v>
      </c>
      <c r="C376" s="440"/>
      <c r="D376" s="139">
        <f t="shared" si="31"/>
        <v>216.66666666666669</v>
      </c>
      <c r="E376" s="69">
        <f t="shared" si="32"/>
        <v>260</v>
      </c>
      <c r="F376" s="26"/>
      <c r="G376" s="26"/>
      <c r="AC376" s="310">
        <v>260</v>
      </c>
      <c r="AD376" s="301">
        <v>260</v>
      </c>
      <c r="AE376" s="301">
        <f t="shared" si="30"/>
        <v>0</v>
      </c>
      <c r="AF376" s="301"/>
      <c r="AG376" s="301"/>
      <c r="AH376" s="301"/>
      <c r="AI376" s="301"/>
      <c r="AJ376" s="301"/>
      <c r="AK376" s="301"/>
      <c r="AL376" s="301"/>
    </row>
    <row r="377" spans="2:38">
      <c r="B377" s="439" t="str">
        <f>IF($C$1="ENG","door hinge caps (1 set)","накладка на завіси (1 к-т)")</f>
        <v>накладка на завіси (1 к-т)</v>
      </c>
      <c r="C377" s="440"/>
      <c r="D377" s="139">
        <f t="shared" si="31"/>
        <v>66.666666666666671</v>
      </c>
      <c r="E377" s="69">
        <f t="shared" si="32"/>
        <v>80</v>
      </c>
      <c r="F377" s="26"/>
      <c r="G377" s="26"/>
      <c r="AC377" s="310">
        <v>80</v>
      </c>
      <c r="AD377" s="301">
        <v>80</v>
      </c>
      <c r="AE377" s="301">
        <f t="shared" si="30"/>
        <v>0</v>
      </c>
      <c r="AF377" s="301"/>
      <c r="AG377" s="301"/>
      <c r="AH377" s="301"/>
      <c r="AI377" s="301"/>
      <c r="AJ377" s="301"/>
      <c r="AK377" s="301"/>
      <c r="AL377" s="301"/>
    </row>
    <row r="378" spans="2:38">
      <c r="B378" s="439" t="str">
        <f>IF($C$1="ENG","door handle","дверна ручка")</f>
        <v>дверна ручка</v>
      </c>
      <c r="C378" s="440"/>
      <c r="D378" s="137">
        <f t="shared" si="31"/>
        <v>0</v>
      </c>
      <c r="E378" s="140" t="str">
        <f>IF($C$1="ENG","see Handles Price","див. Таблицю Ручки")</f>
        <v>див. Таблицю Ручки</v>
      </c>
      <c r="F378" s="26"/>
      <c r="G378" s="26"/>
      <c r="AC378" s="310">
        <v>0</v>
      </c>
      <c r="AD378" s="301">
        <f t="shared" ref="AD370:AD379" si="33">AC378/100*13+AC378</f>
        <v>0</v>
      </c>
      <c r="AE378" s="301" t="e">
        <f t="shared" si="30"/>
        <v>#DIV/0!</v>
      </c>
      <c r="AF378" s="301"/>
      <c r="AG378" s="301"/>
      <c r="AH378" s="301"/>
      <c r="AI378" s="301"/>
      <c r="AJ378" s="301"/>
      <c r="AK378" s="301"/>
      <c r="AL378" s="301"/>
    </row>
    <row r="379" spans="2:38">
      <c r="B379" s="439" t="str">
        <f>IF($C$1="ENG","perforated chipboard","ДСП трубчасте")</f>
        <v>ДСП трубчасте</v>
      </c>
      <c r="C379" s="440"/>
      <c r="D379" s="138">
        <f t="shared" si="31"/>
        <v>1083.3333333333335</v>
      </c>
      <c r="E379" s="72">
        <f>IF($W$5=0.2,D379*1.2,D379)/$W$4</f>
        <v>1300.0000000000002</v>
      </c>
      <c r="F379" s="26"/>
      <c r="G379" s="26"/>
      <c r="AC379" s="310">
        <v>1300</v>
      </c>
      <c r="AD379" s="301">
        <v>1300</v>
      </c>
      <c r="AE379" s="301">
        <f t="shared" si="30"/>
        <v>0</v>
      </c>
      <c r="AF379" s="301"/>
      <c r="AG379" s="301"/>
      <c r="AH379" s="301"/>
      <c r="AI379" s="301"/>
      <c r="AJ379" s="301"/>
      <c r="AK379" s="301"/>
      <c r="AL379" s="301"/>
    </row>
    <row r="380" spans="2:38" ht="14.25" customHeight="1">
      <c r="C380" s="26"/>
      <c r="D380" s="26"/>
      <c r="E380" s="26"/>
      <c r="F380" s="26"/>
      <c r="G380" s="26"/>
      <c r="H380" s="5"/>
      <c r="T380" s="466" t="str">
        <f>IF($C$1="ENG",CONCATENATE("down to: ",B430),CONCATENATE("вниз до: ",B430))</f>
        <v>вниз до: Полотна збірні: ЛАДА A</v>
      </c>
      <c r="U380" s="466"/>
      <c r="V380" s="466"/>
      <c r="W380" s="466"/>
    </row>
    <row r="381" spans="2:38" ht="14.25" customHeight="1">
      <c r="C381" s="26"/>
      <c r="D381" s="26"/>
      <c r="E381" s="26"/>
      <c r="F381" s="26"/>
      <c r="G381" s="26"/>
      <c r="H381" s="5"/>
    </row>
    <row r="382" spans="2:38" ht="14.25" customHeight="1">
      <c r="C382" s="26"/>
      <c r="D382" s="26"/>
      <c r="E382" s="26"/>
      <c r="F382" s="26"/>
      <c r="G382" s="26"/>
      <c r="H382" s="5"/>
    </row>
    <row r="383" spans="2:38" ht="14.25" customHeight="1">
      <c r="C383" s="26"/>
      <c r="D383" s="26"/>
      <c r="E383" s="26"/>
      <c r="F383" s="26"/>
      <c r="G383" s="26"/>
      <c r="H383" s="5"/>
    </row>
    <row r="384" spans="2:38" ht="14.25" customHeight="1">
      <c r="C384" s="26"/>
      <c r="D384" s="26"/>
      <c r="E384" s="26"/>
      <c r="F384" s="26"/>
      <c r="G384" s="26"/>
      <c r="H384" s="5"/>
    </row>
    <row r="385" spans="3:8" ht="14.25" customHeight="1">
      <c r="C385" s="26"/>
      <c r="D385" s="26"/>
      <c r="E385" s="26"/>
      <c r="F385" s="26"/>
      <c r="G385" s="26"/>
      <c r="H385" s="5"/>
    </row>
    <row r="386" spans="3:8" ht="14.25" customHeight="1">
      <c r="C386" s="26"/>
      <c r="D386" s="26"/>
      <c r="E386" s="26"/>
      <c r="F386" s="26"/>
      <c r="G386" s="26"/>
      <c r="H386" s="5"/>
    </row>
    <row r="387" spans="3:8" ht="14.25" customHeight="1">
      <c r="C387" s="26"/>
      <c r="D387" s="26"/>
      <c r="E387" s="26"/>
      <c r="F387" s="26"/>
      <c r="G387" s="26"/>
      <c r="H387" s="5"/>
    </row>
    <row r="388" spans="3:8" ht="14.25" customHeight="1">
      <c r="C388" s="26"/>
      <c r="D388" s="26"/>
      <c r="E388" s="26"/>
      <c r="F388" s="26"/>
      <c r="G388" s="26"/>
      <c r="H388" s="5"/>
    </row>
    <row r="389" spans="3:8" ht="14.25" customHeight="1">
      <c r="C389" s="26"/>
      <c r="D389" s="26"/>
      <c r="E389" s="26"/>
      <c r="F389" s="26"/>
      <c r="G389" s="26"/>
      <c r="H389" s="5"/>
    </row>
    <row r="390" spans="3:8" ht="14.25" customHeight="1">
      <c r="C390" s="26"/>
      <c r="D390" s="26"/>
      <c r="E390" s="26"/>
      <c r="F390" s="26"/>
      <c r="G390" s="26"/>
      <c r="H390" s="5"/>
    </row>
    <row r="391" spans="3:8" ht="14.25" customHeight="1">
      <c r="C391" s="26"/>
      <c r="D391" s="26"/>
      <c r="E391" s="26"/>
      <c r="F391" s="26"/>
      <c r="G391" s="26"/>
      <c r="H391" s="5"/>
    </row>
    <row r="392" spans="3:8" ht="14.25" customHeight="1">
      <c r="C392" s="26"/>
      <c r="D392" s="26"/>
      <c r="E392" s="26"/>
      <c r="F392" s="26"/>
      <c r="G392" s="26"/>
      <c r="H392" s="5"/>
    </row>
    <row r="393" spans="3:8" ht="14.25" customHeight="1">
      <c r="C393" s="26"/>
      <c r="D393" s="26"/>
      <c r="E393" s="26"/>
      <c r="F393" s="26"/>
      <c r="G393" s="26"/>
      <c r="H393" s="5"/>
    </row>
    <row r="394" spans="3:8" ht="14.25" customHeight="1">
      <c r="C394" s="26"/>
      <c r="D394" s="26"/>
      <c r="E394" s="26"/>
      <c r="F394" s="26"/>
      <c r="G394" s="26"/>
      <c r="H394" s="5"/>
    </row>
    <row r="395" spans="3:8" ht="14.25" customHeight="1">
      <c r="C395" s="26"/>
      <c r="D395" s="26"/>
      <c r="E395" s="26"/>
      <c r="F395" s="26"/>
      <c r="G395" s="26"/>
      <c r="H395" s="5"/>
    </row>
    <row r="396" spans="3:8" ht="14.25" customHeight="1">
      <c r="C396" s="26"/>
      <c r="D396" s="26"/>
      <c r="E396" s="26"/>
      <c r="F396" s="26"/>
      <c r="G396" s="26"/>
      <c r="H396" s="5"/>
    </row>
    <row r="397" spans="3:8" ht="14.25" customHeight="1">
      <c r="C397" s="26"/>
      <c r="D397" s="26"/>
      <c r="E397" s="26"/>
      <c r="F397" s="26"/>
      <c r="G397" s="26"/>
      <c r="H397" s="5"/>
    </row>
    <row r="398" spans="3:8" ht="14.25" customHeight="1">
      <c r="C398" s="26"/>
      <c r="D398" s="26"/>
      <c r="E398" s="26"/>
      <c r="F398" s="26"/>
      <c r="G398" s="26"/>
      <c r="H398" s="5"/>
    </row>
    <row r="399" spans="3:8" ht="14.25" customHeight="1">
      <c r="C399" s="26"/>
      <c r="D399" s="26"/>
      <c r="E399" s="26"/>
      <c r="F399" s="26"/>
      <c r="G399" s="26"/>
      <c r="H399" s="5"/>
    </row>
    <row r="400" spans="3:8" ht="14.25" customHeight="1">
      <c r="C400" s="26"/>
      <c r="D400" s="26"/>
      <c r="E400" s="26"/>
      <c r="F400" s="26"/>
      <c r="G400" s="26"/>
      <c r="H400" s="5"/>
    </row>
    <row r="401" spans="2:8" ht="14.25" customHeight="1">
      <c r="C401" s="26"/>
      <c r="D401" s="26"/>
      <c r="E401" s="26"/>
      <c r="F401" s="26"/>
      <c r="G401" s="26"/>
      <c r="H401" s="5"/>
    </row>
    <row r="402" spans="2:8" ht="14.25" customHeight="1">
      <c r="C402" s="26"/>
      <c r="D402" s="26"/>
      <c r="E402" s="26"/>
      <c r="F402" s="26"/>
      <c r="G402" s="26"/>
      <c r="H402" s="5"/>
    </row>
    <row r="403" spans="2:8" ht="14.25" customHeight="1">
      <c r="C403" s="26"/>
      <c r="D403" s="26"/>
      <c r="E403" s="26"/>
      <c r="F403" s="26"/>
      <c r="G403" s="26"/>
      <c r="H403" s="5"/>
    </row>
    <row r="404" spans="2:8" ht="14.25" customHeight="1">
      <c r="C404" s="26"/>
      <c r="D404" s="26"/>
      <c r="E404" s="26"/>
      <c r="F404" s="26"/>
      <c r="G404" s="26"/>
      <c r="H404" s="5"/>
    </row>
    <row r="405" spans="2:8" ht="14.25" customHeight="1">
      <c r="C405" s="26"/>
      <c r="D405" s="26"/>
      <c r="E405" s="26"/>
      <c r="F405" s="26"/>
      <c r="G405" s="26"/>
      <c r="H405" s="5"/>
    </row>
    <row r="406" spans="2:8" ht="14.25" customHeight="1">
      <c r="C406" s="26"/>
      <c r="D406" s="26"/>
      <c r="E406" s="26"/>
      <c r="F406" s="26"/>
      <c r="G406" s="26"/>
      <c r="H406" s="5"/>
    </row>
    <row r="407" spans="2:8" ht="14.25" customHeight="1">
      <c r="C407" s="26"/>
      <c r="D407" s="26"/>
      <c r="E407" s="26"/>
      <c r="F407" s="26"/>
      <c r="G407" s="26"/>
      <c r="H407" s="5"/>
    </row>
    <row r="408" spans="2:8" ht="14.25" customHeight="1">
      <c r="C408" s="26"/>
      <c r="D408" s="26"/>
      <c r="E408" s="26"/>
      <c r="F408" s="26"/>
      <c r="G408" s="26"/>
      <c r="H408" s="5"/>
    </row>
    <row r="409" spans="2:8" ht="14.25" customHeight="1">
      <c r="C409" s="26"/>
      <c r="D409" s="26"/>
      <c r="E409" s="26"/>
      <c r="F409" s="26"/>
      <c r="G409" s="26"/>
      <c r="H409" s="5"/>
    </row>
    <row r="410" spans="2:8" ht="14.25" customHeight="1">
      <c r="C410" s="26"/>
      <c r="D410" s="26"/>
      <c r="E410" s="26"/>
      <c r="F410" s="26"/>
      <c r="G410" s="26"/>
      <c r="H410" s="5"/>
    </row>
    <row r="411" spans="2:8" ht="14.25" customHeight="1">
      <c r="B411" s="38"/>
      <c r="C411" s="39"/>
      <c r="D411" s="39"/>
      <c r="E411" s="39"/>
      <c r="F411" s="39"/>
      <c r="G411" s="39"/>
      <c r="H411" s="5"/>
    </row>
    <row r="412" spans="2:8" ht="14.25" customHeight="1">
      <c r="C412" s="26"/>
      <c r="D412" s="26"/>
      <c r="E412" s="26"/>
      <c r="F412" s="26"/>
      <c r="G412" s="26"/>
      <c r="H412" s="5"/>
    </row>
    <row r="413" spans="2:8" ht="14.25" customHeight="1">
      <c r="C413" s="26"/>
      <c r="D413" s="26"/>
      <c r="E413" s="26"/>
      <c r="F413" s="26"/>
      <c r="G413" s="26"/>
      <c r="H413" s="5"/>
    </row>
    <row r="414" spans="2:8" ht="14.25" customHeight="1">
      <c r="C414" s="26"/>
      <c r="D414" s="26"/>
      <c r="E414" s="26"/>
      <c r="F414" s="26"/>
      <c r="G414" s="26"/>
      <c r="H414" s="5"/>
    </row>
    <row r="415" spans="2:8" ht="14.25" customHeight="1">
      <c r="C415" s="26"/>
      <c r="D415" s="26"/>
      <c r="E415" s="26"/>
      <c r="F415" s="26"/>
      <c r="G415" s="26"/>
      <c r="H415" s="5"/>
    </row>
    <row r="416" spans="2:8" ht="14.25" customHeight="1">
      <c r="C416" s="26"/>
      <c r="D416" s="26"/>
      <c r="E416" s="26"/>
      <c r="F416" s="26"/>
      <c r="G416" s="26"/>
      <c r="H416" s="5"/>
    </row>
    <row r="417" spans="2:46" ht="14.25" customHeight="1">
      <c r="C417" s="26"/>
      <c r="D417" s="26"/>
      <c r="E417" s="26"/>
      <c r="F417" s="26"/>
      <c r="G417" s="26"/>
      <c r="H417" s="5"/>
    </row>
    <row r="418" spans="2:46" ht="14.25" customHeight="1">
      <c r="C418" s="26"/>
      <c r="D418" s="26"/>
      <c r="E418" s="26"/>
      <c r="F418" s="26"/>
      <c r="G418" s="26"/>
      <c r="H418" s="5"/>
    </row>
    <row r="419" spans="2:46" ht="14.25" customHeight="1">
      <c r="C419" s="26"/>
      <c r="D419" s="26"/>
      <c r="E419" s="26"/>
      <c r="F419" s="26"/>
      <c r="G419" s="26"/>
      <c r="H419" s="5"/>
    </row>
    <row r="420" spans="2:46" ht="14.25" customHeight="1">
      <c r="C420" s="26"/>
      <c r="D420" s="26"/>
      <c r="E420" s="26"/>
      <c r="F420" s="26"/>
      <c r="G420" s="26"/>
      <c r="H420" s="5"/>
    </row>
    <row r="421" spans="2:46" ht="14.25" customHeight="1">
      <c r="C421" s="26"/>
      <c r="D421" s="26"/>
      <c r="E421" s="26"/>
      <c r="F421" s="26"/>
      <c r="G421" s="26"/>
      <c r="H421" s="5"/>
    </row>
    <row r="422" spans="2:46" ht="14.25" customHeight="1">
      <c r="C422" s="26"/>
      <c r="D422" s="26"/>
      <c r="E422" s="26"/>
      <c r="F422" s="26"/>
      <c r="G422" s="26"/>
      <c r="H422" s="5"/>
    </row>
    <row r="423" spans="2:46" ht="14.25" customHeight="1">
      <c r="C423" s="26"/>
      <c r="D423" s="26"/>
      <c r="E423" s="26"/>
      <c r="F423" s="26"/>
      <c r="G423" s="26"/>
      <c r="H423" s="5"/>
    </row>
    <row r="424" spans="2:46" ht="14.25" customHeight="1">
      <c r="C424" s="26"/>
      <c r="D424" s="26"/>
      <c r="E424" s="26"/>
      <c r="F424" s="26"/>
      <c r="G424" s="26"/>
      <c r="H424" s="5"/>
    </row>
    <row r="425" spans="2:46" ht="14.25" customHeight="1">
      <c r="C425" s="26"/>
      <c r="D425" s="26"/>
      <c r="E425" s="26"/>
      <c r="F425" s="26"/>
      <c r="G425" s="26"/>
      <c r="H425" s="5"/>
    </row>
    <row r="426" spans="2:46" ht="14.25" customHeight="1">
      <c r="C426" s="26"/>
      <c r="D426" s="26"/>
      <c r="E426" s="26"/>
      <c r="F426" s="26"/>
      <c r="G426" s="26"/>
      <c r="H426" s="5"/>
    </row>
    <row r="427" spans="2:46" ht="14.25" customHeight="1">
      <c r="C427" s="26"/>
      <c r="D427" s="26"/>
      <c r="E427" s="26"/>
      <c r="F427" s="26"/>
      <c r="G427" s="26"/>
      <c r="H427" s="5"/>
    </row>
    <row r="428" spans="2:46" ht="14.25" customHeight="1">
      <c r="C428" s="26"/>
      <c r="D428" s="26"/>
      <c r="E428" s="26"/>
      <c r="F428" s="26"/>
      <c r="G428" s="26"/>
      <c r="H428" s="5"/>
    </row>
    <row r="429" spans="2:46" ht="14.25" customHeight="1">
      <c r="C429" s="26"/>
      <c r="D429" s="26"/>
      <c r="E429" s="26"/>
      <c r="F429" s="26"/>
      <c r="G429" s="26"/>
      <c r="H429" s="5"/>
    </row>
    <row r="430" spans="2:46" s="8" customFormat="1">
      <c r="B430" s="421" t="str">
        <f>TITLE!$C$13</f>
        <v>Полотна збірні: ЛАДА A</v>
      </c>
      <c r="C430" s="421"/>
      <c r="D430" s="122"/>
      <c r="E430" s="122"/>
      <c r="F430" s="122"/>
      <c r="G430" s="122"/>
      <c r="H430" s="445"/>
      <c r="I430" s="445"/>
      <c r="J430" s="125"/>
      <c r="K430" s="125"/>
      <c r="L430" s="125"/>
      <c r="M430" s="125"/>
      <c r="N430" s="125"/>
      <c r="O430" s="125"/>
      <c r="P430" s="125"/>
      <c r="Q430" s="125"/>
      <c r="R430" s="125"/>
      <c r="S430" s="423" t="str">
        <f>IF($C$1="ENG",CONCATENATE("up to: ",B360),CONCATENATE("вгору до: ",B360))</f>
        <v>вгору до: Полотна каркасно-щитові: ІДЕЯ-ЛОФТ</v>
      </c>
      <c r="T430" s="420"/>
      <c r="U430" s="420"/>
      <c r="V430" s="420"/>
      <c r="W430" s="420"/>
      <c r="AN430" s="291"/>
      <c r="AO430" s="291"/>
      <c r="AP430" s="291"/>
      <c r="AQ430" s="291"/>
      <c r="AR430" s="291"/>
      <c r="AS430" s="291"/>
      <c r="AT430" s="291"/>
    </row>
    <row r="431" spans="2:46" s="8" customFormat="1" ht="5.0999999999999996" customHeight="1">
      <c r="B431" s="121"/>
      <c r="C431" s="121"/>
      <c r="D431" s="9"/>
      <c r="E431" s="9"/>
      <c r="F431" s="9"/>
      <c r="G431" s="9"/>
      <c r="H431" s="124"/>
      <c r="I431" s="124"/>
      <c r="T431" s="119"/>
      <c r="U431" s="119"/>
      <c r="V431" s="119"/>
      <c r="W431" s="119"/>
      <c r="AN431" s="291"/>
      <c r="AO431" s="291"/>
      <c r="AP431" s="291"/>
      <c r="AQ431" s="291"/>
      <c r="AR431" s="291"/>
      <c r="AS431" s="291"/>
      <c r="AT431" s="291"/>
    </row>
    <row r="432" spans="2:46" s="8" customFormat="1" ht="12.75" customHeight="1">
      <c r="B432" s="448" t="str">
        <f>IF($C$1="ENG","model","модель")</f>
        <v>модель</v>
      </c>
      <c r="C432" s="126" t="str">
        <f>IF($C$1="ENG","cover:","покриття:")</f>
        <v>покриття:</v>
      </c>
      <c r="D432" s="430" t="str">
        <f>IF($C$1="ENG","Verto-CELL","Verto-CELL")</f>
        <v>Verto-CELL</v>
      </c>
      <c r="E432" s="432"/>
      <c r="F432" s="430" t="str">
        <f>IF($C$1="ENG","UNI-MAT","UNI-MAT")</f>
        <v>UNI-MAT</v>
      </c>
      <c r="G432" s="432"/>
      <c r="H432" s="430" t="str">
        <f>IF($C$1="ENG","RESIST","RESIST")</f>
        <v>RESIST</v>
      </c>
      <c r="I432" s="432"/>
      <c r="J432" s="430" t="str">
        <f>IF($C$1="ENG","Verto LINE-3D","Verto LINE-3D")</f>
        <v>Verto LINE-3D</v>
      </c>
      <c r="K432" s="432"/>
      <c r="L432" s="430" t="str">
        <f>IF($C$1="ENG","ECO Shpon","ЕКО Шпон")</f>
        <v>ЕКО Шпон</v>
      </c>
      <c r="M432" s="432"/>
      <c r="N432" s="1"/>
      <c r="O432" s="1"/>
      <c r="T432" s="119"/>
      <c r="U432" s="119"/>
      <c r="V432" s="119"/>
      <c r="W432" s="119"/>
      <c r="AN432" s="291"/>
      <c r="AO432" s="291"/>
      <c r="AP432" s="291"/>
      <c r="AQ432" s="291"/>
      <c r="AR432" s="291"/>
      <c r="AS432" s="291"/>
      <c r="AT432" s="291"/>
    </row>
    <row r="433" spans="1:46" s="8" customFormat="1" ht="24.95" customHeight="1">
      <c r="B433" s="449"/>
      <c r="C433" s="127" t="str">
        <f>IF($C$1="ENG","filling:","заповнення:")</f>
        <v>заповнення:</v>
      </c>
      <c r="D433" s="441" t="str">
        <f>IF($C$1="ENG","softwood","клеєний сосновий брус")</f>
        <v>клеєний сосновий брус</v>
      </c>
      <c r="E433" s="442"/>
      <c r="F433" s="441" t="str">
        <f>IF($C$1="ENG","softwood","клеєний сосновий брус")</f>
        <v>клеєний сосновий брус</v>
      </c>
      <c r="G433" s="442"/>
      <c r="H433" s="441" t="str">
        <f>IF($C$1="ENG","softwood","клеєний сосновий брус")</f>
        <v>клеєний сосновий брус</v>
      </c>
      <c r="I433" s="442"/>
      <c r="J433" s="441" t="str">
        <f>IF($C$1="ENG","softwood","клеєний сосновий брус")</f>
        <v>клеєний сосновий брус</v>
      </c>
      <c r="K433" s="442"/>
      <c r="L433" s="441" t="str">
        <f>IF($C$1="ENG","softwood","клеєний сосновий брус")</f>
        <v>клеєний сосновий брус</v>
      </c>
      <c r="M433" s="442"/>
      <c r="N433" s="1"/>
      <c r="O433" s="1"/>
      <c r="T433" s="119"/>
      <c r="U433" s="119"/>
      <c r="V433" s="119"/>
      <c r="W433" s="119"/>
      <c r="AD433" s="405">
        <f>AD435/AC435-1</f>
        <v>0.1396468699839486</v>
      </c>
      <c r="AE433" s="405">
        <f>AE435/AD435-1</f>
        <v>4.0845070422535157E-2</v>
      </c>
      <c r="AF433" s="405">
        <f>AF435/AE435-1</f>
        <v>8.9309878213802429E-2</v>
      </c>
      <c r="AG433" s="405">
        <f>AG435/AF435-1</f>
        <v>5.2173913043478182E-2</v>
      </c>
      <c r="AN433" s="291"/>
      <c r="AO433" s="291"/>
      <c r="AP433" s="291"/>
      <c r="AQ433" s="291"/>
      <c r="AR433" s="291"/>
      <c r="AS433" s="291"/>
      <c r="AT433" s="291"/>
    </row>
    <row r="434" spans="1:46" ht="12.75" customHeight="1">
      <c r="A434" s="8"/>
      <c r="B434" s="450"/>
      <c r="C434" s="128" t="str">
        <f>IF($C$1="ENG","glazing:","скління:")</f>
        <v>скління:</v>
      </c>
      <c r="D434" s="424" t="str">
        <f>IF($C$1="ENG","Satin","Сатин")</f>
        <v>Сатин</v>
      </c>
      <c r="E434" s="434"/>
      <c r="F434" s="424" t="str">
        <f>IF($C$1="ENG","Satin","Сатин")</f>
        <v>Сатин</v>
      </c>
      <c r="G434" s="434"/>
      <c r="H434" s="424" t="str">
        <f>IF($C$1="ENG","Satin","Сатин")</f>
        <v>Сатин</v>
      </c>
      <c r="I434" s="434"/>
      <c r="J434" s="424" t="str">
        <f>IF($C$1="ENG","Satin","Сатин")</f>
        <v>Сатин</v>
      </c>
      <c r="K434" s="434"/>
      <c r="L434" s="424" t="str">
        <f>IF($C$1="ENG","Satin","Сатин")</f>
        <v>Сатин</v>
      </c>
      <c r="M434" s="434"/>
    </row>
    <row r="435" spans="1:46" ht="35.1" customHeight="1">
      <c r="A435" s="8"/>
      <c r="B435" s="16" t="s">
        <v>29</v>
      </c>
      <c r="C435" s="17"/>
      <c r="D435" s="18">
        <f>IF(AC435="","",(1-$W$2)*(AC435/1.2))</f>
        <v>5191.666666666667</v>
      </c>
      <c r="E435" s="69">
        <f>IF($W$5=0.2,D435*1.2,D435)/$W$4</f>
        <v>6230</v>
      </c>
      <c r="F435" s="18">
        <f>IF(AD435="","",(1-$W$2)*(AD435/1.2))</f>
        <v>5916.666666666667</v>
      </c>
      <c r="G435" s="69">
        <f>IF($W$5=0.2,F435*1.2,F435)/$W$4</f>
        <v>7100</v>
      </c>
      <c r="H435" s="18">
        <f>IF(AE435="","",(1-$W$2)*(AE435/1.2))</f>
        <v>6158.3333333333339</v>
      </c>
      <c r="I435" s="69">
        <f>IF($W$5=0.2,H435*1.2,H435)/$W$4</f>
        <v>7390</v>
      </c>
      <c r="J435" s="18">
        <f>IF(AF435="","",(1-$W$2)*(AF435/1.2))</f>
        <v>6708.3333333333339</v>
      </c>
      <c r="K435" s="69">
        <f>IF($W$5=0.2,J435*1.2,J435)/$W$4</f>
        <v>8050</v>
      </c>
      <c r="L435" s="18">
        <f>IF(AG435="","",(1-$W$2)*(AG435/1.2))</f>
        <v>7058.3333333333339</v>
      </c>
      <c r="M435" s="69">
        <f>IF($W$5=0.2,L435*1.2,L435)/$W$4</f>
        <v>8470</v>
      </c>
      <c r="R435" s="108"/>
      <c r="T435" s="108"/>
      <c r="U435" s="20"/>
      <c r="V435" s="108"/>
      <c r="W435" s="20"/>
      <c r="X435" s="108"/>
      <c r="Y435" s="108"/>
      <c r="Z435" s="108"/>
      <c r="AA435" s="108"/>
      <c r="AB435" s="108"/>
      <c r="AC435" s="346">
        <v>6230</v>
      </c>
      <c r="AD435" s="413">
        <v>7100</v>
      </c>
      <c r="AE435" s="346">
        <v>7390</v>
      </c>
      <c r="AF435" s="346">
        <v>8050</v>
      </c>
      <c r="AG435" s="346">
        <v>8470</v>
      </c>
      <c r="AH435" s="301">
        <v>6230</v>
      </c>
      <c r="AI435" s="301">
        <f>AH435/AC435-1</f>
        <v>0</v>
      </c>
      <c r="AJ435" s="301">
        <v>7100</v>
      </c>
      <c r="AK435" s="301">
        <f>AJ435/AD435-1</f>
        <v>0</v>
      </c>
      <c r="AL435" s="301">
        <v>7390</v>
      </c>
      <c r="AM435" s="301">
        <f>AL435/AE435-1</f>
        <v>0</v>
      </c>
      <c r="AN435" s="301">
        <v>8050</v>
      </c>
      <c r="AO435" s="301">
        <f>AN435/AF435-1</f>
        <v>0</v>
      </c>
      <c r="AP435" s="301">
        <v>8470</v>
      </c>
      <c r="AQ435" s="301">
        <f>AP435/AG435-1</f>
        <v>0</v>
      </c>
    </row>
    <row r="436" spans="1:46" ht="35.1" customHeight="1">
      <c r="A436" s="8"/>
      <c r="B436" s="16" t="s">
        <v>30</v>
      </c>
      <c r="C436" s="17"/>
      <c r="D436" s="18">
        <f>IF(AC436="","",(1-$W$2)*(AC436/1.2))</f>
        <v>5191.666666666667</v>
      </c>
      <c r="E436" s="69">
        <f>IF($W$5=0.2,D436*1.2,D436)/$W$4</f>
        <v>6230</v>
      </c>
      <c r="F436" s="18">
        <f>IF(AD436="","",(1-$W$2)*(AD436/1.2))</f>
        <v>5916.666666666667</v>
      </c>
      <c r="G436" s="69">
        <f>IF($W$5=0.2,F436*1.2,F436)/$W$4</f>
        <v>7100</v>
      </c>
      <c r="H436" s="18">
        <f>IF(AE436="","",(1-$W$2)*(AE436/1.2))</f>
        <v>6158.3333333333339</v>
      </c>
      <c r="I436" s="69">
        <f>IF($W$5=0.2,H436*1.2,H436)/$W$4</f>
        <v>7390</v>
      </c>
      <c r="J436" s="18">
        <f>IF(AF436="","",(1-$W$2)*(AF436/1.2))</f>
        <v>6708.3333333333339</v>
      </c>
      <c r="K436" s="69">
        <f>IF($W$5=0.2,J436*1.2,J436)/$W$4</f>
        <v>8050</v>
      </c>
      <c r="L436" s="18">
        <f>IF(AG436="","",(1-$W$2)*(AG436/1.2))</f>
        <v>7058.3333333333339</v>
      </c>
      <c r="M436" s="69">
        <f>IF($W$5=0.2,L436*1.2,L436)/$W$4</f>
        <v>8470</v>
      </c>
      <c r="R436" s="108"/>
      <c r="T436" s="108"/>
      <c r="U436" s="20"/>
      <c r="V436" s="108"/>
      <c r="W436" s="20"/>
      <c r="X436" s="108"/>
      <c r="Y436" s="108"/>
      <c r="Z436" s="108"/>
      <c r="AA436" s="108"/>
      <c r="AB436" s="108"/>
      <c r="AC436" s="346">
        <v>6230</v>
      </c>
      <c r="AD436" s="413">
        <v>7100</v>
      </c>
      <c r="AE436" s="346">
        <v>7390</v>
      </c>
      <c r="AF436" s="346">
        <v>8050</v>
      </c>
      <c r="AG436" s="346">
        <v>8470</v>
      </c>
      <c r="AH436" s="301">
        <v>6230</v>
      </c>
      <c r="AI436" s="301">
        <f t="shared" ref="AI436:AI437" si="34">AH436/AC436-1</f>
        <v>0</v>
      </c>
      <c r="AJ436" s="301">
        <v>7100</v>
      </c>
      <c r="AK436" s="301">
        <f>AJ436/AD436-1</f>
        <v>0</v>
      </c>
      <c r="AL436" s="301">
        <v>7390</v>
      </c>
      <c r="AM436" s="301">
        <f t="shared" ref="AM436:AM437" si="35">AL436/AE436-1</f>
        <v>0</v>
      </c>
      <c r="AN436" s="301">
        <v>8050</v>
      </c>
      <c r="AO436" s="301">
        <f t="shared" ref="AO436:AO437" si="36">AN436/AF436-1</f>
        <v>0</v>
      </c>
      <c r="AP436" s="301">
        <v>8470</v>
      </c>
      <c r="AQ436" s="301">
        <f t="shared" ref="AQ436:AQ437" si="37">AP436/AG436-1</f>
        <v>0</v>
      </c>
    </row>
    <row r="437" spans="1:46" ht="35.1" customHeight="1">
      <c r="A437" s="8"/>
      <c r="B437" s="23" t="s">
        <v>44</v>
      </c>
      <c r="C437" s="24"/>
      <c r="D437" s="25">
        <f>IF(AC437="","",(1-$W$2)*(AC437/1.2))</f>
        <v>5191.666666666667</v>
      </c>
      <c r="E437" s="72">
        <f>IF($W$5=0.2,D437*1.2,D437)/$W$4</f>
        <v>6230</v>
      </c>
      <c r="F437" s="25">
        <f>IF(AD437="","",(1-$W$2)*(AD437/1.2))</f>
        <v>5916.666666666667</v>
      </c>
      <c r="G437" s="72">
        <f>IF($W$5=0.2,F437*1.2,F437)/$W$4</f>
        <v>7100</v>
      </c>
      <c r="H437" s="25">
        <f>IF(AE437="","",(1-$W$2)*(AE437/1.2))</f>
        <v>6158.3333333333339</v>
      </c>
      <c r="I437" s="72">
        <f>IF($W$5=0.2,H437*1.2,H437)/$W$4</f>
        <v>7390</v>
      </c>
      <c r="J437" s="25">
        <f>IF(AF437="","",(1-$W$2)*(AF437/1.2))</f>
        <v>6708.3333333333339</v>
      </c>
      <c r="K437" s="72">
        <f>IF($W$5=0.2,J437*1.2,J437)/$W$4</f>
        <v>8050</v>
      </c>
      <c r="L437" s="25">
        <f>IF(AG437="","",(1-$W$2)*(AG437/1.2))</f>
        <v>7058.3333333333339</v>
      </c>
      <c r="M437" s="72">
        <f>IF($W$5=0.2,L437*1.2,L437)/$W$4</f>
        <v>8470</v>
      </c>
      <c r="R437" s="108"/>
      <c r="T437" s="108"/>
      <c r="U437" s="20"/>
      <c r="V437" s="108"/>
      <c r="W437" s="20"/>
      <c r="X437" s="108"/>
      <c r="Y437" s="108"/>
      <c r="Z437" s="108"/>
      <c r="AA437" s="108"/>
      <c r="AB437" s="108"/>
      <c r="AC437" s="346">
        <v>6230</v>
      </c>
      <c r="AD437" s="413">
        <v>7100</v>
      </c>
      <c r="AE437" s="346">
        <v>7390</v>
      </c>
      <c r="AF437" s="346">
        <v>8050</v>
      </c>
      <c r="AG437" s="346">
        <v>8470</v>
      </c>
      <c r="AH437" s="301">
        <v>6230</v>
      </c>
      <c r="AI437" s="301">
        <f t="shared" si="34"/>
        <v>0</v>
      </c>
      <c r="AJ437" s="301">
        <v>7100</v>
      </c>
      <c r="AK437" s="301">
        <f t="shared" ref="AK436:AK437" si="38">AJ437/AD437-1</f>
        <v>0</v>
      </c>
      <c r="AL437" s="301">
        <v>7390</v>
      </c>
      <c r="AM437" s="301">
        <f t="shared" si="35"/>
        <v>0</v>
      </c>
      <c r="AN437" s="301">
        <v>8050</v>
      </c>
      <c r="AO437" s="301">
        <f t="shared" si="36"/>
        <v>0</v>
      </c>
      <c r="AP437" s="301">
        <v>8470</v>
      </c>
      <c r="AQ437" s="301">
        <f t="shared" si="37"/>
        <v>0</v>
      </c>
    </row>
    <row r="438" spans="1:46">
      <c r="C438" s="26"/>
      <c r="D438" s="26"/>
      <c r="E438" s="60"/>
      <c r="F438" s="26"/>
      <c r="G438" s="60"/>
      <c r="H438" s="10"/>
      <c r="I438" s="8"/>
      <c r="J438" s="8"/>
      <c r="K438" s="8"/>
    </row>
    <row r="439" spans="1:46">
      <c r="B439" s="220" t="str">
        <f>IF($C$1="ENG","For additonal charge:","Послуги за додаткову плату:")</f>
        <v>Послуги за додаткову плату:</v>
      </c>
      <c r="C439" s="221"/>
      <c r="D439" s="221"/>
      <c r="E439" s="222"/>
      <c r="F439" s="26"/>
      <c r="G439" s="60"/>
      <c r="H439" s="10"/>
      <c r="I439" s="8"/>
      <c r="J439" s="8"/>
      <c r="K439" s="8"/>
    </row>
    <row r="440" spans="1:46" ht="5.0999999999999996" customHeight="1">
      <c r="B440" s="27"/>
      <c r="C440" s="26"/>
      <c r="D440" s="26"/>
      <c r="E440" s="60"/>
      <c r="F440" s="26"/>
      <c r="G440" s="60"/>
      <c r="H440" s="10"/>
      <c r="I440" s="8"/>
      <c r="J440" s="8"/>
      <c r="K440" s="8"/>
    </row>
    <row r="441" spans="1:46">
      <c r="B441" s="446" t="str">
        <f>IF($C$1="ENG","door leaf with width 100","полотно розміром 100")</f>
        <v>полотно розміром 100</v>
      </c>
      <c r="C441" s="447"/>
      <c r="D441" s="136">
        <f t="shared" ref="D441:D450" si="39">IF(AC441="","",(1-$W$2)*(AC441/1.2))</f>
        <v>600</v>
      </c>
      <c r="E441" s="96">
        <f>IF($W$5=0.2,D441*1.2,D441)/$W$4</f>
        <v>720</v>
      </c>
      <c r="F441" s="26"/>
      <c r="G441" s="26"/>
      <c r="H441" s="10"/>
      <c r="I441" s="8"/>
      <c r="J441" s="8"/>
      <c r="K441" s="8"/>
      <c r="AC441" s="310">
        <v>720</v>
      </c>
      <c r="AD441" s="301">
        <v>720</v>
      </c>
      <c r="AE441" s="301">
        <f>AD441/AC441-1</f>
        <v>0</v>
      </c>
      <c r="AF441" s="301"/>
      <c r="AG441" s="301"/>
      <c r="AH441" s="301"/>
      <c r="AI441" s="301"/>
      <c r="AJ441" s="301"/>
      <c r="AK441" s="301"/>
      <c r="AL441" s="301"/>
    </row>
    <row r="442" spans="1:46">
      <c r="B442" s="446" t="str">
        <f>IF($C$1="ENG","Ventilation cut","вентиляційний підріз")</f>
        <v>вентиляційний підріз</v>
      </c>
      <c r="C442" s="447"/>
      <c r="D442" s="137">
        <f t="shared" si="39"/>
        <v>141.66666666666669</v>
      </c>
      <c r="E442" s="69">
        <f t="shared" ref="E442:E449" si="40">IF($W$5=0.2,D442*1.2,D442)/$W$4</f>
        <v>170.00000000000003</v>
      </c>
      <c r="F442" s="26"/>
      <c r="G442" s="26"/>
      <c r="I442" s="62"/>
      <c r="J442" s="28"/>
      <c r="AC442" s="310">
        <v>170</v>
      </c>
      <c r="AD442" s="301">
        <v>170</v>
      </c>
      <c r="AE442" s="301">
        <f t="shared" ref="AE442:AE449" si="41">AD442/AC442-1</f>
        <v>0</v>
      </c>
      <c r="AF442" s="301"/>
      <c r="AG442" s="301"/>
      <c r="AH442" s="301"/>
      <c r="AI442" s="301"/>
      <c r="AJ442" s="301"/>
      <c r="AK442" s="301"/>
      <c r="AL442" s="301"/>
    </row>
    <row r="443" spans="1:46">
      <c r="B443" s="439" t="str">
        <f>IF($C$1="ENG","glazing Graphite / Bronze","скло Графіт / Бронза")</f>
        <v>скло Графіт / Бронза</v>
      </c>
      <c r="C443" s="440"/>
      <c r="D443" s="106">
        <f t="shared" si="39"/>
        <v>458.33333333333337</v>
      </c>
      <c r="E443" s="97">
        <f t="shared" si="40"/>
        <v>550</v>
      </c>
      <c r="F443" s="26"/>
      <c r="G443" s="26"/>
      <c r="H443" s="5"/>
      <c r="AC443" s="310">
        <v>550</v>
      </c>
      <c r="AD443" s="301">
        <v>550</v>
      </c>
      <c r="AE443" s="301">
        <f t="shared" si="41"/>
        <v>0</v>
      </c>
      <c r="AF443" s="301"/>
      <c r="AG443" s="301"/>
      <c r="AH443" s="301"/>
      <c r="AI443" s="301"/>
      <c r="AJ443" s="301"/>
      <c r="AK443" s="301"/>
      <c r="AL443" s="301"/>
    </row>
    <row r="444" spans="1:46">
      <c r="B444" s="439" t="str">
        <f>IF($C$1="ENG","door lock Soft","замок Soft")</f>
        <v>замок Soft</v>
      </c>
      <c r="C444" s="440"/>
      <c r="D444" s="106">
        <f t="shared" si="39"/>
        <v>458.33333333333337</v>
      </c>
      <c r="E444" s="97">
        <f t="shared" si="40"/>
        <v>550</v>
      </c>
      <c r="F444" s="26"/>
      <c r="G444" s="26"/>
      <c r="H444" s="5"/>
      <c r="AC444" s="310">
        <v>550</v>
      </c>
      <c r="AD444" s="301">
        <v>550</v>
      </c>
      <c r="AE444" s="301">
        <f t="shared" si="41"/>
        <v>0</v>
      </c>
      <c r="AF444" s="301"/>
      <c r="AG444" s="301"/>
      <c r="AH444" s="301"/>
      <c r="AI444" s="301"/>
      <c r="AJ444" s="301"/>
      <c r="AK444" s="301"/>
      <c r="AL444" s="301"/>
    </row>
    <row r="445" spans="1:46">
      <c r="B445" s="439" t="str">
        <f>IF($C$1="ENG","door lock Magnet","замок Magnet")</f>
        <v>замок Magnet</v>
      </c>
      <c r="C445" s="440"/>
      <c r="D445" s="106">
        <f t="shared" si="39"/>
        <v>666.66666666666674</v>
      </c>
      <c r="E445" s="97">
        <f t="shared" si="40"/>
        <v>800.00000000000011</v>
      </c>
      <c r="F445" s="26"/>
      <c r="G445" s="26"/>
      <c r="H445" s="5"/>
      <c r="AC445" s="310">
        <v>800</v>
      </c>
      <c r="AD445" s="301">
        <v>800</v>
      </c>
      <c r="AE445" s="301">
        <f t="shared" si="41"/>
        <v>0</v>
      </c>
      <c r="AF445" s="301"/>
      <c r="AG445" s="301"/>
      <c r="AH445" s="301"/>
      <c r="AI445" s="301"/>
      <c r="AJ445" s="301"/>
      <c r="AK445" s="301"/>
      <c r="AL445" s="301"/>
    </row>
    <row r="446" spans="1:46">
      <c r="B446" s="439" t="str">
        <f>IF($C$1="ENG","door handle-lock (for sliding doors)","ручка-замок (для дверей купе)")</f>
        <v>ручка-замок (для дверей купе)</v>
      </c>
      <c r="C446" s="440"/>
      <c r="D446" s="137">
        <f t="shared" si="39"/>
        <v>466.66666666666669</v>
      </c>
      <c r="E446" s="97">
        <f t="shared" si="40"/>
        <v>560</v>
      </c>
      <c r="F446" s="26"/>
      <c r="G446" s="26"/>
      <c r="I446" s="11"/>
      <c r="J446" s="11"/>
      <c r="K446" s="19"/>
      <c r="AC446" s="310">
        <v>560</v>
      </c>
      <c r="AD446" s="301">
        <v>560</v>
      </c>
      <c r="AE446" s="301">
        <f t="shared" si="41"/>
        <v>0</v>
      </c>
      <c r="AF446" s="301"/>
      <c r="AG446" s="301"/>
      <c r="AH446" s="301"/>
      <c r="AI446" s="301"/>
      <c r="AJ446" s="301"/>
      <c r="AK446" s="301"/>
      <c r="AL446" s="301"/>
    </row>
    <row r="447" spans="1:46">
      <c r="B447" s="439" t="str">
        <f>IF($C$1="ENG","cylinder incert","циліндр несиметричний")</f>
        <v>циліндр несиметричний</v>
      </c>
      <c r="C447" s="440"/>
      <c r="D447" s="137">
        <f t="shared" si="39"/>
        <v>325</v>
      </c>
      <c r="E447" s="97">
        <f t="shared" si="40"/>
        <v>390</v>
      </c>
      <c r="F447" s="26"/>
      <c r="G447" s="26"/>
      <c r="AC447" s="310">
        <v>390</v>
      </c>
      <c r="AD447" s="301">
        <v>390</v>
      </c>
      <c r="AE447" s="301">
        <f t="shared" si="41"/>
        <v>0</v>
      </c>
      <c r="AF447" s="301"/>
      <c r="AG447" s="301"/>
      <c r="AH447" s="301"/>
      <c r="AI447" s="301"/>
      <c r="AJ447" s="301"/>
      <c r="AK447" s="301"/>
      <c r="AL447" s="301"/>
    </row>
    <row r="448" spans="1:46">
      <c r="B448" s="439" t="str">
        <f>IF($C$1="ENG","door hindge Prestige (1 unit)","завіса Prestige (1 шт)")</f>
        <v>завіса Prestige (1 шт)</v>
      </c>
      <c r="C448" s="440"/>
      <c r="D448" s="139">
        <f t="shared" si="39"/>
        <v>216.66666666666669</v>
      </c>
      <c r="E448" s="97">
        <f t="shared" si="40"/>
        <v>260</v>
      </c>
      <c r="F448" s="26"/>
      <c r="G448" s="26"/>
      <c r="AC448" s="310">
        <v>260</v>
      </c>
      <c r="AD448" s="301">
        <v>260</v>
      </c>
      <c r="AE448" s="301">
        <f t="shared" si="41"/>
        <v>0</v>
      </c>
      <c r="AF448" s="301"/>
      <c r="AG448" s="301"/>
      <c r="AH448" s="301"/>
      <c r="AI448" s="301"/>
      <c r="AJ448" s="301"/>
      <c r="AK448" s="301"/>
      <c r="AL448" s="301"/>
    </row>
    <row r="449" spans="2:38">
      <c r="B449" s="439" t="str">
        <f>IF($C$1="ENG","door hinge caps (1 set)","накладка на завіси (1 к-т)")</f>
        <v>накладка на завіси (1 к-т)</v>
      </c>
      <c r="C449" s="440"/>
      <c r="D449" s="139">
        <f t="shared" si="39"/>
        <v>66.666666666666671</v>
      </c>
      <c r="E449" s="97">
        <f t="shared" si="40"/>
        <v>80</v>
      </c>
      <c r="F449" s="26"/>
      <c r="G449" s="26"/>
      <c r="AC449" s="310">
        <v>80</v>
      </c>
      <c r="AD449" s="301">
        <v>80</v>
      </c>
      <c r="AE449" s="301">
        <f t="shared" si="41"/>
        <v>0</v>
      </c>
      <c r="AF449" s="301"/>
      <c r="AG449" s="301"/>
      <c r="AH449" s="301"/>
      <c r="AI449" s="301"/>
      <c r="AJ449" s="301"/>
      <c r="AK449" s="301"/>
      <c r="AL449" s="301"/>
    </row>
    <row r="450" spans="2:38">
      <c r="B450" s="439" t="str">
        <f>IF($C$1="ENG","door handle","дверна ручка")</f>
        <v>дверна ручка</v>
      </c>
      <c r="C450" s="440"/>
      <c r="D450" s="138" t="str">
        <f t="shared" si="39"/>
        <v/>
      </c>
      <c r="E450" s="256" t="str">
        <f>IF($C$1="ENG","see Handles Price","див. Таблицю Ручки")</f>
        <v>див. Таблицю Ручки</v>
      </c>
      <c r="F450" s="26"/>
      <c r="G450" s="26"/>
      <c r="AC450" s="301"/>
      <c r="AD450" s="301"/>
      <c r="AE450" s="301"/>
      <c r="AF450" s="301"/>
      <c r="AG450" s="301"/>
      <c r="AH450" s="301"/>
      <c r="AI450" s="301"/>
      <c r="AJ450" s="301"/>
      <c r="AK450" s="301"/>
      <c r="AL450" s="301"/>
    </row>
    <row r="451" spans="2:38" ht="14.25" customHeight="1">
      <c r="C451" s="26"/>
      <c r="D451" s="26"/>
      <c r="E451" s="26"/>
      <c r="F451" s="26"/>
      <c r="G451" s="26"/>
      <c r="H451" s="5"/>
      <c r="T451" s="460" t="str">
        <f>IF($C$1="ENG",CONCATENATE("down to: ",B501),CONCATENATE("вниз до: ",B501))</f>
        <v>вниз до: Полотна збірні: ЛАДА B</v>
      </c>
      <c r="U451" s="460"/>
      <c r="V451" s="460"/>
      <c r="W451" s="460"/>
    </row>
    <row r="452" spans="2:38" ht="14.25" customHeight="1">
      <c r="C452" s="26"/>
      <c r="D452" s="26"/>
      <c r="E452" s="26"/>
      <c r="F452" s="26"/>
      <c r="G452" s="26"/>
      <c r="H452" s="5"/>
    </row>
    <row r="453" spans="2:38" ht="14.25" customHeight="1">
      <c r="C453" s="26"/>
      <c r="D453" s="26"/>
      <c r="E453" s="26"/>
      <c r="F453" s="26"/>
      <c r="G453" s="26"/>
      <c r="H453" s="5"/>
    </row>
    <row r="454" spans="2:38" ht="14.25" customHeight="1">
      <c r="C454" s="26"/>
      <c r="D454" s="26"/>
      <c r="E454" s="26"/>
      <c r="F454" s="26"/>
      <c r="G454" s="26"/>
      <c r="H454" s="5"/>
    </row>
    <row r="455" spans="2:38" ht="14.25" customHeight="1">
      <c r="C455" s="26"/>
      <c r="D455" s="26"/>
      <c r="E455" s="26"/>
      <c r="F455" s="26"/>
      <c r="G455" s="26"/>
      <c r="H455" s="5"/>
    </row>
    <row r="456" spans="2:38" ht="14.25" customHeight="1">
      <c r="C456" s="26"/>
      <c r="D456" s="26"/>
      <c r="E456" s="26"/>
      <c r="F456" s="26"/>
      <c r="G456" s="26"/>
      <c r="H456" s="5"/>
    </row>
    <row r="457" spans="2:38" ht="14.25" customHeight="1">
      <c r="C457" s="26"/>
      <c r="D457" s="26"/>
      <c r="E457" s="26"/>
      <c r="F457" s="26"/>
      <c r="G457" s="26"/>
      <c r="H457" s="5"/>
    </row>
    <row r="458" spans="2:38" ht="14.25" customHeight="1">
      <c r="C458" s="26"/>
      <c r="D458" s="26"/>
      <c r="E458" s="26"/>
      <c r="F458" s="26"/>
      <c r="G458" s="26"/>
      <c r="H458" s="5"/>
    </row>
    <row r="459" spans="2:38" ht="14.25" customHeight="1">
      <c r="C459" s="26"/>
      <c r="D459" s="26"/>
      <c r="E459" s="26"/>
      <c r="F459" s="26"/>
      <c r="G459" s="26"/>
      <c r="H459" s="5"/>
    </row>
    <row r="460" spans="2:38" ht="14.25" customHeight="1">
      <c r="C460" s="26"/>
      <c r="D460" s="26"/>
      <c r="E460" s="26"/>
      <c r="F460" s="26"/>
      <c r="G460" s="26"/>
      <c r="H460" s="5"/>
    </row>
    <row r="461" spans="2:38" ht="14.25" customHeight="1">
      <c r="C461" s="26"/>
      <c r="D461" s="26"/>
      <c r="E461" s="26"/>
      <c r="F461" s="26"/>
      <c r="G461" s="26"/>
      <c r="H461" s="5"/>
    </row>
    <row r="462" spans="2:38" ht="14.25" customHeight="1">
      <c r="C462" s="26"/>
      <c r="D462" s="26"/>
      <c r="E462" s="26"/>
      <c r="F462" s="26"/>
      <c r="G462" s="26"/>
      <c r="H462" s="5"/>
    </row>
    <row r="463" spans="2:38" ht="14.25" customHeight="1">
      <c r="C463" s="26"/>
      <c r="D463" s="26"/>
      <c r="E463" s="26"/>
      <c r="F463" s="26"/>
      <c r="G463" s="26"/>
      <c r="H463" s="5"/>
    </row>
    <row r="464" spans="2:38" ht="14.25" customHeight="1">
      <c r="C464" s="26"/>
      <c r="D464" s="26"/>
      <c r="E464" s="26"/>
      <c r="F464" s="26"/>
      <c r="G464" s="26"/>
      <c r="H464" s="5"/>
    </row>
    <row r="465" spans="3:8" ht="14.25" customHeight="1">
      <c r="C465" s="26"/>
      <c r="D465" s="26"/>
      <c r="E465" s="26"/>
      <c r="F465" s="26"/>
      <c r="G465" s="26"/>
      <c r="H465" s="5"/>
    </row>
    <row r="466" spans="3:8" ht="14.25" customHeight="1">
      <c r="C466" s="26"/>
      <c r="D466" s="26"/>
      <c r="E466" s="26"/>
      <c r="F466" s="26"/>
      <c r="G466" s="26"/>
      <c r="H466" s="5"/>
    </row>
    <row r="467" spans="3:8" ht="14.25" customHeight="1">
      <c r="C467" s="26"/>
      <c r="D467" s="26"/>
      <c r="E467" s="26"/>
      <c r="F467" s="26"/>
      <c r="G467" s="26"/>
      <c r="H467" s="5"/>
    </row>
    <row r="468" spans="3:8" ht="14.25" customHeight="1">
      <c r="C468" s="26"/>
      <c r="D468" s="26"/>
      <c r="E468" s="26"/>
      <c r="F468" s="26"/>
      <c r="G468" s="26"/>
      <c r="H468" s="5"/>
    </row>
    <row r="469" spans="3:8" ht="14.25" customHeight="1">
      <c r="C469" s="26"/>
      <c r="D469" s="26"/>
      <c r="E469" s="26"/>
      <c r="F469" s="26"/>
      <c r="G469" s="26"/>
      <c r="H469" s="5"/>
    </row>
    <row r="470" spans="3:8" ht="14.25" customHeight="1">
      <c r="C470" s="26"/>
      <c r="D470" s="26"/>
      <c r="E470" s="26"/>
      <c r="F470" s="26"/>
      <c r="G470" s="26"/>
      <c r="H470" s="5"/>
    </row>
    <row r="471" spans="3:8" ht="14.25" customHeight="1">
      <c r="C471" s="26"/>
      <c r="D471" s="26"/>
      <c r="E471" s="26"/>
      <c r="F471" s="26"/>
      <c r="G471" s="26"/>
      <c r="H471" s="5"/>
    </row>
    <row r="472" spans="3:8" ht="14.25" customHeight="1">
      <c r="C472" s="26"/>
      <c r="D472" s="26"/>
      <c r="E472" s="26"/>
      <c r="F472" s="26"/>
      <c r="G472" s="26"/>
      <c r="H472" s="5"/>
    </row>
    <row r="473" spans="3:8" ht="14.25" customHeight="1">
      <c r="C473" s="26"/>
      <c r="D473" s="26"/>
      <c r="E473" s="26"/>
      <c r="F473" s="26"/>
      <c r="G473" s="26"/>
      <c r="H473" s="5"/>
    </row>
    <row r="474" spans="3:8" ht="14.25" customHeight="1">
      <c r="C474" s="26"/>
      <c r="D474" s="26"/>
      <c r="E474" s="26"/>
      <c r="F474" s="26"/>
      <c r="G474" s="26"/>
      <c r="H474" s="5"/>
    </row>
    <row r="475" spans="3:8" ht="14.25" customHeight="1">
      <c r="C475" s="26"/>
      <c r="D475" s="26"/>
      <c r="E475" s="26"/>
      <c r="F475" s="26"/>
      <c r="G475" s="26"/>
      <c r="H475" s="5"/>
    </row>
    <row r="476" spans="3:8" ht="14.25" customHeight="1">
      <c r="C476" s="26"/>
      <c r="D476" s="26"/>
      <c r="E476" s="26"/>
      <c r="F476" s="26"/>
      <c r="G476" s="26"/>
      <c r="H476" s="5"/>
    </row>
    <row r="477" spans="3:8" ht="14.25" customHeight="1">
      <c r="C477" s="26"/>
      <c r="D477" s="26"/>
      <c r="E477" s="26"/>
      <c r="F477" s="26"/>
      <c r="G477" s="26"/>
      <c r="H477" s="5"/>
    </row>
    <row r="478" spans="3:8" ht="14.25" customHeight="1">
      <c r="C478" s="26"/>
      <c r="D478" s="26"/>
      <c r="E478" s="26"/>
      <c r="F478" s="26"/>
      <c r="G478" s="26"/>
      <c r="H478" s="5"/>
    </row>
    <row r="479" spans="3:8" ht="14.25" customHeight="1">
      <c r="C479" s="26"/>
      <c r="D479" s="26"/>
      <c r="E479" s="26"/>
      <c r="F479" s="26"/>
      <c r="G479" s="26"/>
      <c r="H479" s="5"/>
    </row>
    <row r="480" spans="3:8" ht="14.25" customHeight="1">
      <c r="C480" s="26"/>
      <c r="D480" s="26"/>
      <c r="E480" s="26"/>
      <c r="F480" s="26"/>
      <c r="G480" s="26"/>
      <c r="H480" s="5"/>
    </row>
    <row r="481" spans="3:8" ht="14.25" customHeight="1">
      <c r="C481" s="26"/>
      <c r="D481" s="26"/>
      <c r="E481" s="26"/>
      <c r="F481" s="26"/>
      <c r="G481" s="26"/>
      <c r="H481" s="5"/>
    </row>
    <row r="482" spans="3:8" ht="14.25" customHeight="1">
      <c r="C482" s="26"/>
      <c r="D482" s="26"/>
      <c r="E482" s="26"/>
      <c r="F482" s="26"/>
      <c r="G482" s="26"/>
      <c r="H482" s="5"/>
    </row>
    <row r="483" spans="3:8" ht="14.25" customHeight="1">
      <c r="C483" s="26"/>
      <c r="D483" s="26"/>
      <c r="E483" s="26"/>
      <c r="F483" s="26"/>
      <c r="G483" s="26"/>
      <c r="H483" s="5"/>
    </row>
    <row r="484" spans="3:8" ht="14.25" customHeight="1">
      <c r="C484" s="26"/>
      <c r="D484" s="26"/>
      <c r="E484" s="26"/>
      <c r="F484" s="26"/>
      <c r="G484" s="26"/>
      <c r="H484" s="5"/>
    </row>
    <row r="485" spans="3:8" ht="14.25" customHeight="1">
      <c r="C485" s="26"/>
      <c r="D485" s="26"/>
      <c r="E485" s="26"/>
      <c r="F485" s="26"/>
      <c r="G485" s="26"/>
      <c r="H485" s="5"/>
    </row>
    <row r="486" spans="3:8" ht="14.25" customHeight="1">
      <c r="C486" s="26"/>
      <c r="D486" s="26"/>
      <c r="E486" s="26"/>
      <c r="F486" s="26"/>
      <c r="G486" s="26"/>
      <c r="H486" s="5"/>
    </row>
    <row r="487" spans="3:8" ht="14.25" customHeight="1">
      <c r="C487" s="26"/>
      <c r="D487" s="26"/>
      <c r="E487" s="26"/>
      <c r="F487" s="26"/>
      <c r="G487" s="26"/>
      <c r="H487" s="5"/>
    </row>
    <row r="488" spans="3:8" ht="14.25" customHeight="1">
      <c r="C488" s="26"/>
      <c r="D488" s="26"/>
      <c r="E488" s="26"/>
      <c r="F488" s="26"/>
      <c r="G488" s="26"/>
      <c r="H488" s="5"/>
    </row>
    <row r="489" spans="3:8" ht="14.25" customHeight="1">
      <c r="C489" s="26"/>
      <c r="D489" s="26"/>
      <c r="E489" s="26"/>
      <c r="F489" s="26"/>
      <c r="G489" s="26"/>
      <c r="H489" s="5"/>
    </row>
    <row r="490" spans="3:8" ht="14.25" customHeight="1">
      <c r="C490" s="26"/>
      <c r="D490" s="26"/>
      <c r="E490" s="26"/>
      <c r="F490" s="26"/>
      <c r="G490" s="26"/>
      <c r="H490" s="5"/>
    </row>
    <row r="491" spans="3:8" ht="14.25" customHeight="1">
      <c r="C491" s="26"/>
      <c r="D491" s="26"/>
      <c r="E491" s="26"/>
      <c r="F491" s="26"/>
      <c r="G491" s="26"/>
      <c r="H491" s="5"/>
    </row>
    <row r="492" spans="3:8" ht="14.25" customHeight="1">
      <c r="C492" s="26"/>
      <c r="D492" s="26"/>
      <c r="E492" s="26"/>
      <c r="F492" s="26"/>
      <c r="G492" s="26"/>
      <c r="H492" s="5"/>
    </row>
    <row r="493" spans="3:8" ht="14.25" customHeight="1">
      <c r="C493" s="26"/>
      <c r="D493" s="26"/>
      <c r="E493" s="26"/>
      <c r="F493" s="26"/>
      <c r="G493" s="26"/>
      <c r="H493" s="5"/>
    </row>
    <row r="494" spans="3:8" ht="14.25" customHeight="1">
      <c r="C494" s="26"/>
      <c r="D494" s="26"/>
      <c r="E494" s="26"/>
      <c r="F494" s="26"/>
      <c r="G494" s="26"/>
      <c r="H494" s="5"/>
    </row>
    <row r="495" spans="3:8" ht="14.25" customHeight="1">
      <c r="C495" s="26"/>
      <c r="D495" s="26"/>
      <c r="E495" s="26"/>
      <c r="F495" s="26"/>
      <c r="G495" s="26"/>
      <c r="H495" s="5"/>
    </row>
    <row r="496" spans="3:8" ht="14.25" customHeight="1">
      <c r="C496" s="26"/>
      <c r="D496" s="26"/>
      <c r="E496" s="26"/>
      <c r="F496" s="26"/>
      <c r="G496" s="26"/>
      <c r="H496" s="5"/>
    </row>
    <row r="497" spans="1:46" ht="14.25" customHeight="1">
      <c r="C497" s="26"/>
      <c r="D497" s="26"/>
      <c r="E497" s="26"/>
      <c r="F497" s="26"/>
      <c r="G497" s="26"/>
      <c r="H497" s="5"/>
    </row>
    <row r="498" spans="1:46" ht="14.25" customHeight="1">
      <c r="C498" s="26"/>
      <c r="D498" s="26"/>
      <c r="E498" s="26"/>
      <c r="F498" s="26"/>
      <c r="G498" s="26"/>
      <c r="H498" s="5"/>
    </row>
    <row r="499" spans="1:46" ht="14.25" customHeight="1">
      <c r="C499" s="26"/>
      <c r="D499" s="26"/>
      <c r="E499" s="26"/>
      <c r="F499" s="26"/>
      <c r="G499" s="26"/>
      <c r="H499" s="5"/>
    </row>
    <row r="500" spans="1:46" ht="14.25" customHeight="1">
      <c r="C500" s="26"/>
      <c r="D500" s="26"/>
      <c r="E500" s="26"/>
      <c r="F500" s="26"/>
      <c r="G500" s="26"/>
      <c r="H500" s="5"/>
    </row>
    <row r="501" spans="1:46" s="8" customFormat="1">
      <c r="B501" s="421" t="str">
        <f>TITLE!C14</f>
        <v>Полотна збірні: ЛАДА B</v>
      </c>
      <c r="C501" s="421"/>
      <c r="D501" s="122"/>
      <c r="E501" s="122"/>
      <c r="F501" s="122"/>
      <c r="G501" s="122"/>
      <c r="H501" s="445"/>
      <c r="I501" s="44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419" t="str">
        <f>IF($C$1="ENG",CONCATENATE("up to: ",B430),CONCATENATE("вгору до: ",B430))</f>
        <v>вгору до: Полотна збірні: ЛАДА A</v>
      </c>
      <c r="U501" s="419"/>
      <c r="V501" s="419"/>
      <c r="W501" s="419"/>
      <c r="AN501" s="291"/>
      <c r="AO501" s="291"/>
      <c r="AP501" s="291"/>
      <c r="AQ501" s="291"/>
      <c r="AR501" s="291"/>
      <c r="AS501" s="291"/>
      <c r="AT501" s="291"/>
    </row>
    <row r="502" spans="1:46" s="8" customFormat="1" ht="5.0999999999999996" customHeight="1">
      <c r="B502" s="121"/>
      <c r="C502" s="121"/>
      <c r="D502" s="9"/>
      <c r="E502" s="9"/>
      <c r="F502" s="9"/>
      <c r="G502" s="9"/>
      <c r="H502" s="124"/>
      <c r="I502" s="124"/>
      <c r="T502" s="119"/>
      <c r="U502" s="119"/>
      <c r="V502" s="119"/>
      <c r="W502" s="119"/>
      <c r="AN502" s="291"/>
      <c r="AO502" s="291"/>
      <c r="AP502" s="291"/>
      <c r="AQ502" s="291"/>
      <c r="AR502" s="291"/>
      <c r="AS502" s="291"/>
      <c r="AT502" s="291"/>
    </row>
    <row r="503" spans="1:46" s="8" customFormat="1" ht="12.75" customHeight="1">
      <c r="B503" s="448" t="str">
        <f>IF($C$1="ENG","model","модель")</f>
        <v>модель</v>
      </c>
      <c r="C503" s="126" t="str">
        <f>IF($C$1="ENG","cover:","покриття:")</f>
        <v>покриття:</v>
      </c>
      <c r="D503" s="430" t="str">
        <f>IF($C$1="ENG","Verto-CELL","Verto-CELL")</f>
        <v>Verto-CELL</v>
      </c>
      <c r="E503" s="432"/>
      <c r="F503" s="430" t="str">
        <f>IF($C$1="ENG","UNI-MAT","UNI-MAT")</f>
        <v>UNI-MAT</v>
      </c>
      <c r="G503" s="432"/>
      <c r="H503" s="430" t="str">
        <f>IF($C$1="ENG","RESIST","RESIST")</f>
        <v>RESIST</v>
      </c>
      <c r="I503" s="432"/>
      <c r="J503" s="430" t="str">
        <f>IF($C$1="ENG","Verto LINE-3D","Verto LINE-3D")</f>
        <v>Verto LINE-3D</v>
      </c>
      <c r="K503" s="432"/>
      <c r="L503" s="430" t="str">
        <f>IF($C$1="ENG","ECO Shpon","ЕКО Шпон")</f>
        <v>ЕКО Шпон</v>
      </c>
      <c r="M503" s="432"/>
      <c r="P503" s="1"/>
      <c r="Q503" s="1"/>
      <c r="T503" s="119"/>
      <c r="U503" s="119"/>
      <c r="V503" s="119"/>
      <c r="W503" s="119"/>
      <c r="AN503" s="291"/>
      <c r="AO503" s="291"/>
      <c r="AP503" s="291"/>
      <c r="AQ503" s="291"/>
      <c r="AR503" s="291"/>
      <c r="AS503" s="291"/>
      <c r="AT503" s="291"/>
    </row>
    <row r="504" spans="1:46" s="8" customFormat="1" ht="24.75" customHeight="1">
      <c r="B504" s="449"/>
      <c r="C504" s="127" t="str">
        <f>IF($C$1="ENG","filling:","заповнення:")</f>
        <v>заповнення:</v>
      </c>
      <c r="D504" s="441" t="str">
        <f>IF($C$1="ENG","softwood","клеєний сосновий брус")</f>
        <v>клеєний сосновий брус</v>
      </c>
      <c r="E504" s="442"/>
      <c r="F504" s="441" t="str">
        <f>IF($C$1="ENG","softwood","клеєний сосновий брус")</f>
        <v>клеєний сосновий брус</v>
      </c>
      <c r="G504" s="442"/>
      <c r="H504" s="441" t="str">
        <f>IF($C$1="ENG","softwood","клеєний сосновий брус")</f>
        <v>клеєний сосновий брус</v>
      </c>
      <c r="I504" s="442"/>
      <c r="J504" s="441" t="str">
        <f>IF($C$1="ENG","softwood","клеєний сосновий брус")</f>
        <v>клеєний сосновий брус</v>
      </c>
      <c r="K504" s="442"/>
      <c r="L504" s="441" t="str">
        <f>IF($C$1="ENG","softwood","клеєний сосновий брус")</f>
        <v>клеєний сосновий брус</v>
      </c>
      <c r="M504" s="442"/>
      <c r="P504" s="1"/>
      <c r="Q504" s="1"/>
      <c r="T504" s="119"/>
      <c r="U504" s="119"/>
      <c r="V504" s="119"/>
      <c r="W504" s="119"/>
      <c r="AD504" s="405">
        <f>AD506/AC506-1</f>
        <v>0.1396468699839486</v>
      </c>
      <c r="AE504" s="405">
        <f>AE506/AD506-1</f>
        <v>4.2253521126760507E-2</v>
      </c>
      <c r="AF504" s="405">
        <f>AF506/AE506-1</f>
        <v>8.783783783783794E-2</v>
      </c>
      <c r="AG504" s="405">
        <f>AG506/AF506-1</f>
        <v>5.2173913043478182E-2</v>
      </c>
      <c r="AN504" s="291"/>
      <c r="AO504" s="291"/>
      <c r="AP504" s="291"/>
      <c r="AQ504" s="291"/>
      <c r="AR504" s="291"/>
      <c r="AS504" s="291"/>
      <c r="AT504" s="291"/>
    </row>
    <row r="505" spans="1:46" ht="12.75" customHeight="1">
      <c r="A505" s="8"/>
      <c r="B505" s="450"/>
      <c r="C505" s="128" t="str">
        <f>IF($C$1="ENG","glazing:","скління:")</f>
        <v>скління:</v>
      </c>
      <c r="D505" s="424" t="str">
        <f>IF($C$1="ENG","Satin","Сатин")</f>
        <v>Сатин</v>
      </c>
      <c r="E505" s="434"/>
      <c r="F505" s="424" t="str">
        <f>IF($C$1="ENG","Satin","Сатин")</f>
        <v>Сатин</v>
      </c>
      <c r="G505" s="434"/>
      <c r="H505" s="424" t="str">
        <f>IF($C$1="ENG","Satin","Сатин")</f>
        <v>Сатин</v>
      </c>
      <c r="I505" s="434"/>
      <c r="J505" s="424" t="str">
        <f>IF($C$1="ENG","Satin","Сатин")</f>
        <v>Сатин</v>
      </c>
      <c r="K505" s="434"/>
      <c r="L505" s="424" t="str">
        <f>IF($C$1="ENG","Satin","Сатин")</f>
        <v>Сатин</v>
      </c>
      <c r="M505" s="434"/>
    </row>
    <row r="506" spans="1:46" ht="35.1" customHeight="1">
      <c r="A506" s="8"/>
      <c r="B506" s="13" t="s">
        <v>39</v>
      </c>
      <c r="C506" s="14"/>
      <c r="D506" s="15">
        <f>IF(AC506="","",(1-$W$2)*(AC506/1.2))</f>
        <v>5191.666666666667</v>
      </c>
      <c r="E506" s="67">
        <f>IF($W$5=0.2,D506*1.2,D506)/$W$4</f>
        <v>6230</v>
      </c>
      <c r="F506" s="15">
        <f>IF(AD506="","",(1-$W$2)*(AD506/1.2))</f>
        <v>5916.666666666667</v>
      </c>
      <c r="G506" s="67">
        <f>IF($W$5=0.2,F506*1.2,F506)/$W$4</f>
        <v>7100</v>
      </c>
      <c r="H506" s="15">
        <f>IF(AE506="","",(1-$W$2)*(AE506/1.2))</f>
        <v>6166.666666666667</v>
      </c>
      <c r="I506" s="67">
        <f>IF($W$5=0.2,H506*1.2,H506)/$W$4</f>
        <v>7400</v>
      </c>
      <c r="J506" s="15">
        <f>IF(AF506="","",(1-$W$2)*(AF506/1.2))</f>
        <v>6708.3333333333339</v>
      </c>
      <c r="K506" s="67">
        <f>IF($W$5=0.2,J506*1.2,J506)/$W$4</f>
        <v>8050</v>
      </c>
      <c r="L506" s="15">
        <f>IF(AG506="","",(1-$W$2)*(AG506/1.2))</f>
        <v>7058.3333333333339</v>
      </c>
      <c r="M506" s="67">
        <f>IF($W$5=0.2,L506*1.2,L506)/$W$4</f>
        <v>8470</v>
      </c>
      <c r="N506" s="108"/>
      <c r="R506" s="108"/>
      <c r="T506" s="108"/>
      <c r="U506" s="20"/>
      <c r="V506" s="108"/>
      <c r="W506" s="20"/>
      <c r="X506" s="108"/>
      <c r="Y506" s="108"/>
      <c r="Z506" s="108"/>
      <c r="AA506" s="108"/>
      <c r="AB506" s="108"/>
      <c r="AC506" s="346">
        <v>6230</v>
      </c>
      <c r="AD506" s="413">
        <v>7100</v>
      </c>
      <c r="AE506" s="346">
        <v>7400</v>
      </c>
      <c r="AF506" s="346">
        <v>8050</v>
      </c>
      <c r="AG506" s="346">
        <v>8470</v>
      </c>
      <c r="AH506" s="301">
        <v>6230</v>
      </c>
      <c r="AI506" s="301">
        <f>AH506/AC506-1</f>
        <v>0</v>
      </c>
      <c r="AJ506" s="301">
        <v>7100</v>
      </c>
      <c r="AK506" s="301">
        <f>AJ506/AD506-1</f>
        <v>0</v>
      </c>
      <c r="AL506" s="301">
        <v>7400</v>
      </c>
      <c r="AM506" s="1">
        <f>AL506/AE506-1</f>
        <v>0</v>
      </c>
      <c r="AN506" s="30">
        <v>8050</v>
      </c>
      <c r="AO506" s="1">
        <f>AN506/AF506-1</f>
        <v>0</v>
      </c>
      <c r="AP506" s="1">
        <v>8470</v>
      </c>
      <c r="AQ506" s="1">
        <f>AP506/AG506-1</f>
        <v>0</v>
      </c>
    </row>
    <row r="507" spans="1:46" ht="35.1" customHeight="1">
      <c r="A507" s="8"/>
      <c r="B507" s="16" t="s">
        <v>28</v>
      </c>
      <c r="C507" s="17"/>
      <c r="D507" s="18">
        <f>IF(AC507="","",(1-$W$2)*(AC507/1.2))</f>
        <v>5191.666666666667</v>
      </c>
      <c r="E507" s="69">
        <f>IF($W$5=0.2,D507*1.2,D507)/$W$4</f>
        <v>6230</v>
      </c>
      <c r="F507" s="18">
        <f>IF(AD507="","",(1-$W$2)*(AD507/1.2))</f>
        <v>5916.666666666667</v>
      </c>
      <c r="G507" s="69">
        <f>IF($W$5=0.2,F507*1.2,F507)/$W$4</f>
        <v>7100</v>
      </c>
      <c r="H507" s="18">
        <f>IF(AE507="","",(1-$W$2)*(AE507/1.2))</f>
        <v>6166.666666666667</v>
      </c>
      <c r="I507" s="69">
        <f>IF($W$5=0.2,H507*1.2,H507)/$W$4</f>
        <v>7400</v>
      </c>
      <c r="J507" s="18">
        <f>IF(AF507="","",(1-$W$2)*(AF507/1.2))</f>
        <v>6708.3333333333339</v>
      </c>
      <c r="K507" s="69">
        <f>IF($W$5=0.2,J507*1.2,J507)/$W$4</f>
        <v>8050</v>
      </c>
      <c r="L507" s="18">
        <f>IF(AG507="","",(1-$W$2)*(AG507/1.2))</f>
        <v>7058.3333333333339</v>
      </c>
      <c r="M507" s="69">
        <f>IF($W$5=0.2,L507*1.2,L507)/$W$4</f>
        <v>8470</v>
      </c>
      <c r="N507" s="108"/>
      <c r="R507" s="108"/>
      <c r="T507" s="108"/>
      <c r="U507" s="20"/>
      <c r="V507" s="108"/>
      <c r="W507" s="20"/>
      <c r="X507" s="108"/>
      <c r="Y507" s="108"/>
      <c r="Z507" s="108"/>
      <c r="AA507" s="108"/>
      <c r="AB507" s="108"/>
      <c r="AC507" s="346">
        <v>6230</v>
      </c>
      <c r="AD507" s="413">
        <v>7100</v>
      </c>
      <c r="AE507" s="346">
        <v>7400</v>
      </c>
      <c r="AF507" s="346">
        <v>8050</v>
      </c>
      <c r="AG507" s="346">
        <v>8470</v>
      </c>
      <c r="AH507" s="301">
        <v>6230</v>
      </c>
      <c r="AI507" s="301">
        <f t="shared" ref="AI507:AI508" si="42">AH507/AC507-1</f>
        <v>0</v>
      </c>
      <c r="AJ507" s="301">
        <v>7100</v>
      </c>
      <c r="AK507" s="301">
        <f t="shared" ref="AK507:AK508" si="43">AJ507/AD507-1</f>
        <v>0</v>
      </c>
      <c r="AL507" s="301">
        <v>7400</v>
      </c>
      <c r="AM507" s="1">
        <f t="shared" ref="AM507:AM508" si="44">AL507/AE507-1</f>
        <v>0</v>
      </c>
      <c r="AN507" s="30">
        <v>8050</v>
      </c>
      <c r="AO507" s="1">
        <f t="shared" ref="AO507:AO508" si="45">AN507/AF507-1</f>
        <v>0</v>
      </c>
      <c r="AP507" s="1">
        <v>8470</v>
      </c>
      <c r="AQ507" s="1">
        <f t="shared" ref="AQ507:AQ508" si="46">AP507/AG507-1</f>
        <v>0</v>
      </c>
    </row>
    <row r="508" spans="1:46" ht="35.1" customHeight="1">
      <c r="A508" s="8"/>
      <c r="B508" s="23" t="s">
        <v>40</v>
      </c>
      <c r="C508" s="24"/>
      <c r="D508" s="25">
        <f>IF(AC508="","",(1-$W$2)*(AC508/1.2))</f>
        <v>5416.666666666667</v>
      </c>
      <c r="E508" s="72">
        <f>IF($W$5=0.2,D508*1.2,D508)/$W$4</f>
        <v>6500</v>
      </c>
      <c r="F508" s="25">
        <f>IF(AD508="","",(1-$W$2)*(AD508/1.2))</f>
        <v>6166.666666666667</v>
      </c>
      <c r="G508" s="72">
        <f>IF($W$5=0.2,F508*1.2,F508)/$W$4</f>
        <v>7400</v>
      </c>
      <c r="H508" s="25">
        <f>IF(AE508="","",(1-$W$2)*(AE508/1.2))</f>
        <v>6441.666666666667</v>
      </c>
      <c r="I508" s="72">
        <f>IF($W$5=0.2,H508*1.2,H508)/$W$4</f>
        <v>7730</v>
      </c>
      <c r="J508" s="25">
        <f>IF(AF508="","",(1-$W$2)*(AF508/1.2))</f>
        <v>6950</v>
      </c>
      <c r="K508" s="72">
        <f>IF($W$5=0.2,J508*1.2,J508)/$W$4</f>
        <v>8340</v>
      </c>
      <c r="L508" s="25">
        <f>IF(AG508="","",(1-$W$2)*(AG508/1.2))</f>
        <v>7375</v>
      </c>
      <c r="M508" s="72">
        <f>IF($W$5=0.2,L508*1.2,L508)/$W$4</f>
        <v>8850</v>
      </c>
      <c r="N508" s="108"/>
      <c r="R508" s="108"/>
      <c r="T508" s="108"/>
      <c r="V508" s="108"/>
      <c r="X508" s="108"/>
      <c r="Y508" s="108"/>
      <c r="Z508" s="108"/>
      <c r="AA508" s="108"/>
      <c r="AB508" s="108"/>
      <c r="AC508" s="346">
        <v>6500</v>
      </c>
      <c r="AD508" s="413">
        <v>7400</v>
      </c>
      <c r="AE508" s="346">
        <v>7730</v>
      </c>
      <c r="AF508" s="346">
        <v>8340</v>
      </c>
      <c r="AG508" s="346">
        <v>8850</v>
      </c>
      <c r="AH508" s="301">
        <v>6500</v>
      </c>
      <c r="AI508" s="301">
        <f t="shared" si="42"/>
        <v>0</v>
      </c>
      <c r="AJ508" s="301">
        <v>7400</v>
      </c>
      <c r="AK508" s="301">
        <f t="shared" si="43"/>
        <v>0</v>
      </c>
      <c r="AL508" s="301">
        <v>7730</v>
      </c>
      <c r="AM508" s="1">
        <f t="shared" si="44"/>
        <v>0</v>
      </c>
      <c r="AN508" s="30">
        <v>8340</v>
      </c>
      <c r="AO508" s="1">
        <f t="shared" si="45"/>
        <v>0</v>
      </c>
      <c r="AP508" s="1">
        <v>8850</v>
      </c>
      <c r="AQ508" s="1">
        <f t="shared" si="46"/>
        <v>0</v>
      </c>
    </row>
    <row r="509" spans="1:46">
      <c r="C509" s="26"/>
      <c r="D509" s="26"/>
      <c r="E509" s="60"/>
      <c r="F509" s="26"/>
      <c r="G509" s="60"/>
      <c r="H509" s="10"/>
      <c r="I509" s="8"/>
      <c r="J509" s="8"/>
      <c r="K509" s="8"/>
    </row>
    <row r="510" spans="1:46">
      <c r="B510" s="220" t="str">
        <f>IF($C$1="ENG","For additonal charge:","Послуги за додаткову плату:")</f>
        <v>Послуги за додаткову плату:</v>
      </c>
      <c r="C510" s="221"/>
      <c r="D510" s="221"/>
      <c r="E510" s="222"/>
      <c r="F510" s="26"/>
      <c r="G510" s="60"/>
      <c r="H510" s="10"/>
      <c r="I510" s="8"/>
      <c r="J510" s="8"/>
      <c r="K510" s="8"/>
    </row>
    <row r="511" spans="1:46" ht="5.0999999999999996" customHeight="1">
      <c r="B511" s="27"/>
      <c r="C511" s="26"/>
      <c r="D511" s="26"/>
      <c r="E511" s="60"/>
      <c r="F511" s="26"/>
      <c r="G511" s="60"/>
      <c r="H511" s="10"/>
      <c r="I511" s="8"/>
      <c r="J511" s="8"/>
      <c r="K511" s="8"/>
    </row>
    <row r="512" spans="1:46">
      <c r="B512" s="446" t="str">
        <f>IF($C$1="ENG","door leaf with width 100","полотно розміром 100")</f>
        <v>полотно розміром 100</v>
      </c>
      <c r="C512" s="447"/>
      <c r="D512" s="136">
        <f t="shared" ref="D512:D521" si="47">IF(AC512="","",(1-$W$2)*(AC512/1.2))</f>
        <v>600</v>
      </c>
      <c r="E512" s="96">
        <f t="shared" ref="E512:E520" si="48">IF($W$5=0.2,D512*1.2,D512)/$W$4</f>
        <v>720</v>
      </c>
      <c r="F512" s="26"/>
      <c r="G512" s="26"/>
      <c r="H512" s="10"/>
      <c r="I512" s="8"/>
      <c r="J512" s="8"/>
      <c r="K512" s="8"/>
      <c r="AC512" s="310">
        <v>720</v>
      </c>
      <c r="AD512" s="310">
        <v>720</v>
      </c>
      <c r="AE512" s="301">
        <f>AD512/AC512-1</f>
        <v>0</v>
      </c>
      <c r="AF512" s="301"/>
      <c r="AG512" s="301"/>
      <c r="AH512" s="301"/>
      <c r="AI512" s="301"/>
      <c r="AJ512" s="301"/>
      <c r="AK512" s="301"/>
      <c r="AL512" s="301"/>
    </row>
    <row r="513" spans="2:38">
      <c r="B513" s="446" t="str">
        <f>IF($C$1="ENG","Ventilation cut","вентиляційний підріз")</f>
        <v>вентиляційний підріз</v>
      </c>
      <c r="C513" s="447"/>
      <c r="D513" s="137">
        <f t="shared" si="47"/>
        <v>141.66666666666669</v>
      </c>
      <c r="E513" s="69">
        <f t="shared" si="48"/>
        <v>170.00000000000003</v>
      </c>
      <c r="F513" s="26"/>
      <c r="G513" s="26"/>
      <c r="I513" s="62"/>
      <c r="J513" s="28"/>
      <c r="AC513" s="310">
        <v>170</v>
      </c>
      <c r="AD513" s="310">
        <v>170</v>
      </c>
      <c r="AE513" s="301">
        <f t="shared" ref="AE513:AE520" si="49">AD513/AC513-1</f>
        <v>0</v>
      </c>
      <c r="AF513" s="301"/>
      <c r="AG513" s="301"/>
      <c r="AH513" s="301"/>
      <c r="AI513" s="301"/>
      <c r="AJ513" s="301"/>
      <c r="AK513" s="301"/>
      <c r="AL513" s="301"/>
    </row>
    <row r="514" spans="2:38">
      <c r="B514" s="439" t="str">
        <f>IF($C$1="ENG","glazing Graphite / Bronze","скло Графіт / Бронза")</f>
        <v>скло Графіт / Бронза</v>
      </c>
      <c r="C514" s="440"/>
      <c r="D514" s="106">
        <f t="shared" si="47"/>
        <v>458.33333333333337</v>
      </c>
      <c r="E514" s="97">
        <f t="shared" si="48"/>
        <v>550</v>
      </c>
      <c r="F514" s="26"/>
      <c r="G514" s="26"/>
      <c r="H514" s="5"/>
      <c r="AC514" s="310">
        <v>550</v>
      </c>
      <c r="AD514" s="310">
        <v>550</v>
      </c>
      <c r="AE514" s="301">
        <f t="shared" si="49"/>
        <v>0</v>
      </c>
      <c r="AF514" s="301"/>
      <c r="AG514" s="301"/>
      <c r="AH514" s="301"/>
      <c r="AI514" s="301"/>
      <c r="AJ514" s="301"/>
      <c r="AK514" s="301"/>
      <c r="AL514" s="301"/>
    </row>
    <row r="515" spans="2:38">
      <c r="B515" s="439" t="str">
        <f>IF($C$1="ENG","door lock Soft","замок Soft")</f>
        <v>замок Soft</v>
      </c>
      <c r="C515" s="440"/>
      <c r="D515" s="106">
        <f t="shared" si="47"/>
        <v>458.33333333333337</v>
      </c>
      <c r="E515" s="97">
        <f t="shared" si="48"/>
        <v>550</v>
      </c>
      <c r="F515" s="26"/>
      <c r="G515" s="26"/>
      <c r="H515" s="5"/>
      <c r="AC515" s="310">
        <v>550</v>
      </c>
      <c r="AD515" s="310">
        <v>550</v>
      </c>
      <c r="AE515" s="301">
        <f t="shared" si="49"/>
        <v>0</v>
      </c>
      <c r="AF515" s="301"/>
      <c r="AG515" s="301"/>
      <c r="AH515" s="301"/>
      <c r="AI515" s="301"/>
      <c r="AJ515" s="301"/>
      <c r="AK515" s="301"/>
      <c r="AL515" s="301"/>
    </row>
    <row r="516" spans="2:38">
      <c r="B516" s="439" t="str">
        <f>IF($C$1="ENG","door lock Magnet","замок Magnet")</f>
        <v>замок Magnet</v>
      </c>
      <c r="C516" s="440"/>
      <c r="D516" s="106">
        <f t="shared" si="47"/>
        <v>666.66666666666674</v>
      </c>
      <c r="E516" s="97">
        <f t="shared" si="48"/>
        <v>800.00000000000011</v>
      </c>
      <c r="F516" s="26"/>
      <c r="G516" s="26"/>
      <c r="H516" s="5"/>
      <c r="AC516" s="310">
        <v>800</v>
      </c>
      <c r="AD516" s="310">
        <v>800</v>
      </c>
      <c r="AE516" s="301">
        <f t="shared" si="49"/>
        <v>0</v>
      </c>
      <c r="AF516" s="301"/>
      <c r="AG516" s="301"/>
      <c r="AH516" s="301"/>
      <c r="AI516" s="301"/>
      <c r="AJ516" s="301"/>
      <c r="AK516" s="301"/>
      <c r="AL516" s="301"/>
    </row>
    <row r="517" spans="2:38">
      <c r="B517" s="439" t="str">
        <f>IF($C$1="ENG","door handle-lock (for sliding doors)","ручка-замок (для дверей купе)")</f>
        <v>ручка-замок (для дверей купе)</v>
      </c>
      <c r="C517" s="440"/>
      <c r="D517" s="137">
        <f t="shared" si="47"/>
        <v>466.66666666666669</v>
      </c>
      <c r="E517" s="97">
        <f t="shared" si="48"/>
        <v>560</v>
      </c>
      <c r="F517" s="26"/>
      <c r="G517" s="26"/>
      <c r="I517" s="11"/>
      <c r="J517" s="11"/>
      <c r="K517" s="19"/>
      <c r="AC517" s="310">
        <v>560</v>
      </c>
      <c r="AD517" s="310">
        <v>560</v>
      </c>
      <c r="AE517" s="301">
        <f t="shared" si="49"/>
        <v>0</v>
      </c>
      <c r="AF517" s="301"/>
      <c r="AG517" s="301"/>
      <c r="AH517" s="301"/>
      <c r="AI517" s="301"/>
      <c r="AJ517" s="301"/>
      <c r="AK517" s="301"/>
      <c r="AL517" s="301"/>
    </row>
    <row r="518" spans="2:38">
      <c r="B518" s="439" t="str">
        <f>IF($C$1="ENG","cylinder incert","циліндр несиметричний")</f>
        <v>циліндр несиметричний</v>
      </c>
      <c r="C518" s="440"/>
      <c r="D518" s="137">
        <f t="shared" si="47"/>
        <v>325</v>
      </c>
      <c r="E518" s="97">
        <f t="shared" si="48"/>
        <v>390</v>
      </c>
      <c r="F518" s="26"/>
      <c r="G518" s="26"/>
      <c r="AC518" s="310">
        <v>390</v>
      </c>
      <c r="AD518" s="310">
        <v>390</v>
      </c>
      <c r="AE518" s="301">
        <f t="shared" si="49"/>
        <v>0</v>
      </c>
      <c r="AF518" s="301"/>
      <c r="AG518" s="301"/>
      <c r="AH518" s="301"/>
      <c r="AI518" s="301"/>
      <c r="AJ518" s="301"/>
      <c r="AK518" s="301"/>
      <c r="AL518" s="301"/>
    </row>
    <row r="519" spans="2:38">
      <c r="B519" s="439" t="str">
        <f>IF($C$1="ENG","door hindge Prestige (1 unit)","завіса Prestige (1 шт)")</f>
        <v>завіса Prestige (1 шт)</v>
      </c>
      <c r="C519" s="440"/>
      <c r="D519" s="139">
        <f t="shared" si="47"/>
        <v>216.66666666666669</v>
      </c>
      <c r="E519" s="97">
        <f t="shared" si="48"/>
        <v>260</v>
      </c>
      <c r="F519" s="26"/>
      <c r="G519" s="26"/>
      <c r="AC519" s="310">
        <v>260</v>
      </c>
      <c r="AD519" s="310">
        <v>260</v>
      </c>
      <c r="AE519" s="301">
        <f t="shared" si="49"/>
        <v>0</v>
      </c>
      <c r="AF519" s="301"/>
      <c r="AG519" s="301"/>
      <c r="AH519" s="301"/>
      <c r="AI519" s="301"/>
      <c r="AJ519" s="301"/>
      <c r="AK519" s="301"/>
      <c r="AL519" s="301"/>
    </row>
    <row r="520" spans="2:38">
      <c r="B520" s="439" t="str">
        <f>IF($C$1="ENG","door hinge caps (1 set)","накладка на завіси (1 к-т)")</f>
        <v>накладка на завіси (1 к-т)</v>
      </c>
      <c r="C520" s="440"/>
      <c r="D520" s="139">
        <f t="shared" si="47"/>
        <v>66.666666666666671</v>
      </c>
      <c r="E520" s="97">
        <f t="shared" si="48"/>
        <v>80</v>
      </c>
      <c r="F520" s="26"/>
      <c r="G520" s="26"/>
      <c r="AC520" s="310">
        <v>80</v>
      </c>
      <c r="AD520" s="310">
        <v>80</v>
      </c>
      <c r="AE520" s="301">
        <f t="shared" si="49"/>
        <v>0</v>
      </c>
      <c r="AF520" s="301"/>
      <c r="AG520" s="301"/>
      <c r="AH520" s="301"/>
      <c r="AI520" s="301"/>
      <c r="AJ520" s="301"/>
      <c r="AK520" s="301"/>
      <c r="AL520" s="301"/>
    </row>
    <row r="521" spans="2:38">
      <c r="B521" s="439" t="str">
        <f>IF($C$1="ENG","door handle","дверна ручка")</f>
        <v>дверна ручка</v>
      </c>
      <c r="C521" s="440"/>
      <c r="D521" s="138" t="str">
        <f t="shared" si="47"/>
        <v/>
      </c>
      <c r="E521" s="256" t="str">
        <f>IF($C$1="ENG","see Handles Price","див. Таблицю Ручки")</f>
        <v>див. Таблицю Ручки</v>
      </c>
      <c r="F521" s="26"/>
      <c r="G521" s="26"/>
      <c r="AC521" s="301"/>
      <c r="AD521" s="301"/>
      <c r="AE521" s="301"/>
      <c r="AF521" s="301"/>
      <c r="AG521" s="301"/>
      <c r="AH521" s="301"/>
      <c r="AI521" s="301"/>
      <c r="AJ521" s="301"/>
      <c r="AK521" s="301"/>
      <c r="AL521" s="301"/>
    </row>
    <row r="522" spans="2:38" ht="14.25" customHeight="1">
      <c r="C522" s="26"/>
      <c r="D522" s="26"/>
      <c r="E522" s="26"/>
      <c r="F522" s="26"/>
      <c r="G522" s="26"/>
      <c r="H522" s="5"/>
      <c r="T522" s="460" t="str">
        <f>IF($C$1="ENG",CONCATENATE("down to: ",B572),CONCATENATE("вниз до: ",B572))</f>
        <v>вниз до: Полотна збірні: ЛАДА C</v>
      </c>
      <c r="U522" s="460"/>
      <c r="V522" s="460"/>
      <c r="W522" s="460"/>
    </row>
    <row r="523" spans="2:38" ht="14.25" customHeight="1">
      <c r="C523" s="26"/>
      <c r="D523" s="26"/>
      <c r="E523" s="26"/>
      <c r="F523" s="26"/>
      <c r="G523" s="26"/>
      <c r="H523" s="5"/>
    </row>
    <row r="524" spans="2:38" ht="14.25" customHeight="1">
      <c r="C524" s="26"/>
      <c r="D524" s="26"/>
      <c r="E524" s="26"/>
      <c r="F524" s="26"/>
      <c r="G524" s="26"/>
      <c r="H524" s="5"/>
    </row>
    <row r="525" spans="2:38" ht="14.25" customHeight="1">
      <c r="C525" s="26"/>
      <c r="D525" s="26"/>
      <c r="E525" s="26"/>
      <c r="F525" s="26"/>
      <c r="G525" s="26"/>
      <c r="H525" s="5"/>
    </row>
    <row r="526" spans="2:38" ht="14.25" customHeight="1">
      <c r="C526" s="26"/>
      <c r="D526" s="26"/>
      <c r="E526" s="26"/>
      <c r="F526" s="26"/>
      <c r="G526" s="26"/>
      <c r="H526" s="5"/>
    </row>
    <row r="527" spans="2:38" ht="14.25" customHeight="1">
      <c r="C527" s="26"/>
      <c r="D527" s="26"/>
      <c r="E527" s="26"/>
      <c r="F527" s="26"/>
      <c r="G527" s="26"/>
      <c r="H527" s="5"/>
    </row>
    <row r="528" spans="2:38" ht="14.25" customHeight="1">
      <c r="C528" s="26"/>
      <c r="D528" s="26"/>
      <c r="E528" s="26"/>
      <c r="F528" s="26"/>
      <c r="G528" s="26"/>
      <c r="H528" s="5"/>
    </row>
    <row r="529" spans="3:8" ht="14.25" customHeight="1">
      <c r="C529" s="26"/>
      <c r="D529" s="26"/>
      <c r="E529" s="26"/>
      <c r="F529" s="26"/>
      <c r="G529" s="26"/>
      <c r="H529" s="5"/>
    </row>
    <row r="530" spans="3:8" ht="14.25" customHeight="1">
      <c r="C530" s="26"/>
      <c r="D530" s="26"/>
      <c r="E530" s="26"/>
      <c r="F530" s="26"/>
      <c r="G530" s="26"/>
      <c r="H530" s="5"/>
    </row>
    <row r="531" spans="3:8" ht="14.25" customHeight="1">
      <c r="C531" s="26"/>
      <c r="D531" s="26"/>
      <c r="E531" s="26"/>
      <c r="F531" s="26"/>
      <c r="G531" s="26"/>
      <c r="H531" s="5"/>
    </row>
    <row r="532" spans="3:8" ht="14.25" customHeight="1">
      <c r="C532" s="26"/>
      <c r="D532" s="26"/>
      <c r="E532" s="26"/>
      <c r="F532" s="26"/>
      <c r="G532" s="26"/>
      <c r="H532" s="5"/>
    </row>
    <row r="533" spans="3:8" ht="14.25" customHeight="1">
      <c r="C533" s="26"/>
      <c r="D533" s="26"/>
      <c r="E533" s="26"/>
      <c r="F533" s="26"/>
      <c r="G533" s="26"/>
      <c r="H533" s="5"/>
    </row>
    <row r="534" spans="3:8" ht="14.25" customHeight="1">
      <c r="C534" s="26"/>
      <c r="D534" s="26"/>
      <c r="E534" s="26"/>
      <c r="F534" s="26"/>
      <c r="G534" s="26"/>
      <c r="H534" s="5"/>
    </row>
    <row r="535" spans="3:8" ht="14.25" customHeight="1">
      <c r="C535" s="26"/>
      <c r="D535" s="26"/>
      <c r="E535" s="26"/>
      <c r="F535" s="26"/>
      <c r="G535" s="26"/>
      <c r="H535" s="5"/>
    </row>
    <row r="536" spans="3:8" ht="14.25" customHeight="1">
      <c r="C536" s="26"/>
      <c r="D536" s="26"/>
      <c r="E536" s="26"/>
      <c r="F536" s="26"/>
      <c r="G536" s="26"/>
      <c r="H536" s="5"/>
    </row>
    <row r="537" spans="3:8" ht="14.25" customHeight="1">
      <c r="C537" s="26"/>
      <c r="D537" s="26"/>
      <c r="E537" s="26"/>
      <c r="F537" s="26"/>
      <c r="G537" s="26"/>
      <c r="H537" s="5"/>
    </row>
    <row r="538" spans="3:8" ht="14.25" customHeight="1">
      <c r="C538" s="26"/>
      <c r="D538" s="26"/>
      <c r="E538" s="26"/>
      <c r="F538" s="26"/>
      <c r="G538" s="26"/>
      <c r="H538" s="5"/>
    </row>
    <row r="539" spans="3:8" ht="14.25" customHeight="1">
      <c r="C539" s="26"/>
      <c r="D539" s="26"/>
      <c r="E539" s="26"/>
      <c r="F539" s="26"/>
      <c r="G539" s="26"/>
      <c r="H539" s="5"/>
    </row>
    <row r="540" spans="3:8" ht="14.25" customHeight="1">
      <c r="C540" s="26"/>
      <c r="D540" s="26"/>
      <c r="E540" s="26"/>
      <c r="F540" s="26"/>
      <c r="G540" s="26"/>
      <c r="H540" s="5"/>
    </row>
    <row r="541" spans="3:8" ht="14.25" customHeight="1">
      <c r="C541" s="26"/>
      <c r="D541" s="26"/>
      <c r="E541" s="26"/>
      <c r="F541" s="26"/>
      <c r="G541" s="26"/>
      <c r="H541" s="5"/>
    </row>
    <row r="542" spans="3:8" ht="14.25" customHeight="1">
      <c r="C542" s="26"/>
      <c r="D542" s="26"/>
      <c r="E542" s="26"/>
      <c r="F542" s="26"/>
      <c r="G542" s="26"/>
      <c r="H542" s="5"/>
    </row>
    <row r="543" spans="3:8" ht="14.25" customHeight="1">
      <c r="C543" s="26"/>
      <c r="D543" s="26"/>
      <c r="E543" s="26"/>
      <c r="F543" s="26"/>
      <c r="G543" s="26"/>
      <c r="H543" s="5"/>
    </row>
    <row r="544" spans="3:8" ht="14.25" customHeight="1">
      <c r="C544" s="26"/>
      <c r="D544" s="26"/>
      <c r="E544" s="26"/>
      <c r="F544" s="26"/>
      <c r="G544" s="26"/>
      <c r="H544" s="5"/>
    </row>
    <row r="545" spans="3:8" ht="14.25" customHeight="1">
      <c r="C545" s="26"/>
      <c r="D545" s="26"/>
      <c r="E545" s="26"/>
      <c r="F545" s="26"/>
      <c r="G545" s="26"/>
      <c r="H545" s="5"/>
    </row>
    <row r="546" spans="3:8" ht="14.25" customHeight="1">
      <c r="C546" s="26"/>
      <c r="D546" s="26"/>
      <c r="E546" s="26"/>
      <c r="F546" s="26"/>
      <c r="G546" s="26"/>
      <c r="H546" s="5"/>
    </row>
    <row r="547" spans="3:8" ht="14.25" customHeight="1">
      <c r="C547" s="26"/>
      <c r="D547" s="26"/>
      <c r="E547" s="26"/>
      <c r="F547" s="26"/>
      <c r="G547" s="26"/>
      <c r="H547" s="5"/>
    </row>
    <row r="548" spans="3:8" ht="14.25" customHeight="1">
      <c r="C548" s="26"/>
      <c r="D548" s="26"/>
      <c r="E548" s="26"/>
      <c r="F548" s="26"/>
      <c r="G548" s="26"/>
      <c r="H548" s="5"/>
    </row>
    <row r="549" spans="3:8" ht="14.25" customHeight="1">
      <c r="C549" s="26"/>
      <c r="D549" s="26"/>
      <c r="E549" s="26"/>
      <c r="F549" s="26"/>
      <c r="G549" s="26"/>
      <c r="H549" s="5"/>
    </row>
    <row r="550" spans="3:8" ht="14.25" customHeight="1">
      <c r="C550" s="26"/>
      <c r="D550" s="26"/>
      <c r="E550" s="26"/>
      <c r="F550" s="26"/>
      <c r="G550" s="26"/>
      <c r="H550" s="5"/>
    </row>
    <row r="551" spans="3:8" ht="14.25" customHeight="1">
      <c r="C551" s="26"/>
      <c r="D551" s="26"/>
      <c r="E551" s="26"/>
      <c r="F551" s="26"/>
      <c r="G551" s="26"/>
      <c r="H551" s="5"/>
    </row>
    <row r="552" spans="3:8" ht="14.25" customHeight="1">
      <c r="C552" s="26"/>
      <c r="D552" s="26"/>
      <c r="E552" s="26"/>
      <c r="F552" s="26"/>
      <c r="G552" s="26"/>
      <c r="H552" s="5"/>
    </row>
    <row r="553" spans="3:8" ht="14.25" customHeight="1">
      <c r="C553" s="26"/>
      <c r="D553" s="26"/>
      <c r="E553" s="26"/>
      <c r="F553" s="26"/>
      <c r="G553" s="26"/>
      <c r="H553" s="5"/>
    </row>
    <row r="554" spans="3:8" ht="14.25" customHeight="1">
      <c r="C554" s="26"/>
      <c r="D554" s="26"/>
      <c r="E554" s="26"/>
      <c r="F554" s="26"/>
      <c r="G554" s="26"/>
      <c r="H554" s="5"/>
    </row>
    <row r="555" spans="3:8" ht="14.25" customHeight="1">
      <c r="C555" s="26"/>
      <c r="D555" s="26"/>
      <c r="E555" s="26"/>
      <c r="F555" s="26"/>
      <c r="G555" s="26"/>
      <c r="H555" s="5"/>
    </row>
    <row r="556" spans="3:8" ht="14.25" customHeight="1">
      <c r="C556" s="26"/>
      <c r="D556" s="26"/>
      <c r="E556" s="26"/>
      <c r="F556" s="26"/>
      <c r="G556" s="26"/>
      <c r="H556" s="5"/>
    </row>
    <row r="557" spans="3:8" ht="14.25" customHeight="1">
      <c r="C557" s="26"/>
      <c r="D557" s="26"/>
      <c r="E557" s="26"/>
      <c r="F557" s="26"/>
      <c r="G557" s="26"/>
      <c r="H557" s="5"/>
    </row>
    <row r="558" spans="3:8" ht="14.25" customHeight="1">
      <c r="C558" s="26"/>
      <c r="D558" s="26"/>
      <c r="E558" s="26"/>
      <c r="F558" s="26"/>
      <c r="G558" s="26"/>
      <c r="H558" s="5"/>
    </row>
    <row r="559" spans="3:8" ht="14.25" customHeight="1">
      <c r="C559" s="26"/>
      <c r="D559" s="26"/>
      <c r="E559" s="26"/>
      <c r="F559" s="26"/>
      <c r="G559" s="26"/>
      <c r="H559" s="5"/>
    </row>
    <row r="560" spans="3:8" ht="14.25" customHeight="1">
      <c r="C560" s="26"/>
      <c r="D560" s="26"/>
      <c r="E560" s="26"/>
      <c r="F560" s="26"/>
      <c r="G560" s="26"/>
      <c r="H560" s="5"/>
    </row>
    <row r="561" spans="1:46" ht="14.25" customHeight="1">
      <c r="C561" s="26"/>
      <c r="D561" s="26"/>
      <c r="E561" s="26"/>
      <c r="F561" s="26"/>
      <c r="G561" s="26"/>
      <c r="H561" s="5"/>
    </row>
    <row r="562" spans="1:46" ht="14.25" customHeight="1">
      <c r="C562" s="26"/>
      <c r="D562" s="26"/>
      <c r="E562" s="26"/>
      <c r="F562" s="26"/>
      <c r="G562" s="26"/>
      <c r="H562" s="5"/>
    </row>
    <row r="563" spans="1:46" ht="14.25" customHeight="1">
      <c r="C563" s="26"/>
      <c r="D563" s="26"/>
      <c r="E563" s="26"/>
      <c r="F563" s="26"/>
      <c r="G563" s="26"/>
      <c r="H563" s="5"/>
    </row>
    <row r="564" spans="1:46" ht="14.25" customHeight="1">
      <c r="C564" s="26"/>
      <c r="D564" s="26"/>
      <c r="E564" s="26"/>
      <c r="F564" s="26"/>
      <c r="G564" s="26"/>
      <c r="H564" s="5"/>
    </row>
    <row r="565" spans="1:46" ht="14.25" customHeight="1">
      <c r="C565" s="26"/>
      <c r="D565" s="26"/>
      <c r="E565" s="26"/>
      <c r="F565" s="26"/>
      <c r="G565" s="26"/>
      <c r="H565" s="5"/>
    </row>
    <row r="566" spans="1:46" ht="14.25" customHeight="1">
      <c r="C566" s="26"/>
      <c r="D566" s="26"/>
      <c r="E566" s="26"/>
      <c r="F566" s="26"/>
      <c r="G566" s="26"/>
      <c r="H566" s="5"/>
    </row>
    <row r="567" spans="1:46" ht="14.25" customHeight="1">
      <c r="C567" s="26"/>
      <c r="D567" s="26"/>
      <c r="E567" s="26"/>
      <c r="F567" s="26"/>
      <c r="G567" s="26"/>
      <c r="H567" s="5"/>
    </row>
    <row r="568" spans="1:46" ht="14.25" customHeight="1">
      <c r="C568" s="26"/>
      <c r="D568" s="26"/>
      <c r="E568" s="26"/>
      <c r="F568" s="26"/>
      <c r="G568" s="26"/>
      <c r="H568" s="5"/>
    </row>
    <row r="569" spans="1:46" ht="14.25" customHeight="1">
      <c r="C569" s="26"/>
      <c r="D569" s="26"/>
      <c r="E569" s="26"/>
      <c r="F569" s="26"/>
      <c r="G569" s="26"/>
      <c r="H569" s="5"/>
    </row>
    <row r="570" spans="1:46" ht="14.25" customHeight="1">
      <c r="C570" s="26"/>
      <c r="D570" s="26"/>
      <c r="E570" s="26"/>
      <c r="F570" s="26"/>
      <c r="G570" s="26"/>
      <c r="H570" s="5"/>
    </row>
    <row r="571" spans="1:46" ht="14.25" customHeight="1">
      <c r="C571" s="26"/>
      <c r="D571" s="26"/>
      <c r="E571" s="26"/>
      <c r="F571" s="26"/>
      <c r="G571" s="26"/>
      <c r="H571" s="5"/>
    </row>
    <row r="572" spans="1:46" s="8" customFormat="1">
      <c r="B572" s="421" t="str">
        <f>TITLE!C15</f>
        <v>Полотна збірні: ЛАДА C</v>
      </c>
      <c r="C572" s="421"/>
      <c r="D572" s="122"/>
      <c r="E572" s="122"/>
      <c r="F572" s="122"/>
      <c r="G572" s="122"/>
      <c r="H572" s="445"/>
      <c r="I572" s="44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419" t="str">
        <f>IF($C$1="ENG",CONCATENATE("up to: ",B501),CONCATENATE("вгору до: ",B501))</f>
        <v>вгору до: Полотна збірні: ЛАДА B</v>
      </c>
      <c r="U572" s="419"/>
      <c r="V572" s="419"/>
      <c r="W572" s="419"/>
      <c r="AN572" s="291"/>
      <c r="AO572" s="291"/>
      <c r="AP572" s="291"/>
      <c r="AQ572" s="291"/>
      <c r="AR572" s="291"/>
      <c r="AS572" s="291"/>
      <c r="AT572" s="291"/>
    </row>
    <row r="573" spans="1:46" s="8" customFormat="1" ht="5.0999999999999996" customHeight="1">
      <c r="B573" s="121"/>
      <c r="C573" s="121"/>
      <c r="D573" s="9"/>
      <c r="E573" s="9"/>
      <c r="F573" s="9"/>
      <c r="G573" s="9"/>
      <c r="H573" s="124"/>
      <c r="I573" s="124"/>
      <c r="T573" s="119"/>
      <c r="U573" s="119"/>
      <c r="V573" s="119"/>
      <c r="W573" s="119"/>
      <c r="AN573" s="291"/>
      <c r="AO573" s="291"/>
      <c r="AP573" s="291"/>
      <c r="AQ573" s="291"/>
      <c r="AR573" s="291"/>
      <c r="AS573" s="291"/>
      <c r="AT573" s="291"/>
    </row>
    <row r="574" spans="1:46" s="8" customFormat="1" ht="12.75" customHeight="1">
      <c r="B574" s="448" t="str">
        <f>IF($C$1="ENG","model","модель")</f>
        <v>модель</v>
      </c>
      <c r="C574" s="126" t="str">
        <f>IF($C$1="ENG","cover:","покриття:")</f>
        <v>покриття:</v>
      </c>
      <c r="D574" s="430" t="str">
        <f>IF($C$1="ENG","Verto-CELL","Verto-CELL")</f>
        <v>Verto-CELL</v>
      </c>
      <c r="E574" s="432"/>
      <c r="F574" s="430" t="str">
        <f>IF($C$1="ENG","UNI-MAT","UNI-MAT")</f>
        <v>UNI-MAT</v>
      </c>
      <c r="G574" s="432"/>
      <c r="H574" s="430" t="str">
        <f>IF($C$1="ENG","RESIST","RESIST")</f>
        <v>RESIST</v>
      </c>
      <c r="I574" s="432"/>
      <c r="J574" s="430" t="str">
        <f>IF($C$1="ENG","Verto LINE-3D","Verto LINE-3D")</f>
        <v>Verto LINE-3D</v>
      </c>
      <c r="K574" s="432"/>
      <c r="L574" s="430" t="str">
        <f>IF($C$1="ENG","ECO Shpon","ЕКО Шпон")</f>
        <v>ЕКО Шпон</v>
      </c>
      <c r="M574" s="432"/>
      <c r="P574" s="1"/>
      <c r="Q574" s="1"/>
      <c r="T574" s="119"/>
      <c r="U574" s="119"/>
      <c r="V574" s="119"/>
      <c r="W574" s="119"/>
      <c r="AN574" s="291"/>
      <c r="AO574" s="291"/>
      <c r="AP574" s="291"/>
      <c r="AQ574" s="291"/>
      <c r="AR574" s="291"/>
      <c r="AS574" s="291"/>
      <c r="AT574" s="291"/>
    </row>
    <row r="575" spans="1:46" s="8" customFormat="1" ht="24.75" customHeight="1">
      <c r="B575" s="449"/>
      <c r="C575" s="127" t="str">
        <f>IF($C$1="ENG","filling:","заповнення:")</f>
        <v>заповнення:</v>
      </c>
      <c r="D575" s="441" t="str">
        <f>IF($C$1="ENG","softwood","клеєний сосновий брус")</f>
        <v>клеєний сосновий брус</v>
      </c>
      <c r="E575" s="442"/>
      <c r="F575" s="441" t="str">
        <f>IF($C$1="ENG","softwood","клеєний сосновий брус")</f>
        <v>клеєний сосновий брус</v>
      </c>
      <c r="G575" s="442"/>
      <c r="H575" s="441" t="str">
        <f>IF($C$1="ENG","softwood","клеєний сосновий брус")</f>
        <v>клеєний сосновий брус</v>
      </c>
      <c r="I575" s="442"/>
      <c r="J575" s="441" t="str">
        <f>IF($C$1="ENG","softwood","клеєний сосновий брус")</f>
        <v>клеєний сосновий брус</v>
      </c>
      <c r="K575" s="442"/>
      <c r="L575" s="441" t="str">
        <f>IF($C$1="ENG","softwood","клеєний сосновий брус")</f>
        <v>клеєний сосновий брус</v>
      </c>
      <c r="M575" s="442"/>
      <c r="P575" s="1"/>
      <c r="Q575" s="1"/>
      <c r="T575" s="119"/>
      <c r="U575" s="119"/>
      <c r="V575" s="119"/>
      <c r="W575" s="119"/>
      <c r="AD575" s="405">
        <f>AD577/AC577-1</f>
        <v>0.13991163475699553</v>
      </c>
      <c r="AE575" s="405">
        <f>AE577/AD577-1</f>
        <v>4.0051679586563305E-2</v>
      </c>
      <c r="AF575" s="405">
        <f>AF577/AE577-1</f>
        <v>8.9440993788819867E-2</v>
      </c>
      <c r="AG575" s="405">
        <f>AG577/AF577-1</f>
        <v>4.903078677309014E-2</v>
      </c>
      <c r="AN575" s="291"/>
      <c r="AO575" s="291"/>
      <c r="AP575" s="291"/>
      <c r="AQ575" s="291"/>
      <c r="AR575" s="291"/>
      <c r="AS575" s="291"/>
      <c r="AT575" s="291"/>
    </row>
    <row r="576" spans="1:46" ht="12.75" customHeight="1">
      <c r="A576" s="8"/>
      <c r="B576" s="450"/>
      <c r="C576" s="128" t="str">
        <f>IF($C$1="ENG","glazing:","скління:")</f>
        <v>скління:</v>
      </c>
      <c r="D576" s="424" t="str">
        <f>IF($C$1="ENG","Satin","Сатин")</f>
        <v>Сатин</v>
      </c>
      <c r="E576" s="434"/>
      <c r="F576" s="424" t="str">
        <f>IF($C$1="ENG","Satin","Сатин")</f>
        <v>Сатин</v>
      </c>
      <c r="G576" s="434"/>
      <c r="H576" s="424" t="str">
        <f>IF($C$1="ENG","Satin","Сатин")</f>
        <v>Сатин</v>
      </c>
      <c r="I576" s="434"/>
      <c r="J576" s="424" t="str">
        <f>IF($C$1="ENG","Satin","Сатин")</f>
        <v>Сатин</v>
      </c>
      <c r="K576" s="434"/>
      <c r="L576" s="424" t="str">
        <f>IF($C$1="ENG","Satin","Сатин")</f>
        <v>Сатин</v>
      </c>
      <c r="M576" s="434"/>
    </row>
    <row r="577" spans="1:43" ht="35.1" customHeight="1">
      <c r="A577" s="8"/>
      <c r="B577" s="16" t="s">
        <v>41</v>
      </c>
      <c r="C577" s="17"/>
      <c r="D577" s="18">
        <f>IF(AC577="","",(1-$W$2)*(AC577/1.2))</f>
        <v>5658.3333333333339</v>
      </c>
      <c r="E577" s="69">
        <f>IF($W$5=0.2,D577*1.2,D577)/$W$4</f>
        <v>6790.0000000000009</v>
      </c>
      <c r="F577" s="18">
        <f>IF(AD577="","",(1-$W$2)*(AD577/1.2))</f>
        <v>6450</v>
      </c>
      <c r="G577" s="69">
        <f>IF($W$5=0.2,F577*1.2,F577)/$W$4</f>
        <v>7740</v>
      </c>
      <c r="H577" s="18">
        <f>IF(AE577="","",(1-$W$2)*(AE577/1.2))</f>
        <v>6708.3333333333339</v>
      </c>
      <c r="I577" s="69">
        <f>IF($W$5=0.2,H577*1.2,H577)/$W$4</f>
        <v>8050</v>
      </c>
      <c r="J577" s="18">
        <f>IF(AF577="","",(1-$W$2)*(AF577/1.2))</f>
        <v>7308.3333333333339</v>
      </c>
      <c r="K577" s="69">
        <f>IF($W$5=0.2,J577*1.2,J577)/$W$4</f>
        <v>8770</v>
      </c>
      <c r="L577" s="18">
        <f>IF(AG577="","",(1-$W$2)*(AG577/1.2))</f>
        <v>7666.666666666667</v>
      </c>
      <c r="M577" s="69">
        <f>IF($W$5=0.2,L577*1.2,L577)/$W$4</f>
        <v>9200</v>
      </c>
      <c r="N577" s="108"/>
      <c r="R577" s="108"/>
      <c r="T577" s="108"/>
      <c r="U577" s="20"/>
      <c r="V577" s="108"/>
      <c r="W577" s="20"/>
      <c r="X577" s="108"/>
      <c r="Y577" s="108"/>
      <c r="Z577" s="108"/>
      <c r="AA577" s="108"/>
      <c r="AB577" s="108"/>
      <c r="AC577" s="346">
        <v>6790</v>
      </c>
      <c r="AD577" s="413">
        <v>7740</v>
      </c>
      <c r="AE577" s="346">
        <v>8050</v>
      </c>
      <c r="AF577" s="346">
        <v>8770</v>
      </c>
      <c r="AG577" s="346">
        <v>9200</v>
      </c>
      <c r="AH577" s="301">
        <v>6790</v>
      </c>
      <c r="AI577" s="301">
        <f>AH577/AC577-1</f>
        <v>0</v>
      </c>
      <c r="AJ577" s="301">
        <v>7740</v>
      </c>
      <c r="AK577" s="301">
        <f>AJ577/AD577-1</f>
        <v>0</v>
      </c>
      <c r="AL577" s="301">
        <v>8050</v>
      </c>
      <c r="AM577" s="1">
        <f>AL577/AE577-1</f>
        <v>0</v>
      </c>
      <c r="AN577" s="30">
        <v>8770</v>
      </c>
      <c r="AO577" s="1">
        <f>AN577/AF577-1</f>
        <v>0</v>
      </c>
      <c r="AP577" s="1">
        <v>9200</v>
      </c>
      <c r="AQ577" s="1">
        <f>AP577/AG577-1</f>
        <v>0</v>
      </c>
    </row>
    <row r="578" spans="1:43" ht="35.1" customHeight="1">
      <c r="A578" s="8"/>
      <c r="B578" s="23" t="s">
        <v>42</v>
      </c>
      <c r="C578" s="24"/>
      <c r="D578" s="25">
        <f>IF(AC578="","",(1-$W$2)*(AC578/1.2))</f>
        <v>5658.3333333333339</v>
      </c>
      <c r="E578" s="72">
        <f>IF($W$5=0.2,D578*1.2,D578)/$W$4</f>
        <v>6790.0000000000009</v>
      </c>
      <c r="F578" s="25">
        <f>IF(AD578="","",(1-$W$2)*(AD578/1.2))</f>
        <v>6450</v>
      </c>
      <c r="G578" s="72">
        <f>IF($W$5=0.2,F578*1.2,F578)/$W$4</f>
        <v>7740</v>
      </c>
      <c r="H578" s="25">
        <f>IF(AE578="","",(1-$W$2)*(AE578/1.2))</f>
        <v>6708.3333333333339</v>
      </c>
      <c r="I578" s="72">
        <f>IF($W$5=0.2,H578*1.2,H578)/$W$4</f>
        <v>8050</v>
      </c>
      <c r="J578" s="25">
        <f>IF(AF578="","",(1-$W$2)*(AF578/1.2))</f>
        <v>7308.3333333333339</v>
      </c>
      <c r="K578" s="72">
        <f>IF($W$5=0.2,J578*1.2,J578)/$W$4</f>
        <v>8770</v>
      </c>
      <c r="L578" s="25">
        <f>IF(AG578="","",(1-$W$2)*(AG578/1.2))</f>
        <v>7666.666666666667</v>
      </c>
      <c r="M578" s="72">
        <f>IF($W$5=0.2,L578*1.2,L578)/$W$4</f>
        <v>9200</v>
      </c>
      <c r="N578" s="108"/>
      <c r="R578" s="108"/>
      <c r="T578" s="108"/>
      <c r="U578" s="20"/>
      <c r="V578" s="108"/>
      <c r="W578" s="20"/>
      <c r="X578" s="108"/>
      <c r="Y578" s="108"/>
      <c r="Z578" s="108"/>
      <c r="AA578" s="108"/>
      <c r="AB578" s="108"/>
      <c r="AC578" s="346">
        <v>6790</v>
      </c>
      <c r="AD578" s="413">
        <v>7740</v>
      </c>
      <c r="AE578" s="346">
        <v>8050</v>
      </c>
      <c r="AF578" s="346">
        <v>8770</v>
      </c>
      <c r="AG578" s="346">
        <v>9200</v>
      </c>
      <c r="AH578" s="301">
        <v>6790</v>
      </c>
      <c r="AI578" s="301">
        <f>AH578/AC578-1</f>
        <v>0</v>
      </c>
      <c r="AJ578" s="301">
        <v>7740</v>
      </c>
      <c r="AK578" s="301">
        <f>AJ578/AD578-1</f>
        <v>0</v>
      </c>
      <c r="AL578" s="301">
        <v>8050</v>
      </c>
      <c r="AM578" s="1">
        <f>AL578/AE578-1</f>
        <v>0</v>
      </c>
      <c r="AN578" s="30">
        <v>8770</v>
      </c>
      <c r="AO578" s="1">
        <f>AN578/AF578-1</f>
        <v>0</v>
      </c>
      <c r="AP578" s="1">
        <v>9200</v>
      </c>
      <c r="AQ578" s="1">
        <f>AP578/AG578-1</f>
        <v>0</v>
      </c>
    </row>
    <row r="579" spans="1:43">
      <c r="C579" s="26"/>
      <c r="D579" s="26"/>
      <c r="E579" s="60"/>
      <c r="F579" s="26"/>
      <c r="G579" s="60"/>
      <c r="H579" s="10"/>
      <c r="I579" s="8"/>
      <c r="J579" s="8"/>
      <c r="K579" s="8"/>
    </row>
    <row r="580" spans="1:43">
      <c r="B580" s="220" t="str">
        <f>IF($C$1="ENG","For additonal charge:","Послуги за додаткову плату:")</f>
        <v>Послуги за додаткову плату:</v>
      </c>
      <c r="C580" s="221"/>
      <c r="D580" s="221"/>
      <c r="E580" s="222"/>
      <c r="F580" s="26"/>
      <c r="G580" s="60"/>
      <c r="H580" s="10"/>
      <c r="I580" s="8"/>
      <c r="J580" s="8"/>
      <c r="K580" s="8"/>
    </row>
    <row r="581" spans="1:43" ht="5.0999999999999996" customHeight="1">
      <c r="B581" s="27"/>
      <c r="C581" s="26"/>
      <c r="D581" s="26"/>
      <c r="E581" s="60"/>
      <c r="F581" s="26"/>
      <c r="G581" s="60"/>
      <c r="H581" s="10"/>
      <c r="I581" s="8"/>
      <c r="J581" s="8"/>
      <c r="K581" s="8"/>
    </row>
    <row r="582" spans="1:43">
      <c r="B582" s="446" t="str">
        <f>IF($C$1="ENG","door leaf with width 100","полотно розміром 100")</f>
        <v>полотно розміром 100</v>
      </c>
      <c r="C582" s="447"/>
      <c r="D582" s="136">
        <f t="shared" ref="D582:D591" si="50">IF(AC582="","",(1-$W$2)*(AC582/1.2))</f>
        <v>600</v>
      </c>
      <c r="E582" s="96">
        <f t="shared" ref="E582:E590" si="51">IF($W$5=0.2,D582*1.2,D582)/$W$4</f>
        <v>720</v>
      </c>
      <c r="F582" s="26"/>
      <c r="G582" s="26"/>
      <c r="H582" s="10"/>
      <c r="I582" s="8"/>
      <c r="J582" s="8"/>
      <c r="K582" s="8"/>
      <c r="AC582" s="301">
        <v>720</v>
      </c>
      <c r="AD582" s="310">
        <v>720</v>
      </c>
      <c r="AE582" s="301">
        <f>AD582/AC582-1</f>
        <v>0</v>
      </c>
      <c r="AF582" s="301"/>
      <c r="AG582" s="301"/>
      <c r="AH582" s="301"/>
      <c r="AI582" s="301"/>
      <c r="AJ582" s="301"/>
      <c r="AK582" s="301"/>
      <c r="AL582" s="301"/>
    </row>
    <row r="583" spans="1:43">
      <c r="B583" s="446" t="str">
        <f>IF($C$1="ENG","Ventilation cut","вентиляційний підріз")</f>
        <v>вентиляційний підріз</v>
      </c>
      <c r="C583" s="447"/>
      <c r="D583" s="137">
        <f t="shared" si="50"/>
        <v>141.66666666666669</v>
      </c>
      <c r="E583" s="69">
        <f t="shared" si="51"/>
        <v>170.00000000000003</v>
      </c>
      <c r="F583" s="26"/>
      <c r="G583" s="26"/>
      <c r="I583" s="62"/>
      <c r="J583" s="28"/>
      <c r="AC583" s="301">
        <v>170</v>
      </c>
      <c r="AD583" s="310">
        <v>170</v>
      </c>
      <c r="AE583" s="301"/>
      <c r="AF583" s="301"/>
      <c r="AG583" s="301"/>
      <c r="AH583" s="301"/>
      <c r="AI583" s="301"/>
      <c r="AJ583" s="301"/>
      <c r="AK583" s="301"/>
      <c r="AL583" s="301"/>
    </row>
    <row r="584" spans="1:43">
      <c r="B584" s="439" t="str">
        <f>IF($C$1="ENG","glazing Graphite / Bronze","скло Графіт / Бронза")</f>
        <v>скло Графіт / Бронза</v>
      </c>
      <c r="C584" s="440"/>
      <c r="D584" s="106">
        <f t="shared" si="50"/>
        <v>458.33333333333337</v>
      </c>
      <c r="E584" s="97">
        <f t="shared" si="51"/>
        <v>550</v>
      </c>
      <c r="F584" s="26"/>
      <c r="G584" s="26"/>
      <c r="H584" s="5"/>
      <c r="AC584" s="301">
        <v>550</v>
      </c>
      <c r="AD584" s="310">
        <v>550</v>
      </c>
      <c r="AE584" s="301"/>
      <c r="AF584" s="301"/>
      <c r="AG584" s="301"/>
      <c r="AH584" s="301"/>
      <c r="AI584" s="301"/>
      <c r="AJ584" s="301"/>
      <c r="AK584" s="301"/>
      <c r="AL584" s="301"/>
    </row>
    <row r="585" spans="1:43">
      <c r="B585" s="439" t="str">
        <f>IF($C$1="ENG","door lock Soft","замок Soft")</f>
        <v>замок Soft</v>
      </c>
      <c r="C585" s="440"/>
      <c r="D585" s="106">
        <f t="shared" si="50"/>
        <v>458.33333333333337</v>
      </c>
      <c r="E585" s="97">
        <f t="shared" si="51"/>
        <v>550</v>
      </c>
      <c r="F585" s="26"/>
      <c r="G585" s="26"/>
      <c r="H585" s="5"/>
      <c r="AC585" s="301">
        <v>550</v>
      </c>
      <c r="AD585" s="310">
        <v>550</v>
      </c>
      <c r="AE585" s="301"/>
      <c r="AF585" s="301"/>
      <c r="AG585" s="301"/>
      <c r="AH585" s="301"/>
      <c r="AI585" s="301"/>
      <c r="AJ585" s="301"/>
      <c r="AK585" s="301"/>
      <c r="AL585" s="301"/>
    </row>
    <row r="586" spans="1:43">
      <c r="B586" s="439" t="str">
        <f>IF($C$1="ENG","door lock Magnet","замок Magnet")</f>
        <v>замок Magnet</v>
      </c>
      <c r="C586" s="440"/>
      <c r="D586" s="106">
        <f t="shared" si="50"/>
        <v>666.66666666666674</v>
      </c>
      <c r="E586" s="97">
        <f t="shared" si="51"/>
        <v>800.00000000000011</v>
      </c>
      <c r="F586" s="26"/>
      <c r="G586" s="26"/>
      <c r="H586" s="5"/>
      <c r="AC586" s="301">
        <v>800</v>
      </c>
      <c r="AD586" s="310">
        <v>800</v>
      </c>
      <c r="AE586" s="301"/>
      <c r="AF586" s="301"/>
      <c r="AG586" s="301"/>
      <c r="AH586" s="301"/>
      <c r="AI586" s="301"/>
      <c r="AJ586" s="301"/>
      <c r="AK586" s="301"/>
      <c r="AL586" s="301"/>
    </row>
    <row r="587" spans="1:43">
      <c r="B587" s="439" t="str">
        <f>IF($C$1="ENG","door handle-lock (for sliding doors)","ручка-замок (для дверей купе)")</f>
        <v>ручка-замок (для дверей купе)</v>
      </c>
      <c r="C587" s="440"/>
      <c r="D587" s="137">
        <f t="shared" si="50"/>
        <v>466.66666666666669</v>
      </c>
      <c r="E587" s="97">
        <f t="shared" si="51"/>
        <v>560</v>
      </c>
      <c r="F587" s="26"/>
      <c r="G587" s="26"/>
      <c r="I587" s="11"/>
      <c r="J587" s="11"/>
      <c r="K587" s="19"/>
      <c r="AC587" s="301">
        <v>560</v>
      </c>
      <c r="AD587" s="310">
        <v>560</v>
      </c>
      <c r="AE587" s="301"/>
      <c r="AF587" s="301"/>
      <c r="AG587" s="301"/>
      <c r="AH587" s="301"/>
      <c r="AI587" s="301"/>
      <c r="AJ587" s="301"/>
      <c r="AK587" s="301"/>
      <c r="AL587" s="301"/>
    </row>
    <row r="588" spans="1:43">
      <c r="B588" s="439" t="str">
        <f>IF($C$1="ENG","cylinder incert","циліндр несиметричний")</f>
        <v>циліндр несиметричний</v>
      </c>
      <c r="C588" s="440"/>
      <c r="D588" s="137">
        <f t="shared" si="50"/>
        <v>325</v>
      </c>
      <c r="E588" s="97">
        <f t="shared" si="51"/>
        <v>390</v>
      </c>
      <c r="F588" s="26"/>
      <c r="G588" s="26"/>
      <c r="AC588" s="301">
        <v>390</v>
      </c>
      <c r="AD588" s="310">
        <v>390</v>
      </c>
      <c r="AE588" s="301"/>
      <c r="AF588" s="301"/>
      <c r="AG588" s="301"/>
      <c r="AH588" s="301"/>
      <c r="AI588" s="301"/>
      <c r="AJ588" s="301"/>
      <c r="AK588" s="301"/>
      <c r="AL588" s="301"/>
    </row>
    <row r="589" spans="1:43">
      <c r="B589" s="439" t="str">
        <f>IF($C$1="ENG","door hindge Prestige (1 unit)","завіса Prestige (1 шт)")</f>
        <v>завіса Prestige (1 шт)</v>
      </c>
      <c r="C589" s="440"/>
      <c r="D589" s="139">
        <f t="shared" si="50"/>
        <v>216.66666666666669</v>
      </c>
      <c r="E589" s="97">
        <f t="shared" si="51"/>
        <v>260</v>
      </c>
      <c r="F589" s="26"/>
      <c r="G589" s="26"/>
      <c r="AC589" s="301">
        <v>260</v>
      </c>
      <c r="AD589" s="310">
        <v>260</v>
      </c>
      <c r="AE589" s="301"/>
      <c r="AF589" s="301"/>
      <c r="AG589" s="301"/>
      <c r="AH589" s="301"/>
      <c r="AI589" s="301"/>
      <c r="AJ589" s="301"/>
      <c r="AK589" s="301"/>
      <c r="AL589" s="301"/>
    </row>
    <row r="590" spans="1:43">
      <c r="B590" s="439" t="str">
        <f>IF($C$1="ENG","door hinge caps (1 set)","накладка на завіси (1 к-т)")</f>
        <v>накладка на завіси (1 к-т)</v>
      </c>
      <c r="C590" s="440"/>
      <c r="D590" s="139">
        <f t="shared" si="50"/>
        <v>66.666666666666671</v>
      </c>
      <c r="E590" s="97">
        <f t="shared" si="51"/>
        <v>80</v>
      </c>
      <c r="F590" s="26"/>
      <c r="G590" s="26"/>
      <c r="AC590" s="301">
        <v>80</v>
      </c>
      <c r="AD590" s="310">
        <v>80</v>
      </c>
      <c r="AE590" s="301"/>
      <c r="AF590" s="301"/>
      <c r="AG590" s="301"/>
      <c r="AH590" s="301"/>
      <c r="AI590" s="301"/>
      <c r="AJ590" s="301"/>
      <c r="AK590" s="301"/>
      <c r="AL590" s="301"/>
    </row>
    <row r="591" spans="1:43">
      <c r="B591" s="439" t="str">
        <f>IF($C$1="ENG","door handle","дверна ручка")</f>
        <v>дверна ручка</v>
      </c>
      <c r="C591" s="440"/>
      <c r="D591" s="138" t="str">
        <f t="shared" si="50"/>
        <v/>
      </c>
      <c r="E591" s="256" t="str">
        <f>IF($C$1="ENG","see Handles Price","див. Таблицю Ручки")</f>
        <v>див. Таблицю Ручки</v>
      </c>
      <c r="F591" s="26"/>
      <c r="G591" s="26"/>
      <c r="AC591" s="301"/>
      <c r="AD591" s="301"/>
      <c r="AE591" s="301"/>
      <c r="AF591" s="301"/>
      <c r="AG591" s="301"/>
      <c r="AH591" s="301"/>
      <c r="AI591" s="301"/>
      <c r="AJ591" s="301"/>
      <c r="AK591" s="301"/>
      <c r="AL591" s="301"/>
    </row>
    <row r="592" spans="1:43" ht="14.25" customHeight="1">
      <c r="C592" s="26"/>
      <c r="D592" s="26"/>
      <c r="E592" s="26"/>
      <c r="F592" s="26"/>
      <c r="G592" s="26"/>
      <c r="H592" s="5"/>
      <c r="T592" s="460" t="str">
        <f>IF($C$1="ENG",CONCATENATE("down to: ",B642),CONCATENATE("вниз до: ",B642))</f>
        <v>вниз до: Полотна збірні: ЛАДА D</v>
      </c>
      <c r="U592" s="460"/>
      <c r="V592" s="460"/>
      <c r="W592" s="460"/>
    </row>
    <row r="593" spans="3:8" ht="14.25" customHeight="1">
      <c r="C593" s="26"/>
      <c r="D593" s="26"/>
      <c r="E593" s="26"/>
      <c r="F593" s="26"/>
      <c r="G593" s="26"/>
      <c r="H593" s="5"/>
    </row>
    <row r="594" spans="3:8" ht="14.25" customHeight="1">
      <c r="C594" s="26"/>
      <c r="D594" s="26"/>
      <c r="E594" s="26"/>
      <c r="F594" s="26"/>
      <c r="G594" s="26"/>
      <c r="H594" s="5"/>
    </row>
    <row r="595" spans="3:8" ht="14.25" customHeight="1">
      <c r="C595" s="26"/>
      <c r="D595" s="26"/>
      <c r="E595" s="26"/>
      <c r="F595" s="26"/>
      <c r="G595" s="26"/>
      <c r="H595" s="5"/>
    </row>
    <row r="596" spans="3:8" ht="14.25" customHeight="1">
      <c r="C596" s="26"/>
      <c r="D596" s="26"/>
      <c r="E596" s="26"/>
      <c r="F596" s="26"/>
      <c r="G596" s="26"/>
      <c r="H596" s="5"/>
    </row>
    <row r="597" spans="3:8" ht="14.25" customHeight="1">
      <c r="C597" s="26"/>
      <c r="D597" s="26"/>
      <c r="E597" s="26"/>
      <c r="F597" s="26"/>
      <c r="G597" s="26"/>
      <c r="H597" s="5"/>
    </row>
    <row r="598" spans="3:8" ht="14.25" customHeight="1">
      <c r="C598" s="26"/>
      <c r="D598" s="26"/>
      <c r="E598" s="26"/>
      <c r="F598" s="26"/>
      <c r="G598" s="26"/>
      <c r="H598" s="5"/>
    </row>
    <row r="599" spans="3:8" ht="14.25" customHeight="1">
      <c r="C599" s="26"/>
      <c r="D599" s="26"/>
      <c r="E599" s="26"/>
      <c r="F599" s="26"/>
      <c r="G599" s="26"/>
      <c r="H599" s="5"/>
    </row>
    <row r="600" spans="3:8" ht="14.25" customHeight="1">
      <c r="C600" s="26"/>
      <c r="D600" s="26"/>
      <c r="E600" s="26"/>
      <c r="F600" s="26"/>
      <c r="G600" s="26"/>
      <c r="H600" s="5"/>
    </row>
    <row r="601" spans="3:8" ht="14.25" customHeight="1">
      <c r="C601" s="26"/>
      <c r="D601" s="26"/>
      <c r="E601" s="26"/>
      <c r="F601" s="26"/>
      <c r="G601" s="26"/>
      <c r="H601" s="5"/>
    </row>
    <row r="602" spans="3:8" ht="14.25" customHeight="1">
      <c r="C602" s="26"/>
      <c r="D602" s="26"/>
      <c r="E602" s="26"/>
      <c r="F602" s="26"/>
      <c r="G602" s="26"/>
      <c r="H602" s="5"/>
    </row>
    <row r="603" spans="3:8" ht="14.25" customHeight="1">
      <c r="C603" s="26"/>
      <c r="D603" s="26"/>
      <c r="E603" s="26"/>
      <c r="F603" s="26"/>
      <c r="G603" s="26"/>
      <c r="H603" s="5"/>
    </row>
    <row r="604" spans="3:8" ht="14.25" customHeight="1">
      <c r="C604" s="26"/>
      <c r="D604" s="26"/>
      <c r="E604" s="26"/>
      <c r="F604" s="26"/>
      <c r="G604" s="26"/>
      <c r="H604" s="5"/>
    </row>
    <row r="605" spans="3:8" ht="14.25" customHeight="1">
      <c r="C605" s="26"/>
      <c r="D605" s="26"/>
      <c r="E605" s="26"/>
      <c r="F605" s="26"/>
      <c r="G605" s="26"/>
      <c r="H605" s="5"/>
    </row>
    <row r="606" spans="3:8" ht="14.25" customHeight="1">
      <c r="C606" s="26"/>
      <c r="D606" s="26"/>
      <c r="E606" s="26"/>
      <c r="F606" s="26"/>
      <c r="G606" s="26"/>
      <c r="H606" s="5"/>
    </row>
    <row r="607" spans="3:8" ht="14.25" customHeight="1">
      <c r="C607" s="26"/>
      <c r="D607" s="26"/>
      <c r="E607" s="26"/>
      <c r="F607" s="26"/>
      <c r="G607" s="26"/>
      <c r="H607" s="5"/>
    </row>
    <row r="608" spans="3:8" ht="14.25" customHeight="1">
      <c r="C608" s="26"/>
      <c r="D608" s="26"/>
      <c r="E608" s="26"/>
      <c r="F608" s="26"/>
      <c r="G608" s="26"/>
      <c r="H608" s="5"/>
    </row>
    <row r="609" spans="3:8" ht="14.25" customHeight="1">
      <c r="C609" s="26"/>
      <c r="D609" s="26"/>
      <c r="E609" s="26"/>
      <c r="F609" s="26"/>
      <c r="G609" s="26"/>
      <c r="H609" s="5"/>
    </row>
    <row r="610" spans="3:8" ht="14.25" customHeight="1">
      <c r="C610" s="26"/>
      <c r="D610" s="26"/>
      <c r="E610" s="26"/>
      <c r="F610" s="26"/>
      <c r="G610" s="26"/>
      <c r="H610" s="5"/>
    </row>
    <row r="611" spans="3:8" ht="14.25" customHeight="1">
      <c r="C611" s="26"/>
      <c r="D611" s="26"/>
      <c r="E611" s="26"/>
      <c r="F611" s="26"/>
      <c r="G611" s="26"/>
      <c r="H611" s="5"/>
    </row>
    <row r="612" spans="3:8" ht="14.25" customHeight="1">
      <c r="C612" s="26"/>
      <c r="D612" s="26"/>
      <c r="E612" s="26"/>
      <c r="F612" s="26"/>
      <c r="G612" s="26"/>
      <c r="H612" s="5"/>
    </row>
    <row r="613" spans="3:8" ht="14.25" customHeight="1">
      <c r="C613" s="26"/>
      <c r="D613" s="26"/>
      <c r="E613" s="26"/>
      <c r="F613" s="26"/>
      <c r="G613" s="26"/>
      <c r="H613" s="5"/>
    </row>
    <row r="614" spans="3:8" ht="14.25" customHeight="1">
      <c r="C614" s="26"/>
      <c r="D614" s="26"/>
      <c r="E614" s="26"/>
      <c r="F614" s="26"/>
      <c r="G614" s="26"/>
      <c r="H614" s="5"/>
    </row>
    <row r="615" spans="3:8" ht="14.25" customHeight="1">
      <c r="C615" s="26"/>
      <c r="D615" s="26"/>
      <c r="E615" s="26"/>
      <c r="F615" s="26"/>
      <c r="G615" s="26"/>
      <c r="H615" s="5"/>
    </row>
    <row r="616" spans="3:8" ht="14.25" customHeight="1">
      <c r="C616" s="26"/>
      <c r="D616" s="26"/>
      <c r="E616" s="26"/>
      <c r="F616" s="26"/>
      <c r="G616" s="26"/>
      <c r="H616" s="5"/>
    </row>
    <row r="617" spans="3:8" ht="14.25" customHeight="1">
      <c r="C617" s="26"/>
      <c r="D617" s="26"/>
      <c r="E617" s="26"/>
      <c r="F617" s="26"/>
      <c r="G617" s="26"/>
      <c r="H617" s="5"/>
    </row>
    <row r="618" spans="3:8" ht="14.25" customHeight="1">
      <c r="C618" s="26"/>
      <c r="D618" s="26"/>
      <c r="E618" s="26"/>
      <c r="F618" s="26"/>
      <c r="G618" s="26"/>
      <c r="H618" s="5"/>
    </row>
    <row r="619" spans="3:8" ht="14.25" customHeight="1">
      <c r="C619" s="26"/>
      <c r="D619" s="26"/>
      <c r="E619" s="26"/>
      <c r="F619" s="26"/>
      <c r="G619" s="26"/>
      <c r="H619" s="5"/>
    </row>
    <row r="620" spans="3:8" ht="14.25" customHeight="1">
      <c r="C620" s="26"/>
      <c r="D620" s="26"/>
      <c r="E620" s="26"/>
      <c r="F620" s="26"/>
      <c r="G620" s="26"/>
      <c r="H620" s="5"/>
    </row>
    <row r="621" spans="3:8" ht="14.25" customHeight="1">
      <c r="C621" s="26"/>
      <c r="D621" s="26"/>
      <c r="E621" s="26"/>
      <c r="F621" s="26"/>
      <c r="G621" s="26"/>
      <c r="H621" s="5"/>
    </row>
    <row r="622" spans="3:8" ht="14.25" customHeight="1">
      <c r="C622" s="26"/>
      <c r="D622" s="26"/>
      <c r="E622" s="26"/>
      <c r="F622" s="26"/>
      <c r="G622" s="26"/>
      <c r="H622" s="5"/>
    </row>
    <row r="623" spans="3:8" ht="14.25" customHeight="1">
      <c r="C623" s="26"/>
      <c r="D623" s="26"/>
      <c r="E623" s="26"/>
      <c r="F623" s="26"/>
      <c r="G623" s="26"/>
      <c r="H623" s="5"/>
    </row>
    <row r="624" spans="3:8" ht="14.25" customHeight="1">
      <c r="C624" s="26"/>
      <c r="D624" s="26"/>
      <c r="E624" s="26"/>
      <c r="F624" s="26"/>
      <c r="G624" s="26"/>
      <c r="H624" s="5"/>
    </row>
    <row r="625" spans="3:8" ht="14.25" customHeight="1">
      <c r="C625" s="26"/>
      <c r="D625" s="26"/>
      <c r="E625" s="26"/>
      <c r="F625" s="26"/>
      <c r="G625" s="26"/>
      <c r="H625" s="5"/>
    </row>
    <row r="626" spans="3:8" ht="14.25" customHeight="1">
      <c r="C626" s="26"/>
      <c r="D626" s="26"/>
      <c r="E626" s="26"/>
      <c r="F626" s="26"/>
      <c r="G626" s="26"/>
      <c r="H626" s="5"/>
    </row>
    <row r="627" spans="3:8" ht="14.25" customHeight="1">
      <c r="C627" s="26"/>
      <c r="D627" s="26"/>
      <c r="E627" s="26"/>
      <c r="F627" s="26"/>
      <c r="G627" s="26"/>
      <c r="H627" s="5"/>
    </row>
    <row r="628" spans="3:8" ht="14.25" customHeight="1">
      <c r="C628" s="26"/>
      <c r="D628" s="26"/>
      <c r="E628" s="26"/>
      <c r="F628" s="26"/>
      <c r="G628" s="26"/>
      <c r="H628" s="5"/>
    </row>
    <row r="629" spans="3:8" ht="14.25" customHeight="1">
      <c r="C629" s="26"/>
      <c r="D629" s="26"/>
      <c r="E629" s="26"/>
      <c r="F629" s="26"/>
      <c r="G629" s="26"/>
      <c r="H629" s="5"/>
    </row>
    <row r="630" spans="3:8" ht="14.25" customHeight="1">
      <c r="C630" s="26"/>
      <c r="D630" s="26"/>
      <c r="E630" s="26"/>
      <c r="F630" s="26"/>
      <c r="G630" s="26"/>
      <c r="H630" s="5"/>
    </row>
    <row r="631" spans="3:8" ht="14.25" customHeight="1">
      <c r="C631" s="26"/>
      <c r="D631" s="26"/>
      <c r="E631" s="26"/>
      <c r="F631" s="26"/>
      <c r="G631" s="26"/>
      <c r="H631" s="5"/>
    </row>
    <row r="632" spans="3:8" ht="14.25" customHeight="1">
      <c r="C632" s="26"/>
      <c r="D632" s="26"/>
      <c r="E632" s="26"/>
      <c r="F632" s="26"/>
      <c r="G632" s="26"/>
      <c r="H632" s="5"/>
    </row>
    <row r="633" spans="3:8" ht="14.25" customHeight="1">
      <c r="C633" s="26"/>
      <c r="D633" s="26"/>
      <c r="E633" s="26"/>
      <c r="F633" s="26"/>
      <c r="G633" s="26"/>
      <c r="H633" s="5"/>
    </row>
    <row r="634" spans="3:8" ht="14.25" customHeight="1">
      <c r="C634" s="26"/>
      <c r="D634" s="26"/>
      <c r="E634" s="26"/>
      <c r="F634" s="26"/>
      <c r="G634" s="26"/>
      <c r="H634" s="5"/>
    </row>
    <row r="635" spans="3:8" ht="14.25" customHeight="1">
      <c r="C635" s="26"/>
      <c r="D635" s="26"/>
      <c r="E635" s="26"/>
      <c r="F635" s="26"/>
      <c r="G635" s="26"/>
      <c r="H635" s="5"/>
    </row>
    <row r="636" spans="3:8" ht="14.25" customHeight="1">
      <c r="C636" s="26"/>
      <c r="D636" s="26"/>
      <c r="E636" s="26"/>
      <c r="F636" s="26"/>
      <c r="G636" s="26"/>
      <c r="H636" s="5"/>
    </row>
    <row r="637" spans="3:8" ht="14.25" customHeight="1">
      <c r="C637" s="26"/>
      <c r="D637" s="26"/>
      <c r="E637" s="26"/>
      <c r="F637" s="26"/>
      <c r="G637" s="26"/>
      <c r="H637" s="5"/>
    </row>
    <row r="638" spans="3:8" ht="14.25" customHeight="1">
      <c r="C638" s="26"/>
      <c r="D638" s="26"/>
      <c r="E638" s="26"/>
      <c r="F638" s="26"/>
      <c r="G638" s="26"/>
      <c r="H638" s="5"/>
    </row>
    <row r="639" spans="3:8" ht="14.25" customHeight="1">
      <c r="C639" s="26"/>
      <c r="D639" s="26"/>
      <c r="E639" s="26"/>
      <c r="F639" s="26"/>
      <c r="G639" s="26"/>
      <c r="H639" s="5"/>
    </row>
    <row r="640" spans="3:8" ht="14.25" customHeight="1">
      <c r="C640" s="26"/>
      <c r="D640" s="26"/>
      <c r="E640" s="26"/>
      <c r="F640" s="26"/>
      <c r="G640" s="26"/>
      <c r="H640" s="5"/>
    </row>
    <row r="641" spans="1:46" ht="14.25" customHeight="1">
      <c r="C641" s="26"/>
      <c r="D641" s="26"/>
      <c r="E641" s="26"/>
      <c r="F641" s="26"/>
      <c r="G641" s="26"/>
      <c r="H641" s="5"/>
    </row>
    <row r="642" spans="1:46" s="8" customFormat="1">
      <c r="B642" s="421" t="str">
        <f>TITLE!C16</f>
        <v>Полотна збірні: ЛАДА D</v>
      </c>
      <c r="C642" s="421"/>
      <c r="D642" s="122"/>
      <c r="E642" s="122"/>
      <c r="F642" s="122"/>
      <c r="G642" s="122"/>
      <c r="H642" s="445"/>
      <c r="I642" s="44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419" t="str">
        <f>IF($C$1="ENG",CONCATENATE("up to: ",B572),CONCATENATE("вгору до: ",B572))</f>
        <v>вгору до: Полотна збірні: ЛАДА C</v>
      </c>
      <c r="U642" s="419"/>
      <c r="V642" s="419"/>
      <c r="W642" s="419"/>
      <c r="AN642" s="291"/>
      <c r="AO642" s="291"/>
      <c r="AP642" s="291"/>
      <c r="AQ642" s="291"/>
      <c r="AR642" s="291"/>
      <c r="AS642" s="291"/>
      <c r="AT642" s="291"/>
    </row>
    <row r="643" spans="1:46" s="8" customFormat="1" ht="5.0999999999999996" customHeight="1">
      <c r="B643" s="121"/>
      <c r="C643" s="121"/>
      <c r="D643" s="9"/>
      <c r="E643" s="9"/>
      <c r="F643" s="9"/>
      <c r="G643" s="9"/>
      <c r="H643" s="124"/>
      <c r="I643" s="124"/>
      <c r="T643" s="119"/>
      <c r="U643" s="119"/>
      <c r="V643" s="119"/>
      <c r="W643" s="119"/>
      <c r="AN643" s="291"/>
      <c r="AO643" s="291"/>
      <c r="AP643" s="291"/>
      <c r="AQ643" s="291"/>
      <c r="AR643" s="291"/>
      <c r="AS643" s="291"/>
      <c r="AT643" s="291"/>
    </row>
    <row r="644" spans="1:46" s="8" customFormat="1" ht="12.75" customHeight="1">
      <c r="B644" s="448" t="str">
        <f>IF($C$1="ENG","model","модель")</f>
        <v>модель</v>
      </c>
      <c r="C644" s="126" t="str">
        <f>IF($C$1="ENG","cover:","покриття:")</f>
        <v>покриття:</v>
      </c>
      <c r="D644" s="430" t="str">
        <f>IF($C$1="ENG","Verto-CELL","Verto-CELL")</f>
        <v>Verto-CELL</v>
      </c>
      <c r="E644" s="432"/>
      <c r="F644" s="430" t="str">
        <f>IF($C$1="ENG","UNI-MAT","UNI-MAT")</f>
        <v>UNI-MAT</v>
      </c>
      <c r="G644" s="432"/>
      <c r="H644" s="430" t="str">
        <f>IF($C$1="ENG","RESIST","RESIST")</f>
        <v>RESIST</v>
      </c>
      <c r="I644" s="432"/>
      <c r="J644" s="430" t="str">
        <f>IF($C$1="ENG","Verto LINE-3D","Verto LINE-3D")</f>
        <v>Verto LINE-3D</v>
      </c>
      <c r="K644" s="432"/>
      <c r="L644" s="430" t="str">
        <f>IF($C$1="ENG","ECO Shpon","ЕКО Шпон")</f>
        <v>ЕКО Шпон</v>
      </c>
      <c r="M644" s="432"/>
      <c r="P644" s="1"/>
      <c r="Q644" s="1"/>
      <c r="T644" s="119"/>
      <c r="U644" s="119"/>
      <c r="V644" s="119"/>
      <c r="W644" s="119"/>
      <c r="AN644" s="291"/>
      <c r="AO644" s="291"/>
      <c r="AP644" s="291"/>
      <c r="AQ644" s="291"/>
      <c r="AR644" s="291"/>
      <c r="AS644" s="291"/>
      <c r="AT644" s="291"/>
    </row>
    <row r="645" spans="1:46" s="8" customFormat="1" ht="24.75" customHeight="1">
      <c r="B645" s="449"/>
      <c r="C645" s="127" t="str">
        <f>IF($C$1="ENG","filling:","заповнення:")</f>
        <v>заповнення:</v>
      </c>
      <c r="D645" s="441" t="str">
        <f>IF($C$1="ENG","softwood","клеєний сосновий брус")</f>
        <v>клеєний сосновий брус</v>
      </c>
      <c r="E645" s="442"/>
      <c r="F645" s="441" t="str">
        <f>IF($C$1="ENG","softwood","клеєний сосновий брус")</f>
        <v>клеєний сосновий брус</v>
      </c>
      <c r="G645" s="442"/>
      <c r="H645" s="441" t="str">
        <f>IF($C$1="ENG","softwood","клеєний сосновий брус")</f>
        <v>клеєний сосновий брус</v>
      </c>
      <c r="I645" s="442"/>
      <c r="J645" s="441" t="str">
        <f>IF($C$1="ENG","softwood","клеєний сосновий брус")</f>
        <v>клеєний сосновий брус</v>
      </c>
      <c r="K645" s="442"/>
      <c r="L645" s="441" t="str">
        <f>IF($C$1="ENG","softwood","клеєний сосновий брус")</f>
        <v>клеєний сосновий брус</v>
      </c>
      <c r="M645" s="442"/>
      <c r="P645" s="1"/>
      <c r="Q645" s="1"/>
      <c r="T645" s="119"/>
      <c r="U645" s="119"/>
      <c r="V645" s="119"/>
      <c r="W645" s="119"/>
      <c r="AD645" s="405">
        <f>AD647/AC647-1</f>
        <v>0.13991163475699553</v>
      </c>
      <c r="AE645" s="405">
        <f>AE647/AD647-1</f>
        <v>4.0051679586563305E-2</v>
      </c>
      <c r="AF645" s="405">
        <f>AF647/AE647-1</f>
        <v>8.9440993788819867E-2</v>
      </c>
      <c r="AG645" s="405">
        <f>AG647/AF647-1</f>
        <v>4.7890535917902044E-2</v>
      </c>
      <c r="AN645" s="291"/>
      <c r="AO645" s="291"/>
      <c r="AP645" s="291"/>
      <c r="AQ645" s="291"/>
      <c r="AR645" s="291"/>
      <c r="AS645" s="291"/>
      <c r="AT645" s="291"/>
    </row>
    <row r="646" spans="1:46" ht="12.75" customHeight="1">
      <c r="A646" s="8"/>
      <c r="B646" s="450"/>
      <c r="C646" s="128" t="str">
        <f>IF($C$1="ENG","glazing:","скління:")</f>
        <v>скління:</v>
      </c>
      <c r="D646" s="424" t="str">
        <f>IF($C$1="ENG","Satin","Сатин")</f>
        <v>Сатин</v>
      </c>
      <c r="E646" s="434"/>
      <c r="F646" s="424" t="str">
        <f>IF($C$1="ENG","Satin","Сатин")</f>
        <v>Сатин</v>
      </c>
      <c r="G646" s="434"/>
      <c r="H646" s="424" t="str">
        <f>IF($C$1="ENG","Satin","Сатин")</f>
        <v>Сатин</v>
      </c>
      <c r="I646" s="434"/>
      <c r="J646" s="424" t="str">
        <f>IF($C$1="ENG","Satin","Сатин")</f>
        <v>Сатин</v>
      </c>
      <c r="K646" s="434"/>
      <c r="L646" s="424" t="str">
        <f>IF($C$1="ENG","Satin","Сатин")</f>
        <v>Сатин</v>
      </c>
      <c r="M646" s="434"/>
    </row>
    <row r="647" spans="1:46" ht="35.1" customHeight="1">
      <c r="A647" s="8"/>
      <c r="B647" s="16" t="s">
        <v>43</v>
      </c>
      <c r="C647" s="17"/>
      <c r="D647" s="18">
        <f>IF(AC647="","",(1-$W$2)*(AC647/1.2))</f>
        <v>5658.3333333333339</v>
      </c>
      <c r="E647" s="69">
        <f>IF($W$5=0.2,D647*1.2,D647)/$W$4</f>
        <v>6790.0000000000009</v>
      </c>
      <c r="F647" s="18">
        <f>IF(AD647="","",(1-$W$2)*(AD647/1.2))</f>
        <v>6450</v>
      </c>
      <c r="G647" s="69">
        <f>IF($W$5=0.2,F647*1.2,F647)/$W$4</f>
        <v>7740</v>
      </c>
      <c r="H647" s="18">
        <f>IF(AE647="","",(1-$W$2)*(AE647/1.2))</f>
        <v>6708.3333333333339</v>
      </c>
      <c r="I647" s="69">
        <f>IF($W$5=0.2,H647*1.2,H647)/$W$4</f>
        <v>8050</v>
      </c>
      <c r="J647" s="18">
        <f>IF(AF647="","",(1-$W$2)*(AF647/1.2))</f>
        <v>7308.3333333333339</v>
      </c>
      <c r="K647" s="69">
        <f>IF($W$5=0.2,J647*1.2,J647)/$W$4</f>
        <v>8770</v>
      </c>
      <c r="L647" s="18">
        <f>IF(AG647="","",(1-$W$2)*(AG647/1.2))</f>
        <v>7658.3333333333339</v>
      </c>
      <c r="M647" s="69">
        <f>IF($W$5=0.2,L647*1.2,L647)/$W$4</f>
        <v>9190</v>
      </c>
      <c r="N647" s="108"/>
      <c r="R647" s="108"/>
      <c r="T647" s="108"/>
      <c r="U647" s="20"/>
      <c r="V647" s="108"/>
      <c r="W647" s="20"/>
      <c r="X647" s="108"/>
      <c r="Y647" s="108"/>
      <c r="Z647" s="108"/>
      <c r="AA647" s="108"/>
      <c r="AB647" s="108"/>
      <c r="AC647" s="346">
        <v>6790</v>
      </c>
      <c r="AD647" s="413">
        <v>7740</v>
      </c>
      <c r="AE647" s="346">
        <v>8050</v>
      </c>
      <c r="AF647" s="346">
        <v>8770</v>
      </c>
      <c r="AG647" s="346">
        <v>9190</v>
      </c>
      <c r="AH647" s="301">
        <v>6790</v>
      </c>
      <c r="AI647" s="301">
        <f>AH647/AC647-1</f>
        <v>0</v>
      </c>
      <c r="AJ647" s="301">
        <v>7740</v>
      </c>
      <c r="AK647" s="301">
        <f>AJ647/AD647-1</f>
        <v>0</v>
      </c>
      <c r="AL647" s="301">
        <v>8050</v>
      </c>
      <c r="AM647" s="1">
        <f>AL647/AE647-1</f>
        <v>0</v>
      </c>
      <c r="AN647" s="30">
        <v>8770</v>
      </c>
      <c r="AO647" s="1">
        <f>AN647/AF647-1</f>
        <v>0</v>
      </c>
      <c r="AP647" s="1">
        <v>9190</v>
      </c>
      <c r="AQ647" s="1">
        <f>AP647/AG647-1</f>
        <v>0</v>
      </c>
    </row>
    <row r="648" spans="1:46" ht="35.1" customHeight="1">
      <c r="A648" s="8"/>
      <c r="B648" s="23" t="s">
        <v>31</v>
      </c>
      <c r="C648" s="24"/>
      <c r="D648" s="25">
        <f>IF(AC648="","",(1-$W$2)*(AC648/1.2))</f>
        <v>5608.3333333333339</v>
      </c>
      <c r="E648" s="72">
        <f>IF($W$5=0.2,D648*1.2,D648)/$W$4</f>
        <v>6730.0000000000009</v>
      </c>
      <c r="F648" s="25">
        <f>IF(AD648="","",(1-$W$2)*(AD648/1.2))</f>
        <v>6391.666666666667</v>
      </c>
      <c r="G648" s="72">
        <f>IF($W$5=0.2,F648*1.2,F648)/$W$4</f>
        <v>7670</v>
      </c>
      <c r="H648" s="25">
        <f>IF(AE648="","",(1-$W$2)*(AE648/1.2))</f>
        <v>6675</v>
      </c>
      <c r="I648" s="72">
        <f>IF($W$5=0.2,H648*1.2,H648)/$W$4</f>
        <v>8010</v>
      </c>
      <c r="J648" s="25">
        <f>IF(AF648="","",(1-$W$2)*(AF648/1.2))</f>
        <v>7208.3333333333339</v>
      </c>
      <c r="K648" s="72">
        <f>IF($W$5=0.2,J648*1.2,J648)/$W$4</f>
        <v>8650</v>
      </c>
      <c r="L648" s="25">
        <f>IF(AG648="","",(1-$W$2)*(AG648/1.2))</f>
        <v>7641.666666666667</v>
      </c>
      <c r="M648" s="72">
        <f>IF($W$5=0.2,L648*1.2,L648)/$W$4</f>
        <v>9170</v>
      </c>
      <c r="N648" s="108"/>
      <c r="R648" s="108"/>
      <c r="T648" s="108"/>
      <c r="U648" s="20"/>
      <c r="V648" s="108"/>
      <c r="W648" s="20"/>
      <c r="X648" s="108"/>
      <c r="Y648" s="108"/>
      <c r="Z648" s="108"/>
      <c r="AA648" s="108"/>
      <c r="AB648" s="108"/>
      <c r="AC648" s="346">
        <v>6730</v>
      </c>
      <c r="AD648" s="413">
        <v>7670</v>
      </c>
      <c r="AE648" s="346">
        <v>8010</v>
      </c>
      <c r="AF648" s="346">
        <v>8650</v>
      </c>
      <c r="AG648" s="346">
        <v>9170</v>
      </c>
      <c r="AH648" s="301">
        <v>6730</v>
      </c>
      <c r="AI648" s="301">
        <f>AH648/AC648-1</f>
        <v>0</v>
      </c>
      <c r="AJ648" s="301">
        <v>7670</v>
      </c>
      <c r="AK648" s="301">
        <f>AJ648/AD648-1</f>
        <v>0</v>
      </c>
      <c r="AL648" s="301">
        <v>8010</v>
      </c>
      <c r="AM648" s="1">
        <f>AL648/AE648-1</f>
        <v>0</v>
      </c>
      <c r="AN648" s="30">
        <v>8650</v>
      </c>
      <c r="AO648" s="1">
        <f>AN648/AF648-1</f>
        <v>0</v>
      </c>
      <c r="AP648" s="1">
        <v>9170</v>
      </c>
      <c r="AQ648" s="1">
        <f>AP648/AG648-1</f>
        <v>0</v>
      </c>
    </row>
    <row r="649" spans="1:46">
      <c r="C649" s="26"/>
      <c r="D649" s="26"/>
      <c r="E649" s="60"/>
      <c r="F649" s="26"/>
      <c r="G649" s="60"/>
      <c r="H649" s="10"/>
      <c r="I649" s="8"/>
      <c r="J649" s="8"/>
      <c r="K649" s="8"/>
    </row>
    <row r="650" spans="1:46">
      <c r="B650" s="220" t="str">
        <f>IF($C$1="ENG","For additonal charge:","Послуги за додаткову плату:")</f>
        <v>Послуги за додаткову плату:</v>
      </c>
      <c r="C650" s="221"/>
      <c r="D650" s="221"/>
      <c r="E650" s="222"/>
      <c r="F650" s="26"/>
      <c r="G650" s="60"/>
      <c r="H650" s="10"/>
      <c r="I650" s="8"/>
      <c r="J650" s="8"/>
      <c r="K650" s="8"/>
    </row>
    <row r="651" spans="1:46" ht="5.0999999999999996" customHeight="1">
      <c r="B651" s="27"/>
      <c r="C651" s="26"/>
      <c r="D651" s="26"/>
      <c r="E651" s="60"/>
      <c r="F651" s="26"/>
      <c r="G651" s="60"/>
      <c r="H651" s="10"/>
      <c r="I651" s="8"/>
      <c r="J651" s="8"/>
      <c r="K651" s="8"/>
    </row>
    <row r="652" spans="1:46">
      <c r="B652" s="446" t="str">
        <f>IF($C$1="ENG","door leaf with width 100","полотно розміром 100")</f>
        <v>полотно розміром 100</v>
      </c>
      <c r="C652" s="447"/>
      <c r="D652" s="136">
        <f t="shared" ref="D652:D661" si="52">IF(AC652="","",(1-$W$2)*(AC652/1.2))</f>
        <v>600</v>
      </c>
      <c r="E652" s="96">
        <f t="shared" ref="E652:E660" si="53">IF($W$5=0.2,D652*1.2,D652)/$W$4</f>
        <v>720</v>
      </c>
      <c r="F652" s="26"/>
      <c r="G652" s="26"/>
      <c r="H652" s="10"/>
      <c r="I652" s="8"/>
      <c r="J652" s="8"/>
      <c r="K652" s="8"/>
      <c r="AC652" s="310">
        <v>720</v>
      </c>
      <c r="AD652" s="310">
        <v>720</v>
      </c>
      <c r="AE652" s="301">
        <f>AD652/AC652-1</f>
        <v>0</v>
      </c>
      <c r="AF652" s="301"/>
      <c r="AG652" s="301"/>
      <c r="AH652" s="301"/>
      <c r="AI652" s="301"/>
      <c r="AJ652" s="301"/>
      <c r="AK652" s="301"/>
      <c r="AL652" s="301"/>
    </row>
    <row r="653" spans="1:46">
      <c r="B653" s="446" t="str">
        <f>IF($C$1="ENG","Ventilation cut","вентиляційний підріз")</f>
        <v>вентиляційний підріз</v>
      </c>
      <c r="C653" s="447"/>
      <c r="D653" s="137">
        <f t="shared" si="52"/>
        <v>141.66666666666669</v>
      </c>
      <c r="E653" s="69">
        <f t="shared" si="53"/>
        <v>170.00000000000003</v>
      </c>
      <c r="F653" s="26"/>
      <c r="G653" s="26"/>
      <c r="I653" s="62"/>
      <c r="J653" s="28"/>
      <c r="AC653" s="310">
        <v>170</v>
      </c>
      <c r="AD653" s="310">
        <v>170</v>
      </c>
      <c r="AE653" s="301">
        <f t="shared" ref="AE653:AE660" si="54">AD653/AC653-1</f>
        <v>0</v>
      </c>
      <c r="AF653" s="301"/>
      <c r="AG653" s="301"/>
      <c r="AH653" s="301"/>
      <c r="AI653" s="301"/>
      <c r="AJ653" s="301"/>
      <c r="AK653" s="301"/>
      <c r="AL653" s="301"/>
    </row>
    <row r="654" spans="1:46">
      <c r="B654" s="439" t="str">
        <f>IF($C$1="ENG","glazing Graphite / Bronze","скло Графіт / Бронза")</f>
        <v>скло Графіт / Бронза</v>
      </c>
      <c r="C654" s="440"/>
      <c r="D654" s="106">
        <f t="shared" si="52"/>
        <v>458.33333333333337</v>
      </c>
      <c r="E654" s="97">
        <f t="shared" si="53"/>
        <v>550</v>
      </c>
      <c r="F654" s="26"/>
      <c r="G654" s="26"/>
      <c r="H654" s="5"/>
      <c r="AC654" s="310">
        <v>550</v>
      </c>
      <c r="AD654" s="310">
        <v>550</v>
      </c>
      <c r="AE654" s="301">
        <f t="shared" si="54"/>
        <v>0</v>
      </c>
      <c r="AF654" s="301"/>
      <c r="AG654" s="301"/>
      <c r="AH654" s="301"/>
      <c r="AI654" s="301"/>
      <c r="AJ654" s="301"/>
      <c r="AK654" s="301"/>
      <c r="AL654" s="301"/>
    </row>
    <row r="655" spans="1:46">
      <c r="B655" s="439" t="str">
        <f>IF($C$1="ENG","door lock Soft","замок Soft")</f>
        <v>замок Soft</v>
      </c>
      <c r="C655" s="440"/>
      <c r="D655" s="106">
        <f t="shared" si="52"/>
        <v>458.33333333333337</v>
      </c>
      <c r="E655" s="97">
        <f t="shared" si="53"/>
        <v>550</v>
      </c>
      <c r="F655" s="26"/>
      <c r="G655" s="26"/>
      <c r="H655" s="5"/>
      <c r="AC655" s="310">
        <v>550</v>
      </c>
      <c r="AD655" s="310">
        <v>550</v>
      </c>
      <c r="AE655" s="301">
        <f t="shared" si="54"/>
        <v>0</v>
      </c>
      <c r="AF655" s="301"/>
      <c r="AG655" s="301"/>
      <c r="AH655" s="301"/>
      <c r="AI655" s="301"/>
      <c r="AJ655" s="301"/>
      <c r="AK655" s="301"/>
      <c r="AL655" s="301"/>
    </row>
    <row r="656" spans="1:46">
      <c r="B656" s="439" t="str">
        <f>IF($C$1="ENG","door lock Magnet","замок Magnet")</f>
        <v>замок Magnet</v>
      </c>
      <c r="C656" s="440"/>
      <c r="D656" s="106">
        <f t="shared" si="52"/>
        <v>666.66666666666674</v>
      </c>
      <c r="E656" s="97">
        <f t="shared" si="53"/>
        <v>800.00000000000011</v>
      </c>
      <c r="F656" s="26"/>
      <c r="G656" s="26"/>
      <c r="H656" s="5"/>
      <c r="AC656" s="310">
        <v>800</v>
      </c>
      <c r="AD656" s="310">
        <v>800</v>
      </c>
      <c r="AE656" s="301">
        <f t="shared" si="54"/>
        <v>0</v>
      </c>
      <c r="AF656" s="301"/>
      <c r="AG656" s="301"/>
      <c r="AH656" s="301"/>
      <c r="AI656" s="301"/>
      <c r="AJ656" s="301"/>
      <c r="AK656" s="301"/>
      <c r="AL656" s="301"/>
    </row>
    <row r="657" spans="2:38">
      <c r="B657" s="439" t="str">
        <f>IF($C$1="ENG","door handle-lock (for sliding doors)","ручка-замок (для дверей купе)")</f>
        <v>ручка-замок (для дверей купе)</v>
      </c>
      <c r="C657" s="440"/>
      <c r="D657" s="137">
        <f t="shared" si="52"/>
        <v>466.66666666666669</v>
      </c>
      <c r="E657" s="97">
        <f t="shared" si="53"/>
        <v>560</v>
      </c>
      <c r="F657" s="26"/>
      <c r="G657" s="26"/>
      <c r="I657" s="11"/>
      <c r="J657" s="11"/>
      <c r="K657" s="19"/>
      <c r="AC657" s="310">
        <v>560</v>
      </c>
      <c r="AD657" s="310">
        <v>560</v>
      </c>
      <c r="AE657" s="301">
        <f t="shared" si="54"/>
        <v>0</v>
      </c>
      <c r="AF657" s="301"/>
      <c r="AG657" s="301"/>
      <c r="AH657" s="301"/>
      <c r="AI657" s="301"/>
      <c r="AJ657" s="301"/>
      <c r="AK657" s="301"/>
      <c r="AL657" s="301"/>
    </row>
    <row r="658" spans="2:38">
      <c r="B658" s="439" t="str">
        <f>IF($C$1="ENG","cylinder incert","циліндр несиметричний")</f>
        <v>циліндр несиметричний</v>
      </c>
      <c r="C658" s="440"/>
      <c r="D658" s="137">
        <f t="shared" si="52"/>
        <v>325</v>
      </c>
      <c r="E658" s="97">
        <f t="shared" si="53"/>
        <v>390</v>
      </c>
      <c r="F658" s="26"/>
      <c r="G658" s="26"/>
      <c r="AC658" s="310">
        <v>390</v>
      </c>
      <c r="AD658" s="310">
        <v>390</v>
      </c>
      <c r="AE658" s="301">
        <f t="shared" si="54"/>
        <v>0</v>
      </c>
      <c r="AF658" s="301"/>
      <c r="AG658" s="301"/>
      <c r="AH658" s="301"/>
      <c r="AI658" s="301"/>
      <c r="AJ658" s="301"/>
      <c r="AK658" s="301"/>
      <c r="AL658" s="301"/>
    </row>
    <row r="659" spans="2:38">
      <c r="B659" s="439" t="str">
        <f>IF($C$1="ENG","door hindge Prestige (1 unit)","завіса Prestige (1 шт)")</f>
        <v>завіса Prestige (1 шт)</v>
      </c>
      <c r="C659" s="440"/>
      <c r="D659" s="139">
        <f t="shared" si="52"/>
        <v>216.66666666666669</v>
      </c>
      <c r="E659" s="97">
        <f t="shared" si="53"/>
        <v>260</v>
      </c>
      <c r="F659" s="26"/>
      <c r="G659" s="26"/>
      <c r="AC659" s="310">
        <v>260</v>
      </c>
      <c r="AD659" s="310">
        <v>260</v>
      </c>
      <c r="AE659" s="301">
        <f t="shared" si="54"/>
        <v>0</v>
      </c>
      <c r="AF659" s="301"/>
      <c r="AG659" s="301"/>
      <c r="AH659" s="301"/>
      <c r="AI659" s="301"/>
      <c r="AJ659" s="301"/>
      <c r="AK659" s="301"/>
      <c r="AL659" s="301"/>
    </row>
    <row r="660" spans="2:38">
      <c r="B660" s="439" t="str">
        <f>IF($C$1="ENG","door hinge caps (1 set)","накладка на завіси (1 к-т)")</f>
        <v>накладка на завіси (1 к-т)</v>
      </c>
      <c r="C660" s="440"/>
      <c r="D660" s="139">
        <f t="shared" si="52"/>
        <v>66.666666666666671</v>
      </c>
      <c r="E660" s="97">
        <f t="shared" si="53"/>
        <v>80</v>
      </c>
      <c r="F660" s="26"/>
      <c r="G660" s="26"/>
      <c r="AC660" s="310">
        <v>80</v>
      </c>
      <c r="AD660" s="310">
        <v>80</v>
      </c>
      <c r="AE660" s="301">
        <f t="shared" si="54"/>
        <v>0</v>
      </c>
      <c r="AF660" s="301"/>
      <c r="AG660" s="301"/>
      <c r="AH660" s="301"/>
      <c r="AI660" s="301"/>
      <c r="AJ660" s="301"/>
      <c r="AK660" s="301"/>
      <c r="AL660" s="301"/>
    </row>
    <row r="661" spans="2:38">
      <c r="B661" s="439" t="str">
        <f>IF($C$1="ENG","door handle","дверна ручка")</f>
        <v>дверна ручка</v>
      </c>
      <c r="C661" s="440"/>
      <c r="D661" s="138" t="str">
        <f t="shared" si="52"/>
        <v/>
      </c>
      <c r="E661" s="256" t="str">
        <f>IF($C$1="ENG","see Handles Price","див. Таблицю Ручки")</f>
        <v>див. Таблицю Ручки</v>
      </c>
      <c r="F661" s="26"/>
      <c r="G661" s="26"/>
      <c r="AC661" s="346"/>
      <c r="AD661" s="301"/>
      <c r="AE661" s="301"/>
      <c r="AF661" s="301"/>
      <c r="AG661" s="301"/>
      <c r="AH661" s="301"/>
      <c r="AI661" s="301"/>
      <c r="AJ661" s="301"/>
      <c r="AK661" s="301"/>
      <c r="AL661" s="301"/>
    </row>
    <row r="662" spans="2:38" ht="14.25" customHeight="1">
      <c r="C662" s="26"/>
      <c r="D662" s="26"/>
      <c r="E662" s="26"/>
      <c r="F662" s="26"/>
      <c r="G662" s="26"/>
      <c r="H662" s="5"/>
      <c r="T662" s="460" t="str">
        <f>IF($C$1="ENG",CONCATENATE("down to: ",B712),CONCATENATE("вниз до: ",B712))</f>
        <v>вниз до: Полотна збірні: НІКА</v>
      </c>
      <c r="U662" s="460"/>
      <c r="V662" s="460"/>
      <c r="W662" s="460"/>
    </row>
    <row r="663" spans="2:38" ht="14.25" customHeight="1">
      <c r="C663" s="26"/>
      <c r="D663" s="26"/>
      <c r="E663" s="26"/>
      <c r="F663" s="26"/>
      <c r="G663" s="26"/>
      <c r="H663" s="5"/>
    </row>
    <row r="664" spans="2:38" ht="14.25" customHeight="1">
      <c r="C664" s="26"/>
      <c r="D664" s="26"/>
      <c r="E664" s="26"/>
      <c r="F664" s="26"/>
      <c r="G664" s="26"/>
      <c r="H664" s="5"/>
    </row>
    <row r="665" spans="2:38" ht="14.25" customHeight="1">
      <c r="C665" s="26"/>
      <c r="D665" s="26"/>
      <c r="E665" s="26"/>
      <c r="F665" s="26"/>
      <c r="G665" s="26"/>
      <c r="H665" s="5"/>
    </row>
    <row r="666" spans="2:38" ht="14.25" customHeight="1">
      <c r="C666" s="26"/>
      <c r="D666" s="26"/>
      <c r="E666" s="26"/>
      <c r="F666" s="26"/>
      <c r="G666" s="26"/>
      <c r="H666" s="5"/>
    </row>
    <row r="667" spans="2:38" ht="14.25" customHeight="1">
      <c r="C667" s="26"/>
      <c r="D667" s="26"/>
      <c r="E667" s="26"/>
      <c r="F667" s="26"/>
      <c r="G667" s="26"/>
      <c r="H667" s="5"/>
    </row>
    <row r="668" spans="2:38" ht="14.25" customHeight="1">
      <c r="C668" s="26"/>
      <c r="D668" s="26"/>
      <c r="E668" s="26"/>
      <c r="F668" s="26"/>
      <c r="G668" s="26"/>
      <c r="H668" s="5"/>
    </row>
    <row r="669" spans="2:38" ht="14.25" customHeight="1">
      <c r="C669" s="26"/>
      <c r="D669" s="26"/>
      <c r="E669" s="26"/>
      <c r="F669" s="26"/>
      <c r="G669" s="26"/>
      <c r="H669" s="5"/>
    </row>
    <row r="670" spans="2:38" ht="14.25" customHeight="1">
      <c r="C670" s="26"/>
      <c r="D670" s="26"/>
      <c r="E670" s="26"/>
      <c r="F670" s="26"/>
      <c r="G670" s="26"/>
      <c r="H670" s="5"/>
    </row>
    <row r="671" spans="2:38" ht="14.25" customHeight="1">
      <c r="C671" s="26"/>
      <c r="D671" s="26"/>
      <c r="E671" s="26"/>
      <c r="F671" s="26"/>
      <c r="G671" s="26"/>
      <c r="H671" s="5"/>
    </row>
    <row r="672" spans="2:38" ht="14.25" customHeight="1">
      <c r="C672" s="26"/>
      <c r="D672" s="26"/>
      <c r="E672" s="26"/>
      <c r="F672" s="26"/>
      <c r="G672" s="26"/>
      <c r="H672" s="5"/>
    </row>
    <row r="673" spans="3:8" ht="14.25" customHeight="1">
      <c r="C673" s="26"/>
      <c r="D673" s="26"/>
      <c r="E673" s="26"/>
      <c r="F673" s="26"/>
      <c r="G673" s="26"/>
      <c r="H673" s="5"/>
    </row>
    <row r="674" spans="3:8" ht="14.25" customHeight="1">
      <c r="C674" s="26"/>
      <c r="D674" s="26"/>
      <c r="E674" s="26"/>
      <c r="F674" s="26"/>
      <c r="G674" s="26"/>
      <c r="H674" s="5"/>
    </row>
    <row r="675" spans="3:8" ht="14.25" customHeight="1">
      <c r="C675" s="26"/>
      <c r="D675" s="26"/>
      <c r="E675" s="26"/>
      <c r="F675" s="26"/>
      <c r="G675" s="26"/>
      <c r="H675" s="5"/>
    </row>
    <row r="676" spans="3:8" ht="14.25" customHeight="1">
      <c r="C676" s="26"/>
      <c r="D676" s="26"/>
      <c r="E676" s="26"/>
      <c r="F676" s="26"/>
      <c r="G676" s="26"/>
      <c r="H676" s="5"/>
    </row>
    <row r="677" spans="3:8" ht="14.25" customHeight="1">
      <c r="C677" s="26"/>
      <c r="D677" s="26"/>
      <c r="E677" s="26"/>
      <c r="F677" s="26"/>
      <c r="G677" s="26"/>
      <c r="H677" s="5"/>
    </row>
    <row r="678" spans="3:8" ht="14.25" customHeight="1">
      <c r="C678" s="26"/>
      <c r="D678" s="26"/>
      <c r="E678" s="26"/>
      <c r="F678" s="26"/>
      <c r="G678" s="26"/>
      <c r="H678" s="5"/>
    </row>
    <row r="679" spans="3:8" ht="14.25" customHeight="1">
      <c r="C679" s="26"/>
      <c r="D679" s="26"/>
      <c r="E679" s="26"/>
      <c r="F679" s="26"/>
      <c r="G679" s="26"/>
      <c r="H679" s="5"/>
    </row>
    <row r="680" spans="3:8" ht="14.25" customHeight="1">
      <c r="C680" s="26"/>
      <c r="D680" s="26"/>
      <c r="E680" s="26"/>
      <c r="F680" s="26"/>
      <c r="G680" s="26"/>
      <c r="H680" s="5"/>
    </row>
    <row r="681" spans="3:8" ht="14.25" customHeight="1">
      <c r="C681" s="26"/>
      <c r="D681" s="26"/>
      <c r="E681" s="26"/>
      <c r="F681" s="26"/>
      <c r="G681" s="26"/>
      <c r="H681" s="5"/>
    </row>
    <row r="682" spans="3:8" ht="14.25" customHeight="1">
      <c r="C682" s="26"/>
      <c r="D682" s="26"/>
      <c r="E682" s="26"/>
      <c r="F682" s="26"/>
      <c r="G682" s="26"/>
      <c r="H682" s="5"/>
    </row>
    <row r="683" spans="3:8" ht="14.25" customHeight="1">
      <c r="C683" s="26"/>
      <c r="D683" s="26"/>
      <c r="E683" s="26"/>
      <c r="F683" s="26"/>
      <c r="G683" s="26"/>
      <c r="H683" s="5"/>
    </row>
    <row r="684" spans="3:8" ht="14.25" customHeight="1">
      <c r="C684" s="26"/>
      <c r="D684" s="26"/>
      <c r="E684" s="26"/>
      <c r="F684" s="26"/>
      <c r="G684" s="26"/>
      <c r="H684" s="5"/>
    </row>
    <row r="685" spans="3:8" ht="14.25" customHeight="1">
      <c r="C685" s="26"/>
      <c r="D685" s="26"/>
      <c r="E685" s="26"/>
      <c r="F685" s="26"/>
      <c r="G685" s="26"/>
      <c r="H685" s="5"/>
    </row>
    <row r="686" spans="3:8" ht="14.25" customHeight="1">
      <c r="C686" s="26"/>
      <c r="D686" s="26"/>
      <c r="E686" s="26"/>
      <c r="F686" s="26"/>
      <c r="G686" s="26"/>
      <c r="H686" s="5"/>
    </row>
    <row r="687" spans="3:8" ht="14.25" customHeight="1">
      <c r="C687" s="26"/>
      <c r="D687" s="26"/>
      <c r="E687" s="26"/>
      <c r="F687" s="26"/>
      <c r="G687" s="26"/>
      <c r="H687" s="5"/>
    </row>
    <row r="688" spans="3:8" ht="14.25" customHeight="1">
      <c r="C688" s="26"/>
      <c r="D688" s="26"/>
      <c r="E688" s="26"/>
      <c r="F688" s="26"/>
      <c r="G688" s="26"/>
      <c r="H688" s="5"/>
    </row>
    <row r="689" spans="3:8" ht="14.25" customHeight="1">
      <c r="C689" s="26"/>
      <c r="D689" s="26"/>
      <c r="E689" s="26"/>
      <c r="F689" s="26"/>
      <c r="G689" s="26"/>
      <c r="H689" s="5"/>
    </row>
    <row r="690" spans="3:8" ht="14.25" customHeight="1">
      <c r="C690" s="26"/>
      <c r="D690" s="26"/>
      <c r="E690" s="26"/>
      <c r="F690" s="26"/>
      <c r="G690" s="26"/>
      <c r="H690" s="5"/>
    </row>
    <row r="691" spans="3:8" ht="14.25" customHeight="1">
      <c r="C691" s="26"/>
      <c r="D691" s="26"/>
      <c r="E691" s="26"/>
      <c r="F691" s="26"/>
      <c r="G691" s="26"/>
      <c r="H691" s="5"/>
    </row>
    <row r="692" spans="3:8" ht="14.25" customHeight="1">
      <c r="C692" s="26"/>
      <c r="D692" s="26"/>
      <c r="E692" s="26"/>
      <c r="F692" s="26"/>
      <c r="G692" s="26"/>
      <c r="H692" s="5"/>
    </row>
    <row r="693" spans="3:8" ht="14.25" customHeight="1">
      <c r="C693" s="26"/>
      <c r="D693" s="26"/>
      <c r="E693" s="26"/>
      <c r="F693" s="26"/>
      <c r="G693" s="26"/>
      <c r="H693" s="5"/>
    </row>
    <row r="694" spans="3:8" ht="14.25" customHeight="1">
      <c r="C694" s="26"/>
      <c r="D694" s="26"/>
      <c r="E694" s="26"/>
      <c r="F694" s="26"/>
      <c r="G694" s="26"/>
      <c r="H694" s="5"/>
    </row>
    <row r="695" spans="3:8" ht="14.25" customHeight="1">
      <c r="C695" s="26"/>
      <c r="D695" s="26"/>
      <c r="E695" s="26"/>
      <c r="F695" s="26"/>
      <c r="G695" s="26"/>
      <c r="H695" s="5"/>
    </row>
    <row r="696" spans="3:8" ht="14.25" customHeight="1">
      <c r="C696" s="26"/>
      <c r="D696" s="26"/>
      <c r="E696" s="26"/>
      <c r="F696" s="26"/>
      <c r="G696" s="26"/>
      <c r="H696" s="5"/>
    </row>
    <row r="697" spans="3:8" ht="14.25" customHeight="1">
      <c r="C697" s="26"/>
      <c r="D697" s="26"/>
      <c r="E697" s="26"/>
      <c r="F697" s="26"/>
      <c r="G697" s="26"/>
      <c r="H697" s="5"/>
    </row>
    <row r="698" spans="3:8" ht="14.25" customHeight="1">
      <c r="C698" s="26"/>
      <c r="D698" s="26"/>
      <c r="E698" s="26"/>
      <c r="F698" s="26"/>
      <c r="G698" s="26"/>
      <c r="H698" s="5"/>
    </row>
    <row r="699" spans="3:8" ht="14.25" customHeight="1">
      <c r="C699" s="26"/>
      <c r="D699" s="26"/>
      <c r="E699" s="26"/>
      <c r="F699" s="26"/>
      <c r="G699" s="26"/>
      <c r="H699" s="5"/>
    </row>
    <row r="700" spans="3:8" ht="14.25" customHeight="1">
      <c r="C700" s="26"/>
      <c r="D700" s="26"/>
      <c r="E700" s="26"/>
      <c r="F700" s="26"/>
      <c r="G700" s="26"/>
      <c r="H700" s="5"/>
    </row>
    <row r="701" spans="3:8" ht="14.25" customHeight="1">
      <c r="C701" s="26"/>
      <c r="D701" s="26"/>
      <c r="E701" s="26"/>
      <c r="F701" s="26"/>
      <c r="G701" s="26"/>
      <c r="H701" s="5"/>
    </row>
    <row r="702" spans="3:8" ht="14.25" customHeight="1">
      <c r="C702" s="26"/>
      <c r="D702" s="26"/>
      <c r="E702" s="26"/>
      <c r="F702" s="26"/>
      <c r="G702" s="26"/>
      <c r="H702" s="5"/>
    </row>
    <row r="703" spans="3:8" ht="14.25" customHeight="1">
      <c r="C703" s="26"/>
      <c r="D703" s="26"/>
      <c r="E703" s="26"/>
      <c r="F703" s="26"/>
      <c r="G703" s="26"/>
      <c r="H703" s="5"/>
    </row>
    <row r="704" spans="3:8" ht="14.25" customHeight="1">
      <c r="C704" s="26"/>
      <c r="D704" s="26"/>
      <c r="E704" s="26"/>
      <c r="F704" s="26"/>
      <c r="G704" s="26"/>
      <c r="H704" s="5"/>
    </row>
    <row r="705" spans="1:46" ht="14.25" customHeight="1">
      <c r="C705" s="26"/>
      <c r="D705" s="26"/>
      <c r="E705" s="26"/>
      <c r="F705" s="26"/>
      <c r="G705" s="26"/>
      <c r="H705" s="5"/>
    </row>
    <row r="706" spans="1:46" ht="14.25" customHeight="1">
      <c r="C706" s="26"/>
      <c r="D706" s="26"/>
      <c r="E706" s="26"/>
      <c r="F706" s="26"/>
      <c r="G706" s="26"/>
      <c r="H706" s="5"/>
    </row>
    <row r="707" spans="1:46" ht="14.25" customHeight="1">
      <c r="C707" s="26"/>
      <c r="D707" s="26"/>
      <c r="E707" s="26"/>
      <c r="F707" s="26"/>
      <c r="G707" s="26"/>
      <c r="H707" s="5"/>
    </row>
    <row r="708" spans="1:46" ht="14.25" customHeight="1">
      <c r="C708" s="26"/>
      <c r="D708" s="26"/>
      <c r="E708" s="26"/>
      <c r="F708" s="26"/>
      <c r="G708" s="26"/>
      <c r="H708" s="5"/>
    </row>
    <row r="709" spans="1:46" ht="14.25" customHeight="1">
      <c r="C709" s="26"/>
      <c r="D709" s="26"/>
      <c r="E709" s="26"/>
      <c r="F709" s="26"/>
      <c r="G709" s="26"/>
      <c r="H709" s="5"/>
    </row>
    <row r="710" spans="1:46" ht="14.25" customHeight="1">
      <c r="C710" s="26"/>
      <c r="D710" s="26"/>
      <c r="E710" s="26"/>
      <c r="F710" s="26"/>
      <c r="G710" s="26"/>
      <c r="H710" s="5"/>
    </row>
    <row r="711" spans="1:46" ht="14.25" customHeight="1">
      <c r="C711" s="26"/>
      <c r="D711" s="26"/>
      <c r="E711" s="26"/>
      <c r="F711" s="26"/>
      <c r="G711" s="26"/>
      <c r="H711" s="5"/>
    </row>
    <row r="712" spans="1:46" s="8" customFormat="1">
      <c r="B712" s="421" t="str">
        <f>TITLE!C17</f>
        <v>Полотна збірні: НІКА</v>
      </c>
      <c r="C712" s="421"/>
      <c r="D712" s="122"/>
      <c r="E712" s="122"/>
      <c r="F712" s="122"/>
      <c r="G712" s="122"/>
      <c r="H712" s="445"/>
      <c r="I712" s="44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419" t="str">
        <f>IF($C$1="ENG",CONCATENATE("up to: ",B642),CONCATENATE("вгору до: ",B642))</f>
        <v>вгору до: Полотна збірні: ЛАДА D</v>
      </c>
      <c r="U712" s="419"/>
      <c r="V712" s="419"/>
      <c r="W712" s="419"/>
      <c r="AN712" s="291"/>
      <c r="AO712" s="291"/>
      <c r="AP712" s="291"/>
      <c r="AQ712" s="291"/>
      <c r="AR712" s="291"/>
      <c r="AS712" s="291"/>
      <c r="AT712" s="291"/>
    </row>
    <row r="713" spans="1:46" s="8" customFormat="1" ht="5.0999999999999996" customHeight="1">
      <c r="B713" s="121"/>
      <c r="C713" s="121"/>
      <c r="D713" s="9"/>
      <c r="E713" s="9"/>
      <c r="F713" s="9"/>
      <c r="G713" s="9"/>
      <c r="H713" s="124"/>
      <c r="I713" s="124"/>
      <c r="T713" s="119"/>
      <c r="U713" s="119"/>
      <c r="V713" s="119"/>
      <c r="W713" s="119"/>
      <c r="AN713" s="291"/>
      <c r="AO713" s="291"/>
      <c r="AP713" s="291"/>
      <c r="AQ713" s="291"/>
      <c r="AR713" s="291"/>
      <c r="AS713" s="291"/>
      <c r="AT713" s="291"/>
    </row>
    <row r="714" spans="1:46" s="8" customFormat="1" ht="12.75" customHeight="1">
      <c r="B714" s="448" t="str">
        <f>IF($C$1="ENG","model","модель")</f>
        <v>модель</v>
      </c>
      <c r="C714" s="126" t="str">
        <f>IF($C$1="ENG","cover:","покриття:")</f>
        <v>покриття:</v>
      </c>
      <c r="D714" s="430" t="str">
        <f>IF($C$1="ENG","Verto-CELL","Verto-CELL")</f>
        <v>Verto-CELL</v>
      </c>
      <c r="E714" s="432"/>
      <c r="F714" s="430" t="str">
        <f>IF($C$1="ENG","UNI-MAT","UNI-MAT")</f>
        <v>UNI-MAT</v>
      </c>
      <c r="G714" s="432"/>
      <c r="H714" s="430" t="str">
        <f>IF($C$1="ENG","RESIST","RESIST")</f>
        <v>RESIST</v>
      </c>
      <c r="I714" s="432"/>
      <c r="J714" s="430" t="str">
        <f>IF($C$1="ENG","Verto LINE-3D","Verto LINE-3D")</f>
        <v>Verto LINE-3D</v>
      </c>
      <c r="K714" s="432"/>
      <c r="L714" s="430" t="str">
        <f>IF($C$1="ENG","ECO Shpon","ЕКО Шпон")</f>
        <v>ЕКО Шпон</v>
      </c>
      <c r="M714" s="432"/>
      <c r="P714" s="1"/>
      <c r="Q714" s="1"/>
      <c r="T714" s="119"/>
      <c r="U714" s="119"/>
      <c r="V714" s="119"/>
      <c r="W714" s="119"/>
      <c r="AN714" s="291"/>
      <c r="AO714" s="291"/>
      <c r="AP714" s="291"/>
      <c r="AQ714" s="291"/>
      <c r="AR714" s="291"/>
      <c r="AS714" s="291"/>
      <c r="AT714" s="291"/>
    </row>
    <row r="715" spans="1:46" s="8" customFormat="1" ht="24.75" customHeight="1">
      <c r="B715" s="449"/>
      <c r="C715" s="127" t="str">
        <f>IF($C$1="ENG","filling:","заповнення:")</f>
        <v>заповнення:</v>
      </c>
      <c r="D715" s="441" t="str">
        <f>IF($C$1="ENG","softwood","клеєний сосновий брус")</f>
        <v>клеєний сосновий брус</v>
      </c>
      <c r="E715" s="442"/>
      <c r="F715" s="441" t="str">
        <f>IF($C$1="ENG","softwood","клеєний сосновий брус")</f>
        <v>клеєний сосновий брус</v>
      </c>
      <c r="G715" s="442"/>
      <c r="H715" s="441" t="str">
        <f>IF($C$1="ENG","softwood","клеєний сосновий брус")</f>
        <v>клеєний сосновий брус</v>
      </c>
      <c r="I715" s="442"/>
      <c r="J715" s="441" t="str">
        <f>IF($C$1="ENG","softwood","клеєний сосновий брус")</f>
        <v>клеєний сосновий брус</v>
      </c>
      <c r="K715" s="442"/>
      <c r="L715" s="441" t="str">
        <f>IF($C$1="ENG","softwood","клеєний сосновий брус")</f>
        <v>клеєний сосновий брус</v>
      </c>
      <c r="M715" s="442"/>
      <c r="P715" s="1"/>
      <c r="Q715" s="1"/>
      <c r="T715" s="119"/>
      <c r="U715" s="119"/>
      <c r="V715" s="119"/>
      <c r="W715" s="119"/>
      <c r="AD715" s="405">
        <f>AD717/AC717-1</f>
        <v>0.13808801213960553</v>
      </c>
      <c r="AE715" s="405">
        <f>AE717/AD717-1</f>
        <v>3.2000000000000028E-2</v>
      </c>
      <c r="AF715" s="405">
        <f>AF717/AE717-1</f>
        <v>8.5271317829457294E-2</v>
      </c>
      <c r="AG715" s="405">
        <f>AG717/AF717-1</f>
        <v>4.4047619047619113E-2</v>
      </c>
      <c r="AN715" s="291"/>
      <c r="AO715" s="291"/>
      <c r="AP715" s="291"/>
      <c r="AQ715" s="291"/>
      <c r="AR715" s="291"/>
      <c r="AS715" s="291"/>
      <c r="AT715" s="291"/>
    </row>
    <row r="716" spans="1:46" ht="12.75" customHeight="1">
      <c r="A716" s="8"/>
      <c r="B716" s="450"/>
      <c r="C716" s="128" t="str">
        <f>IF($C$1="ENG","glazing:","скління:")</f>
        <v>скління:</v>
      </c>
      <c r="D716" s="424" t="str">
        <f>IF($C$1="ENG","Satin","Сатин")</f>
        <v>Сатин</v>
      </c>
      <c r="E716" s="434"/>
      <c r="F716" s="424" t="str">
        <f>IF($C$1="ENG","Satin","Сатин")</f>
        <v>Сатин</v>
      </c>
      <c r="G716" s="434"/>
      <c r="H716" s="424" t="str">
        <f>IF($C$1="ENG","Satin","Сатин")</f>
        <v>Сатин</v>
      </c>
      <c r="I716" s="434"/>
      <c r="J716" s="424" t="str">
        <f>IF($C$1="ENG","Satin","Сатин")</f>
        <v>Сатин</v>
      </c>
      <c r="K716" s="434"/>
      <c r="L716" s="424" t="str">
        <f>IF($C$1="ENG","Satin","Сатин")</f>
        <v>Сатин</v>
      </c>
      <c r="M716" s="434"/>
    </row>
    <row r="717" spans="1:46" ht="35.1" customHeight="1">
      <c r="A717" s="8"/>
      <c r="B717" s="16" t="s">
        <v>45</v>
      </c>
      <c r="C717" s="17"/>
      <c r="D717" s="18">
        <f>IF(AC717="","",(1-$W$2)*(AC717/1.2))</f>
        <v>5491.666666666667</v>
      </c>
      <c r="E717" s="69">
        <f>IF($W$5=0.2,D717*1.2,D717)/$W$4</f>
        <v>6590</v>
      </c>
      <c r="F717" s="18">
        <f>IF(AD717="","",(1-$W$2)*(AD717/1.2))</f>
        <v>6250</v>
      </c>
      <c r="G717" s="69">
        <f>IF($W$5=0.2,F717*1.2,F717)/$W$4</f>
        <v>7500</v>
      </c>
      <c r="H717" s="18">
        <f>IF(AE717="","",(1-$W$2)*(AE717/1.2))</f>
        <v>6450</v>
      </c>
      <c r="I717" s="69">
        <f>IF($W$5=0.2,H717*1.2,H717)/$W$4</f>
        <v>7740</v>
      </c>
      <c r="J717" s="18">
        <f>IF(AF717="","",(1-$W$2)*(AF717/1.2))</f>
        <v>7000</v>
      </c>
      <c r="K717" s="69">
        <f>IF($W$5=0.2,J717*1.2,J717)/$W$4</f>
        <v>8400</v>
      </c>
      <c r="L717" s="18">
        <f>IF(AG717="","",(1-$W$2)*(AG717/1.2))</f>
        <v>7308.3333333333339</v>
      </c>
      <c r="M717" s="69">
        <f>IF($W$5=0.2,L717*1.2,L717)/$W$4</f>
        <v>8770</v>
      </c>
      <c r="N717" s="108"/>
      <c r="R717" s="108"/>
      <c r="T717" s="108"/>
      <c r="U717" s="20"/>
      <c r="V717" s="108"/>
      <c r="W717" s="20"/>
      <c r="X717" s="108"/>
      <c r="Y717" s="108"/>
      <c r="Z717" s="108"/>
      <c r="AA717" s="108"/>
      <c r="AB717" s="108"/>
      <c r="AC717" s="346">
        <v>6590</v>
      </c>
      <c r="AD717" s="413">
        <v>7500</v>
      </c>
      <c r="AE717" s="346">
        <v>7740</v>
      </c>
      <c r="AF717" s="346">
        <v>8400</v>
      </c>
      <c r="AG717" s="346">
        <v>8770</v>
      </c>
      <c r="AH717" s="301">
        <v>6590</v>
      </c>
      <c r="AI717" s="301">
        <f>AH717/AC717-1</f>
        <v>0</v>
      </c>
      <c r="AJ717" s="301">
        <v>7500</v>
      </c>
      <c r="AK717" s="301">
        <f>AJ717/AD717-1</f>
        <v>0</v>
      </c>
      <c r="AL717" s="301">
        <v>7740</v>
      </c>
      <c r="AM717" s="301">
        <f>AL717/AE717-1</f>
        <v>0</v>
      </c>
      <c r="AN717" s="30">
        <f>AF717/100*12+AF717</f>
        <v>9408</v>
      </c>
      <c r="AO717" s="1">
        <f>AN717/AF717-1</f>
        <v>0.12000000000000011</v>
      </c>
      <c r="AP717" s="30">
        <v>8770</v>
      </c>
      <c r="AQ717" s="1">
        <f>AP717/AG717-1</f>
        <v>0</v>
      </c>
    </row>
    <row r="718" spans="1:46" ht="35.1" customHeight="1">
      <c r="A718" s="8"/>
      <c r="B718" s="23" t="s">
        <v>46</v>
      </c>
      <c r="C718" s="24"/>
      <c r="D718" s="25">
        <f>IF(AC718="","",(1-$W$2)*(AC718/1.2))</f>
        <v>5491.666666666667</v>
      </c>
      <c r="E718" s="72">
        <f>IF($W$5=0.2,D718*1.2,D718)/$W$4</f>
        <v>6590</v>
      </c>
      <c r="F718" s="25">
        <f>IF(AD718="","",(1-$W$2)*(AD718/1.2))</f>
        <v>6250</v>
      </c>
      <c r="G718" s="72">
        <f>IF($W$5=0.2,F718*1.2,F718)/$W$4</f>
        <v>7500</v>
      </c>
      <c r="H718" s="25">
        <f>IF(AE718="","",(1-$W$2)*(AE718/1.2))</f>
        <v>6450</v>
      </c>
      <c r="I718" s="72">
        <f>IF($W$5=0.2,H718*1.2,H718)/$W$4</f>
        <v>7740</v>
      </c>
      <c r="J718" s="25">
        <f>IF(AF718="","",(1-$W$2)*(AF718/1.2))</f>
        <v>7000</v>
      </c>
      <c r="K718" s="72">
        <f>IF($W$5=0.2,J718*1.2,J718)/$W$4</f>
        <v>8400</v>
      </c>
      <c r="L718" s="25">
        <f>IF(AG718="","",(1-$W$2)*(AG718/1.2))</f>
        <v>7308.3333333333339</v>
      </c>
      <c r="M718" s="72">
        <f>IF($W$5=0.2,L718*1.2,L718)/$W$4</f>
        <v>8770</v>
      </c>
      <c r="N718" s="108"/>
      <c r="R718" s="108"/>
      <c r="T718" s="108"/>
      <c r="U718" s="20"/>
      <c r="V718" s="108"/>
      <c r="W718" s="20"/>
      <c r="X718" s="108"/>
      <c r="Y718" s="108"/>
      <c r="Z718" s="108"/>
      <c r="AA718" s="108"/>
      <c r="AB718" s="108"/>
      <c r="AC718" s="346">
        <v>6590</v>
      </c>
      <c r="AD718" s="413">
        <v>7500</v>
      </c>
      <c r="AE718" s="346">
        <v>7740</v>
      </c>
      <c r="AF718" s="346">
        <v>8400</v>
      </c>
      <c r="AG718" s="346">
        <v>8770</v>
      </c>
      <c r="AH718" s="301">
        <v>6590</v>
      </c>
      <c r="AI718" s="301">
        <f>AH718/AC718-1</f>
        <v>0</v>
      </c>
      <c r="AJ718" s="301">
        <v>7500</v>
      </c>
      <c r="AK718" s="301">
        <f>AJ718/AD718-1</f>
        <v>0</v>
      </c>
      <c r="AL718" s="301">
        <v>7740</v>
      </c>
      <c r="AM718" s="301">
        <f>AL718/AE718-1</f>
        <v>0</v>
      </c>
      <c r="AN718" s="30">
        <f>AF718/100*12+AF718</f>
        <v>9408</v>
      </c>
      <c r="AO718" s="1">
        <f>AN718/AF718-1</f>
        <v>0.12000000000000011</v>
      </c>
      <c r="AP718" s="30">
        <v>8770</v>
      </c>
      <c r="AQ718" s="1">
        <f>AP718/AG718-1</f>
        <v>0</v>
      </c>
    </row>
    <row r="719" spans="1:46">
      <c r="C719" s="26"/>
      <c r="D719" s="26"/>
      <c r="E719" s="60"/>
      <c r="F719" s="26"/>
      <c r="G719" s="60"/>
      <c r="H719" s="10"/>
      <c r="I719" s="8"/>
      <c r="J719" s="8"/>
      <c r="K719" s="8"/>
    </row>
    <row r="720" spans="1:46">
      <c r="B720" s="220" t="str">
        <f>IF($C$1="ENG","For additonal charge:","Послуги за додаткову плату:")</f>
        <v>Послуги за додаткову плату:</v>
      </c>
      <c r="C720" s="221"/>
      <c r="D720" s="221"/>
      <c r="E720" s="222"/>
      <c r="F720" s="26"/>
      <c r="G720" s="60"/>
      <c r="H720" s="10"/>
      <c r="I720" s="8"/>
      <c r="J720" s="8"/>
      <c r="K720" s="8"/>
    </row>
    <row r="721" spans="2:38" ht="5.0999999999999996" customHeight="1">
      <c r="B721" s="27"/>
      <c r="C721" s="26"/>
      <c r="D721" s="26"/>
      <c r="E721" s="60"/>
      <c r="F721" s="26"/>
      <c r="G721" s="60"/>
      <c r="H721" s="10"/>
      <c r="I721" s="8"/>
      <c r="J721" s="8"/>
      <c r="K721" s="8"/>
    </row>
    <row r="722" spans="2:38">
      <c r="B722" s="446" t="str">
        <f>IF($C$1="ENG","door leaf with width 100","полотно розміром 100")</f>
        <v>полотно розміром 100</v>
      </c>
      <c r="C722" s="447"/>
      <c r="D722" s="136">
        <f t="shared" ref="D722:D731" si="55">IF(AC722="","",(1-$W$2)*(AC722/1.2))</f>
        <v>600</v>
      </c>
      <c r="E722" s="96">
        <f t="shared" ref="E722:E730" si="56">IF($W$5=0.2,D722*1.2,D722)/$W$4</f>
        <v>720</v>
      </c>
      <c r="F722" s="26"/>
      <c r="G722" s="26"/>
      <c r="H722" s="10"/>
      <c r="I722" s="8"/>
      <c r="J722" s="8"/>
      <c r="K722" s="8"/>
      <c r="AC722" s="310">
        <v>720</v>
      </c>
      <c r="AD722" s="310">
        <v>720</v>
      </c>
      <c r="AE722" s="301"/>
      <c r="AF722" s="301"/>
      <c r="AG722" s="301"/>
      <c r="AH722" s="301"/>
      <c r="AI722" s="301"/>
      <c r="AJ722" s="301"/>
      <c r="AK722" s="301"/>
      <c r="AL722" s="301"/>
    </row>
    <row r="723" spans="2:38">
      <c r="B723" s="446" t="str">
        <f>IF($C$1="ENG","Ventilation cut","вентиляційний підріз")</f>
        <v>вентиляційний підріз</v>
      </c>
      <c r="C723" s="447"/>
      <c r="D723" s="137">
        <f t="shared" si="55"/>
        <v>141.66666666666669</v>
      </c>
      <c r="E723" s="69">
        <f t="shared" si="56"/>
        <v>170.00000000000003</v>
      </c>
      <c r="F723" s="26"/>
      <c r="G723" s="26"/>
      <c r="I723" s="62"/>
      <c r="J723" s="28"/>
      <c r="AC723" s="310">
        <v>170</v>
      </c>
      <c r="AD723" s="310">
        <v>170</v>
      </c>
      <c r="AE723" s="301"/>
      <c r="AF723" s="301"/>
      <c r="AG723" s="301"/>
      <c r="AH723" s="301"/>
      <c r="AI723" s="301"/>
      <c r="AJ723" s="301"/>
      <c r="AK723" s="301"/>
      <c r="AL723" s="301"/>
    </row>
    <row r="724" spans="2:38">
      <c r="B724" s="439" t="str">
        <f>IF($C$1="ENG","glazing Graphite / Bronze","скло Графіт / Бронза")</f>
        <v>скло Графіт / Бронза</v>
      </c>
      <c r="C724" s="440"/>
      <c r="D724" s="106">
        <f t="shared" si="55"/>
        <v>458.33333333333337</v>
      </c>
      <c r="E724" s="97">
        <f t="shared" si="56"/>
        <v>550</v>
      </c>
      <c r="F724" s="26"/>
      <c r="G724" s="26"/>
      <c r="H724" s="5"/>
      <c r="AC724" s="310">
        <v>550</v>
      </c>
      <c r="AD724" s="310">
        <v>550</v>
      </c>
      <c r="AE724" s="301"/>
      <c r="AF724" s="301"/>
      <c r="AG724" s="301"/>
      <c r="AH724" s="301"/>
      <c r="AI724" s="301"/>
      <c r="AJ724" s="301"/>
      <c r="AK724" s="301"/>
      <c r="AL724" s="301"/>
    </row>
    <row r="725" spans="2:38">
      <c r="B725" s="439" t="str">
        <f>IF($C$1="ENG","door lock Soft","замок Soft")</f>
        <v>замок Soft</v>
      </c>
      <c r="C725" s="440"/>
      <c r="D725" s="106">
        <f t="shared" si="55"/>
        <v>458.33333333333337</v>
      </c>
      <c r="E725" s="97">
        <f t="shared" si="56"/>
        <v>550</v>
      </c>
      <c r="F725" s="26"/>
      <c r="G725" s="26"/>
      <c r="H725" s="5"/>
      <c r="AC725" s="310">
        <v>550</v>
      </c>
      <c r="AD725" s="310">
        <v>550</v>
      </c>
      <c r="AE725" s="301"/>
      <c r="AF725" s="301"/>
      <c r="AG725" s="301"/>
      <c r="AH725" s="301"/>
      <c r="AI725" s="301"/>
      <c r="AJ725" s="301"/>
      <c r="AK725" s="301"/>
      <c r="AL725" s="301"/>
    </row>
    <row r="726" spans="2:38">
      <c r="B726" s="439" t="str">
        <f>IF($C$1="ENG","door lock Magnet","замок Magnet")</f>
        <v>замок Magnet</v>
      </c>
      <c r="C726" s="440"/>
      <c r="D726" s="106">
        <f t="shared" si="55"/>
        <v>666.66666666666674</v>
      </c>
      <c r="E726" s="97">
        <f t="shared" si="56"/>
        <v>800.00000000000011</v>
      </c>
      <c r="F726" s="26"/>
      <c r="G726" s="26"/>
      <c r="H726" s="5"/>
      <c r="AC726" s="310">
        <v>800</v>
      </c>
      <c r="AD726" s="310">
        <v>800</v>
      </c>
      <c r="AE726" s="301"/>
      <c r="AF726" s="301"/>
      <c r="AG726" s="301"/>
      <c r="AH726" s="301"/>
      <c r="AI726" s="301"/>
      <c r="AJ726" s="301"/>
      <c r="AK726" s="301"/>
      <c r="AL726" s="301"/>
    </row>
    <row r="727" spans="2:38">
      <c r="B727" s="439" t="str">
        <f>IF($C$1="ENG","door handle-lock (for sliding doors)","ручка-замок (для дверей купе)")</f>
        <v>ручка-замок (для дверей купе)</v>
      </c>
      <c r="C727" s="440"/>
      <c r="D727" s="137">
        <f t="shared" si="55"/>
        <v>466.66666666666669</v>
      </c>
      <c r="E727" s="97">
        <f t="shared" si="56"/>
        <v>560</v>
      </c>
      <c r="F727" s="26"/>
      <c r="G727" s="26"/>
      <c r="I727" s="11"/>
      <c r="J727" s="11"/>
      <c r="K727" s="19"/>
      <c r="AC727" s="310">
        <v>560</v>
      </c>
      <c r="AD727" s="310">
        <v>560</v>
      </c>
      <c r="AE727" s="301"/>
      <c r="AF727" s="301"/>
      <c r="AG727" s="301"/>
      <c r="AH727" s="301"/>
      <c r="AI727" s="301"/>
      <c r="AJ727" s="301"/>
      <c r="AK727" s="301"/>
      <c r="AL727" s="301"/>
    </row>
    <row r="728" spans="2:38">
      <c r="B728" s="439" t="str">
        <f>IF($C$1="ENG","cylinder incert","циліндр несиметричний")</f>
        <v>циліндр несиметричний</v>
      </c>
      <c r="C728" s="440"/>
      <c r="D728" s="137">
        <f t="shared" si="55"/>
        <v>325</v>
      </c>
      <c r="E728" s="97">
        <f t="shared" si="56"/>
        <v>390</v>
      </c>
      <c r="F728" s="26"/>
      <c r="G728" s="26"/>
      <c r="AC728" s="310">
        <v>390</v>
      </c>
      <c r="AD728" s="310">
        <v>390</v>
      </c>
      <c r="AE728" s="301"/>
      <c r="AF728" s="301"/>
      <c r="AG728" s="301"/>
      <c r="AH728" s="301"/>
      <c r="AI728" s="301"/>
      <c r="AJ728" s="301"/>
      <c r="AK728" s="301"/>
      <c r="AL728" s="301"/>
    </row>
    <row r="729" spans="2:38">
      <c r="B729" s="439" t="str">
        <f>IF($C$1="ENG","door hindge Prestige (1 unit)","завіса Prestige (1 шт)")</f>
        <v>завіса Prestige (1 шт)</v>
      </c>
      <c r="C729" s="440"/>
      <c r="D729" s="139">
        <f t="shared" si="55"/>
        <v>216.66666666666669</v>
      </c>
      <c r="E729" s="97">
        <f t="shared" si="56"/>
        <v>260</v>
      </c>
      <c r="F729" s="26"/>
      <c r="G729" s="26"/>
      <c r="AC729" s="310">
        <v>260</v>
      </c>
      <c r="AD729" s="310">
        <v>260</v>
      </c>
      <c r="AE729" s="301"/>
      <c r="AF729" s="301"/>
      <c r="AG729" s="301"/>
      <c r="AH729" s="301"/>
      <c r="AI729" s="301"/>
      <c r="AJ729" s="301"/>
      <c r="AK729" s="301"/>
      <c r="AL729" s="301"/>
    </row>
    <row r="730" spans="2:38">
      <c r="B730" s="439" t="str">
        <f>IF($C$1="ENG","door hinge caps (1 set)","накладка на завіси (1 к-т)")</f>
        <v>накладка на завіси (1 к-т)</v>
      </c>
      <c r="C730" s="440"/>
      <c r="D730" s="139">
        <f t="shared" si="55"/>
        <v>66.666666666666671</v>
      </c>
      <c r="E730" s="97">
        <f t="shared" si="56"/>
        <v>80</v>
      </c>
      <c r="F730" s="26"/>
      <c r="G730" s="26"/>
      <c r="AC730" s="310">
        <v>80</v>
      </c>
      <c r="AD730" s="310">
        <v>80</v>
      </c>
      <c r="AE730" s="301"/>
      <c r="AF730" s="301"/>
      <c r="AG730" s="301"/>
      <c r="AH730" s="301"/>
      <c r="AI730" s="301"/>
      <c r="AJ730" s="301"/>
      <c r="AK730" s="301"/>
      <c r="AL730" s="301"/>
    </row>
    <row r="731" spans="2:38">
      <c r="B731" s="439" t="str">
        <f>IF($C$1="ENG","door handle","дверна ручка")</f>
        <v>дверна ручка</v>
      </c>
      <c r="C731" s="440"/>
      <c r="D731" s="138" t="str">
        <f t="shared" si="55"/>
        <v/>
      </c>
      <c r="E731" s="256" t="str">
        <f>IF($C$1="ENG","see Handles Price","див. Таблицю Ручки")</f>
        <v>див. Таблицю Ручки</v>
      </c>
      <c r="F731" s="26"/>
      <c r="G731" s="26"/>
      <c r="AC731" s="301"/>
      <c r="AD731" s="301"/>
      <c r="AE731" s="301"/>
      <c r="AF731" s="301"/>
      <c r="AG731" s="301"/>
      <c r="AH731" s="301"/>
      <c r="AI731" s="301"/>
      <c r="AJ731" s="301"/>
      <c r="AK731" s="301"/>
      <c r="AL731" s="301"/>
    </row>
    <row r="732" spans="2:38" ht="14.25" customHeight="1">
      <c r="C732" s="26"/>
      <c r="D732" s="26"/>
      <c r="E732" s="26"/>
      <c r="F732" s="26"/>
      <c r="G732" s="26"/>
      <c r="H732" s="5"/>
      <c r="T732" s="460" t="str">
        <f>IF($C$1="ENG",CONCATENATE("down to: ",B782),CONCATENATE("вниз до: ",B782))</f>
        <v>вниз до: Полотна збірні: ЛІСА</v>
      </c>
      <c r="U732" s="460"/>
      <c r="V732" s="460"/>
      <c r="W732" s="460"/>
    </row>
    <row r="733" spans="2:38" ht="14.25" customHeight="1">
      <c r="C733" s="26"/>
      <c r="D733" s="26"/>
      <c r="E733" s="26"/>
      <c r="F733" s="26"/>
      <c r="G733" s="26"/>
      <c r="H733" s="5"/>
    </row>
    <row r="734" spans="2:38" ht="14.25" customHeight="1">
      <c r="C734" s="26"/>
      <c r="D734" s="26"/>
      <c r="E734" s="26"/>
      <c r="F734" s="26"/>
      <c r="G734" s="26"/>
      <c r="H734" s="5"/>
    </row>
    <row r="735" spans="2:38" ht="14.25" customHeight="1">
      <c r="C735" s="26"/>
      <c r="D735" s="26"/>
      <c r="E735" s="26"/>
      <c r="F735" s="26"/>
      <c r="G735" s="26"/>
      <c r="H735" s="5"/>
    </row>
    <row r="736" spans="2:38" ht="14.25" customHeight="1">
      <c r="C736" s="26"/>
      <c r="D736" s="26"/>
      <c r="E736" s="26"/>
      <c r="F736" s="26"/>
      <c r="G736" s="26"/>
      <c r="H736" s="5"/>
    </row>
    <row r="737" spans="3:8" ht="14.25" customHeight="1">
      <c r="C737" s="26"/>
      <c r="D737" s="26"/>
      <c r="E737" s="26"/>
      <c r="F737" s="26"/>
      <c r="G737" s="26"/>
      <c r="H737" s="5"/>
    </row>
    <row r="738" spans="3:8" ht="14.25" customHeight="1">
      <c r="C738" s="26"/>
      <c r="D738" s="26"/>
      <c r="E738" s="26"/>
      <c r="F738" s="26"/>
      <c r="G738" s="26"/>
      <c r="H738" s="5"/>
    </row>
    <row r="739" spans="3:8" ht="14.25" customHeight="1">
      <c r="C739" s="26"/>
      <c r="D739" s="26"/>
      <c r="E739" s="26"/>
      <c r="F739" s="26"/>
      <c r="G739" s="26"/>
      <c r="H739" s="5"/>
    </row>
    <row r="740" spans="3:8" ht="14.25" customHeight="1">
      <c r="C740" s="26"/>
      <c r="D740" s="26"/>
      <c r="E740" s="26"/>
      <c r="F740" s="26"/>
      <c r="G740" s="26"/>
      <c r="H740" s="5"/>
    </row>
    <row r="741" spans="3:8" ht="14.25" customHeight="1">
      <c r="C741" s="26"/>
      <c r="D741" s="26"/>
      <c r="E741" s="26"/>
      <c r="F741" s="26"/>
      <c r="G741" s="26"/>
      <c r="H741" s="5"/>
    </row>
    <row r="742" spans="3:8" ht="14.25" customHeight="1">
      <c r="C742" s="26"/>
      <c r="D742" s="26"/>
      <c r="E742" s="26"/>
      <c r="F742" s="26"/>
      <c r="G742" s="26"/>
      <c r="H742" s="5"/>
    </row>
    <row r="743" spans="3:8" ht="14.25" customHeight="1">
      <c r="C743" s="26"/>
      <c r="D743" s="26"/>
      <c r="E743" s="26"/>
      <c r="F743" s="26"/>
      <c r="G743" s="26"/>
      <c r="H743" s="5"/>
    </row>
    <row r="744" spans="3:8" ht="14.25" customHeight="1">
      <c r="C744" s="26"/>
      <c r="D744" s="26"/>
      <c r="E744" s="26"/>
      <c r="F744" s="26"/>
      <c r="G744" s="26"/>
      <c r="H744" s="5"/>
    </row>
    <row r="745" spans="3:8" ht="14.25" customHeight="1">
      <c r="C745" s="26"/>
      <c r="D745" s="26"/>
      <c r="E745" s="26"/>
      <c r="F745" s="26"/>
      <c r="G745" s="26"/>
      <c r="H745" s="5"/>
    </row>
    <row r="746" spans="3:8" ht="14.25" customHeight="1">
      <c r="C746" s="26"/>
      <c r="D746" s="26"/>
      <c r="E746" s="26"/>
      <c r="F746" s="26"/>
      <c r="G746" s="26"/>
      <c r="H746" s="5"/>
    </row>
    <row r="747" spans="3:8" ht="14.25" customHeight="1">
      <c r="C747" s="26"/>
      <c r="D747" s="26"/>
      <c r="E747" s="26"/>
      <c r="F747" s="26"/>
      <c r="G747" s="26"/>
      <c r="H747" s="5"/>
    </row>
    <row r="748" spans="3:8" ht="14.25" customHeight="1">
      <c r="C748" s="26"/>
      <c r="D748" s="26"/>
      <c r="E748" s="26"/>
      <c r="F748" s="26"/>
      <c r="G748" s="26"/>
      <c r="H748" s="5"/>
    </row>
    <row r="749" spans="3:8" ht="14.25" customHeight="1">
      <c r="C749" s="26"/>
      <c r="D749" s="26"/>
      <c r="E749" s="26"/>
      <c r="F749" s="26"/>
      <c r="G749" s="26"/>
      <c r="H749" s="5"/>
    </row>
    <row r="750" spans="3:8" ht="14.25" customHeight="1">
      <c r="C750" s="26"/>
      <c r="D750" s="26"/>
      <c r="E750" s="26"/>
      <c r="F750" s="26"/>
      <c r="G750" s="26"/>
      <c r="H750" s="5"/>
    </row>
    <row r="751" spans="3:8" ht="14.25" customHeight="1">
      <c r="C751" s="26"/>
      <c r="D751" s="26"/>
      <c r="E751" s="26"/>
      <c r="F751" s="26"/>
      <c r="G751" s="26"/>
      <c r="H751" s="5"/>
    </row>
    <row r="752" spans="3:8" ht="14.25" customHeight="1">
      <c r="C752" s="26"/>
      <c r="D752" s="26"/>
      <c r="E752" s="26"/>
      <c r="F752" s="26"/>
      <c r="G752" s="26"/>
      <c r="H752" s="5"/>
    </row>
    <row r="753" spans="3:8" ht="14.25" customHeight="1">
      <c r="C753" s="26"/>
      <c r="D753" s="26"/>
      <c r="E753" s="26"/>
      <c r="F753" s="26"/>
      <c r="G753" s="26"/>
      <c r="H753" s="5"/>
    </row>
    <row r="754" spans="3:8" ht="14.25" customHeight="1">
      <c r="C754" s="26"/>
      <c r="D754" s="26"/>
      <c r="E754" s="26"/>
      <c r="F754" s="26"/>
      <c r="G754" s="26"/>
      <c r="H754" s="5"/>
    </row>
    <row r="755" spans="3:8" ht="14.25" customHeight="1">
      <c r="C755" s="26"/>
      <c r="D755" s="26"/>
      <c r="E755" s="26"/>
      <c r="F755" s="26"/>
      <c r="G755" s="26"/>
      <c r="H755" s="5"/>
    </row>
    <row r="756" spans="3:8" ht="14.25" customHeight="1">
      <c r="C756" s="26"/>
      <c r="D756" s="26"/>
      <c r="E756" s="26"/>
      <c r="F756" s="26"/>
      <c r="G756" s="26"/>
      <c r="H756" s="5"/>
    </row>
    <row r="757" spans="3:8" ht="14.25" customHeight="1">
      <c r="C757" s="26"/>
      <c r="D757" s="26"/>
      <c r="E757" s="26"/>
      <c r="F757" s="26"/>
      <c r="G757" s="26"/>
      <c r="H757" s="5"/>
    </row>
    <row r="758" spans="3:8" ht="14.25" customHeight="1">
      <c r="C758" s="26"/>
      <c r="D758" s="26"/>
      <c r="E758" s="26"/>
      <c r="F758" s="26"/>
      <c r="G758" s="26"/>
      <c r="H758" s="5"/>
    </row>
    <row r="759" spans="3:8" ht="14.25" customHeight="1">
      <c r="C759" s="26"/>
      <c r="D759" s="26"/>
      <c r="E759" s="26"/>
      <c r="F759" s="26"/>
      <c r="G759" s="26"/>
      <c r="H759" s="5"/>
    </row>
    <row r="760" spans="3:8" ht="14.25" customHeight="1">
      <c r="C760" s="26"/>
      <c r="D760" s="26"/>
      <c r="E760" s="26"/>
      <c r="F760" s="26"/>
      <c r="G760" s="26"/>
      <c r="H760" s="5"/>
    </row>
    <row r="761" spans="3:8" ht="14.25" customHeight="1">
      <c r="C761" s="26"/>
      <c r="D761" s="26"/>
      <c r="E761" s="26"/>
      <c r="F761" s="26"/>
      <c r="G761" s="26"/>
      <c r="H761" s="5"/>
    </row>
    <row r="762" spans="3:8" ht="14.25" customHeight="1">
      <c r="C762" s="26"/>
      <c r="D762" s="26"/>
      <c r="E762" s="26"/>
      <c r="F762" s="26"/>
      <c r="G762" s="26"/>
      <c r="H762" s="5"/>
    </row>
    <row r="763" spans="3:8" ht="14.25" customHeight="1">
      <c r="C763" s="26"/>
      <c r="D763" s="26"/>
      <c r="E763" s="26"/>
      <c r="F763" s="26"/>
      <c r="G763" s="26"/>
      <c r="H763" s="5"/>
    </row>
    <row r="764" spans="3:8" ht="14.25" customHeight="1">
      <c r="C764" s="26"/>
      <c r="D764" s="26"/>
      <c r="E764" s="26"/>
      <c r="F764" s="26"/>
      <c r="G764" s="26"/>
      <c r="H764" s="5"/>
    </row>
    <row r="765" spans="3:8" ht="14.25" customHeight="1">
      <c r="C765" s="26"/>
      <c r="D765" s="26"/>
      <c r="E765" s="26"/>
      <c r="F765" s="26"/>
      <c r="G765" s="26"/>
      <c r="H765" s="5"/>
    </row>
    <row r="766" spans="3:8" ht="14.25" customHeight="1">
      <c r="C766" s="26"/>
      <c r="D766" s="26"/>
      <c r="E766" s="26"/>
      <c r="F766" s="26"/>
      <c r="G766" s="26"/>
      <c r="H766" s="5"/>
    </row>
    <row r="767" spans="3:8" ht="14.25" customHeight="1">
      <c r="C767" s="26"/>
      <c r="D767" s="26"/>
      <c r="E767" s="26"/>
      <c r="F767" s="26"/>
      <c r="G767" s="26"/>
      <c r="H767" s="5"/>
    </row>
    <row r="768" spans="3:8" ht="14.25" customHeight="1">
      <c r="C768" s="26"/>
      <c r="D768" s="26"/>
      <c r="E768" s="26"/>
      <c r="F768" s="26"/>
      <c r="G768" s="26"/>
      <c r="H768" s="5"/>
    </row>
    <row r="769" spans="2:46" ht="14.25" customHeight="1">
      <c r="C769" s="26"/>
      <c r="D769" s="26"/>
      <c r="E769" s="26"/>
      <c r="F769" s="26"/>
      <c r="G769" s="26"/>
      <c r="H769" s="5"/>
    </row>
    <row r="770" spans="2:46" ht="14.25" customHeight="1">
      <c r="C770" s="26"/>
      <c r="D770" s="26"/>
      <c r="E770" s="26"/>
      <c r="F770" s="26"/>
      <c r="G770" s="26"/>
      <c r="H770" s="5"/>
    </row>
    <row r="771" spans="2:46" ht="14.25" customHeight="1">
      <c r="C771" s="26"/>
      <c r="D771" s="26"/>
      <c r="E771" s="26"/>
      <c r="F771" s="26"/>
      <c r="G771" s="26"/>
      <c r="H771" s="5"/>
    </row>
    <row r="772" spans="2:46" ht="14.25" customHeight="1">
      <c r="C772" s="26"/>
      <c r="D772" s="26"/>
      <c r="E772" s="26"/>
      <c r="F772" s="26"/>
      <c r="G772" s="26"/>
      <c r="H772" s="5"/>
    </row>
    <row r="773" spans="2:46" ht="14.25" customHeight="1">
      <c r="C773" s="26"/>
      <c r="D773" s="26"/>
      <c r="E773" s="26"/>
      <c r="F773" s="26"/>
      <c r="G773" s="26"/>
      <c r="H773" s="5"/>
    </row>
    <row r="774" spans="2:46" ht="14.25" customHeight="1">
      <c r="C774" s="26"/>
      <c r="D774" s="26"/>
      <c r="E774" s="26"/>
      <c r="F774" s="26"/>
      <c r="G774" s="26"/>
      <c r="H774" s="5"/>
    </row>
    <row r="775" spans="2:46" ht="14.25" customHeight="1">
      <c r="C775" s="26"/>
      <c r="D775" s="26"/>
      <c r="E775" s="26"/>
      <c r="F775" s="26"/>
      <c r="G775" s="26"/>
      <c r="H775" s="5"/>
    </row>
    <row r="776" spans="2:46" ht="14.25" customHeight="1">
      <c r="C776" s="26"/>
      <c r="D776" s="26"/>
      <c r="E776" s="26"/>
      <c r="F776" s="26"/>
      <c r="G776" s="26"/>
      <c r="H776" s="5"/>
      <c r="AH776" s="301">
        <f>AC776/100*12+AC776</f>
        <v>0</v>
      </c>
      <c r="AI776" s="301" t="e">
        <f>AH776/AC776-1</f>
        <v>#DIV/0!</v>
      </c>
    </row>
    <row r="777" spans="2:46" ht="14.25" customHeight="1">
      <c r="C777" s="26"/>
      <c r="D777" s="26"/>
      <c r="E777" s="26"/>
      <c r="F777" s="26"/>
      <c r="G777" s="26"/>
      <c r="H777" s="5"/>
    </row>
    <row r="778" spans="2:46" ht="14.25" customHeight="1">
      <c r="C778" s="26"/>
      <c r="D778" s="26"/>
      <c r="E778" s="26"/>
      <c r="F778" s="26"/>
      <c r="G778" s="26"/>
      <c r="H778" s="5"/>
    </row>
    <row r="779" spans="2:46" ht="14.25" customHeight="1">
      <c r="C779" s="26"/>
      <c r="D779" s="26"/>
      <c r="E779" s="26"/>
      <c r="F779" s="26"/>
      <c r="G779" s="26"/>
      <c r="H779" s="5"/>
    </row>
    <row r="780" spans="2:46" ht="14.25" customHeight="1">
      <c r="C780" s="26"/>
      <c r="D780" s="26"/>
      <c r="E780" s="26"/>
      <c r="F780" s="26"/>
      <c r="G780" s="26"/>
      <c r="H780" s="5"/>
    </row>
    <row r="781" spans="2:46" ht="14.25" customHeight="1">
      <c r="C781" s="26"/>
      <c r="D781" s="26"/>
      <c r="E781" s="26"/>
      <c r="F781" s="26"/>
      <c r="G781" s="26"/>
      <c r="H781" s="5"/>
    </row>
    <row r="782" spans="2:46" s="8" customFormat="1">
      <c r="B782" s="421" t="str">
        <f>TITLE!C18</f>
        <v>Полотна збірні: ЛІСА</v>
      </c>
      <c r="C782" s="421"/>
      <c r="D782" s="122"/>
      <c r="E782" s="122"/>
      <c r="F782" s="122"/>
      <c r="G782" s="122"/>
      <c r="H782" s="445"/>
      <c r="I782" s="44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419" t="str">
        <f>IF($C$1="ENG",CONCATENATE("up to: ",B712),CONCATENATE("вгору до: ",B712))</f>
        <v>вгору до: Полотна збірні: НІКА</v>
      </c>
      <c r="U782" s="419"/>
      <c r="V782" s="419"/>
      <c r="W782" s="419"/>
      <c r="AN782" s="291"/>
      <c r="AO782" s="291"/>
      <c r="AP782" s="291"/>
      <c r="AQ782" s="291"/>
      <c r="AR782" s="291"/>
      <c r="AS782" s="291"/>
      <c r="AT782" s="291"/>
    </row>
    <row r="783" spans="2:46" s="8" customFormat="1" ht="5.0999999999999996" customHeight="1">
      <c r="B783" s="121"/>
      <c r="C783" s="121"/>
      <c r="D783" s="9"/>
      <c r="E783" s="9"/>
      <c r="F783" s="9"/>
      <c r="G783" s="9"/>
      <c r="H783" s="124"/>
      <c r="I783" s="124"/>
      <c r="T783" s="119"/>
      <c r="U783" s="119"/>
      <c r="V783" s="119"/>
      <c r="W783" s="119"/>
      <c r="AN783" s="291"/>
      <c r="AO783" s="291"/>
      <c r="AP783" s="291"/>
      <c r="AQ783" s="291"/>
      <c r="AR783" s="291"/>
      <c r="AS783" s="291"/>
      <c r="AT783" s="291"/>
    </row>
    <row r="784" spans="2:46" s="8" customFormat="1" ht="12.75" customHeight="1">
      <c r="B784" s="448" t="str">
        <f>IF($C$1="ENG","model","модель")</f>
        <v>модель</v>
      </c>
      <c r="C784" s="126" t="str">
        <f>IF($C$1="ENG","cover:","покриття:")</f>
        <v>покриття:</v>
      </c>
      <c r="D784" s="430" t="str">
        <f>IF($C$1="ENG","Verto-CELL","Verto-CELL")</f>
        <v>Verto-CELL</v>
      </c>
      <c r="E784" s="432"/>
      <c r="F784" s="430" t="str">
        <f>IF($C$1="ENG","UNI-MAT","UNI-MAT")</f>
        <v>UNI-MAT</v>
      </c>
      <c r="G784" s="432"/>
      <c r="H784" s="430" t="str">
        <f>IF($C$1="ENG","RESIST","RESIST")</f>
        <v>RESIST</v>
      </c>
      <c r="I784" s="432"/>
      <c r="J784" s="430" t="str">
        <f>IF($C$1="ENG","Verto LINE-3D","Verto LINE-3D")</f>
        <v>Verto LINE-3D</v>
      </c>
      <c r="K784" s="432"/>
      <c r="L784" s="430" t="str">
        <f>IF($C$1="ENG","ECO Shpon","ЕКО Шпон")</f>
        <v>ЕКО Шпон</v>
      </c>
      <c r="M784" s="432"/>
      <c r="P784" s="1"/>
      <c r="Q784" s="1"/>
      <c r="T784" s="119"/>
      <c r="U784" s="119"/>
      <c r="V784" s="119"/>
      <c r="W784" s="119"/>
      <c r="AN784" s="291"/>
      <c r="AO784" s="291"/>
      <c r="AP784" s="291"/>
      <c r="AQ784" s="291"/>
      <c r="AR784" s="291"/>
      <c r="AS784" s="291"/>
      <c r="AT784" s="291"/>
    </row>
    <row r="785" spans="1:46" s="8" customFormat="1" ht="26.25" customHeight="1">
      <c r="B785" s="449"/>
      <c r="C785" s="127" t="str">
        <f>IF($C$1="ENG","filling:","заповнення:")</f>
        <v>заповнення:</v>
      </c>
      <c r="D785" s="441" t="str">
        <f>IF($C$1="ENG","softwood","клеєний сосновий брус")</f>
        <v>клеєний сосновий брус</v>
      </c>
      <c r="E785" s="442"/>
      <c r="F785" s="441" t="str">
        <f>IF($C$1="ENG","softwood","клеєний сосновий брус")</f>
        <v>клеєний сосновий брус</v>
      </c>
      <c r="G785" s="442"/>
      <c r="H785" s="441" t="str">
        <f>IF($C$1="ENG","softwood","клеєний сосновий брус")</f>
        <v>клеєний сосновий брус</v>
      </c>
      <c r="I785" s="442"/>
      <c r="J785" s="441" t="str">
        <f>IF($C$1="ENG","softwood","клеєний сосновий брус")</f>
        <v>клеєний сосновий брус</v>
      </c>
      <c r="K785" s="442"/>
      <c r="L785" s="441" t="str">
        <f>IF($C$1="ENG","softwood","клеєний сосновий брус")</f>
        <v>клеєний сосновий брус</v>
      </c>
      <c r="M785" s="442"/>
      <c r="P785" s="1"/>
      <c r="Q785" s="1"/>
      <c r="T785" s="119"/>
      <c r="U785" s="119"/>
      <c r="V785" s="119"/>
      <c r="W785" s="119"/>
      <c r="AD785" s="405">
        <f>AD787/AC787-1</f>
        <v>0.10321489001692052</v>
      </c>
      <c r="AE785" s="405">
        <f>AE787/AD787-1</f>
        <v>2.914110429447847E-2</v>
      </c>
      <c r="AF785" s="405">
        <f>AF787/AE787-1</f>
        <v>7.6005961251862875E-2</v>
      </c>
      <c r="AG785" s="405">
        <f>AG787/AF787-1</f>
        <v>4.8476454293628901E-2</v>
      </c>
      <c r="AN785" s="291"/>
      <c r="AO785" s="291"/>
      <c r="AP785" s="291"/>
      <c r="AQ785" s="291"/>
      <c r="AR785" s="291"/>
      <c r="AS785" s="291"/>
      <c r="AT785" s="291"/>
    </row>
    <row r="786" spans="1:46" ht="12.75" customHeight="1">
      <c r="A786" s="8"/>
      <c r="B786" s="450"/>
      <c r="C786" s="128" t="str">
        <f>IF($C$1="ENG","glazing:","скління:")</f>
        <v>скління:</v>
      </c>
      <c r="D786" s="424" t="str">
        <f>IF($C$1="ENG","Satin","Сатин")</f>
        <v>Сатин</v>
      </c>
      <c r="E786" s="434"/>
      <c r="F786" s="424" t="str">
        <f>IF($C$1="ENG","Satin","Сатин")</f>
        <v>Сатин</v>
      </c>
      <c r="G786" s="434"/>
      <c r="H786" s="424" t="str">
        <f>IF($C$1="ENG","Satin","Сатин")</f>
        <v>Сатин</v>
      </c>
      <c r="I786" s="434"/>
      <c r="J786" s="424" t="str">
        <f>IF($C$1="ENG","Satin","Сатин")</f>
        <v>Сатин</v>
      </c>
      <c r="K786" s="434"/>
      <c r="L786" s="424" t="str">
        <f>IF($C$1="ENG","Satin","Сатин")</f>
        <v>Сатин</v>
      </c>
      <c r="M786" s="434"/>
    </row>
    <row r="787" spans="1:46" ht="35.1" customHeight="1">
      <c r="A787" s="8"/>
      <c r="B787" s="16" t="s">
        <v>28</v>
      </c>
      <c r="C787" s="17"/>
      <c r="D787" s="18">
        <f>IF(AC787="","",(1-$W$2)*(AC787/1.2))</f>
        <v>4925</v>
      </c>
      <c r="E787" s="69">
        <f>IF($W$5=0.2,D787*1.2,D787)/$W$4</f>
        <v>5910</v>
      </c>
      <c r="F787" s="18">
        <f>IF(AD787="","",(1-$W$2)*(AD787/1.2))</f>
        <v>5433.3333333333339</v>
      </c>
      <c r="G787" s="69">
        <f>IF($W$5=0.2,F787*1.2,F787)/$W$4</f>
        <v>6520.0000000000009</v>
      </c>
      <c r="H787" s="18">
        <f>IF(AE787="","",(1-$W$2)*(AE787/1.2))</f>
        <v>5591.666666666667</v>
      </c>
      <c r="I787" s="69">
        <f>IF($W$5=0.2,H787*1.2,H787)/$W$4</f>
        <v>6710</v>
      </c>
      <c r="J787" s="18">
        <f>IF(AF787="","",(1-$W$2)*(AF787/1.2))</f>
        <v>6016.666666666667</v>
      </c>
      <c r="K787" s="69">
        <f>IF($W$5=0.2,J787*1.2,J787)/$W$4</f>
        <v>7220</v>
      </c>
      <c r="L787" s="18">
        <f>IF(AG787="","",(1-$W$2)*(AG787/1.2))</f>
        <v>6308.3333333333339</v>
      </c>
      <c r="M787" s="69">
        <f>IF($W$5=0.2,L787*1.2,L787)/$W$4</f>
        <v>7570</v>
      </c>
      <c r="N787" s="108"/>
      <c r="R787" s="108"/>
      <c r="T787" s="108"/>
      <c r="U787" s="20"/>
      <c r="V787" s="108"/>
      <c r="W787" s="20"/>
      <c r="X787" s="108"/>
      <c r="Y787" s="108"/>
      <c r="Z787" s="108"/>
      <c r="AA787" s="108"/>
      <c r="AB787" s="108"/>
      <c r="AC787" s="346">
        <v>5910</v>
      </c>
      <c r="AD787" s="413">
        <v>6520</v>
      </c>
      <c r="AE787" s="346">
        <v>6710</v>
      </c>
      <c r="AF787" s="346">
        <v>7220</v>
      </c>
      <c r="AG787" s="346">
        <v>7570</v>
      </c>
      <c r="AH787" s="301">
        <v>5910</v>
      </c>
      <c r="AI787" s="494">
        <f>AH787/AC787-1</f>
        <v>0</v>
      </c>
      <c r="AJ787" s="301">
        <v>6520</v>
      </c>
      <c r="AK787" s="301">
        <f>AJ787/AD787-1</f>
        <v>0</v>
      </c>
      <c r="AL787" s="301">
        <v>6710</v>
      </c>
      <c r="AM787" s="301">
        <f>AL787/AE787-1</f>
        <v>0</v>
      </c>
      <c r="AN787" s="301">
        <v>7220</v>
      </c>
      <c r="AO787" s="301">
        <f>AN787/AF787-1</f>
        <v>0</v>
      </c>
      <c r="AP787" s="301">
        <v>7570</v>
      </c>
      <c r="AQ787" s="301">
        <f>AP787/AG787-1</f>
        <v>0</v>
      </c>
    </row>
    <row r="788" spans="1:46" ht="35.1" customHeight="1">
      <c r="A788" s="8"/>
      <c r="B788" s="23" t="s">
        <v>47</v>
      </c>
      <c r="C788" s="24"/>
      <c r="D788" s="25">
        <f>IF(AC788="","",(1-$W$2)*(AC788/1.2))</f>
        <v>4925</v>
      </c>
      <c r="E788" s="72">
        <f>IF($W$5=0.2,D788*1.2,D788)/$W$4</f>
        <v>5910</v>
      </c>
      <c r="F788" s="25">
        <f>IF(AD788="","",(1-$W$2)*(AD788/1.2))</f>
        <v>5433.3333333333339</v>
      </c>
      <c r="G788" s="72">
        <f>IF($W$5=0.2,F788*1.2,F788)/$W$4</f>
        <v>6520.0000000000009</v>
      </c>
      <c r="H788" s="25">
        <f>IF(AE788="","",(1-$W$2)*(AE788/1.2))</f>
        <v>5591.666666666667</v>
      </c>
      <c r="I788" s="72">
        <f>IF($W$5=0.2,H788*1.2,H788)/$W$4</f>
        <v>6710</v>
      </c>
      <c r="J788" s="25">
        <f>IF(AF788="","",(1-$W$2)*(AF788/1.2))</f>
        <v>6016.666666666667</v>
      </c>
      <c r="K788" s="72">
        <f>IF($W$5=0.2,J788*1.2,J788)/$W$4</f>
        <v>7220</v>
      </c>
      <c r="L788" s="25">
        <f>IF(AG788="","",(1-$W$2)*(AG788/1.2))</f>
        <v>6308.3333333333339</v>
      </c>
      <c r="M788" s="72">
        <f>IF($W$5=0.2,L788*1.2,L788)/$W$4</f>
        <v>7570</v>
      </c>
      <c r="N788" s="108"/>
      <c r="R788" s="108"/>
      <c r="T788" s="108"/>
      <c r="U788" s="20"/>
      <c r="V788" s="108"/>
      <c r="W788" s="20"/>
      <c r="X788" s="108"/>
      <c r="Y788" s="108"/>
      <c r="Z788" s="108"/>
      <c r="AA788" s="108"/>
      <c r="AB788" s="108"/>
      <c r="AC788" s="346">
        <v>5910</v>
      </c>
      <c r="AD788" s="413">
        <v>6520</v>
      </c>
      <c r="AE788" s="346">
        <v>6710</v>
      </c>
      <c r="AF788" s="346">
        <v>7220</v>
      </c>
      <c r="AG788" s="346">
        <v>7570</v>
      </c>
      <c r="AH788" s="301">
        <v>5910</v>
      </c>
      <c r="AI788" s="494">
        <f>AH788/AC788-1</f>
        <v>0</v>
      </c>
      <c r="AJ788" s="301">
        <v>6520</v>
      </c>
      <c r="AK788" s="301">
        <f>AJ788/AD788-1</f>
        <v>0</v>
      </c>
      <c r="AL788" s="301">
        <v>6710</v>
      </c>
      <c r="AM788" s="301">
        <f>AL788/AE788-1</f>
        <v>0</v>
      </c>
      <c r="AN788" s="301">
        <v>7220</v>
      </c>
      <c r="AO788" s="301">
        <f>AN788/AF788-1</f>
        <v>0</v>
      </c>
      <c r="AP788" s="301">
        <v>7570</v>
      </c>
      <c r="AQ788" s="301">
        <f>AP788/AG788-1</f>
        <v>0</v>
      </c>
    </row>
    <row r="789" spans="1:46">
      <c r="C789" s="26"/>
      <c r="D789" s="26"/>
      <c r="E789" s="60"/>
      <c r="F789" s="26"/>
      <c r="G789" s="60"/>
      <c r="H789" s="10"/>
      <c r="I789" s="8"/>
      <c r="J789" s="8"/>
      <c r="K789" s="8"/>
    </row>
    <row r="790" spans="1:46">
      <c r="B790" s="220" t="str">
        <f>IF($C$1="ENG","For additonal charge:","Послуги за додаткову плату:")</f>
        <v>Послуги за додаткову плату:</v>
      </c>
      <c r="C790" s="221"/>
      <c r="D790" s="221"/>
      <c r="E790" s="222"/>
      <c r="F790" s="26"/>
      <c r="G790" s="60"/>
      <c r="H790" s="10"/>
      <c r="I790" s="8"/>
      <c r="J790" s="8"/>
      <c r="K790" s="8"/>
    </row>
    <row r="791" spans="1:46" ht="5.0999999999999996" customHeight="1">
      <c r="B791" s="27"/>
      <c r="C791" s="26"/>
      <c r="D791" s="26"/>
      <c r="E791" s="60"/>
      <c r="F791" s="26"/>
      <c r="G791" s="60"/>
      <c r="H791" s="10"/>
      <c r="I791" s="8"/>
      <c r="J791" s="8"/>
      <c r="K791" s="8"/>
    </row>
    <row r="792" spans="1:46">
      <c r="B792" s="446" t="str">
        <f>IF($C$1="ENG","door leaf with width 100","полотно розміром 100")</f>
        <v>полотно розміром 100</v>
      </c>
      <c r="C792" s="447"/>
      <c r="D792" s="136">
        <f t="shared" ref="D792:D801" si="57">IF(AC792="","",(1-$W$2)*(AC792/1.2))</f>
        <v>600</v>
      </c>
      <c r="E792" s="96">
        <f t="shared" ref="E792:E800" si="58">IF($W$5=0.2,D792*1.2,D792)/$W$4</f>
        <v>720</v>
      </c>
      <c r="F792" s="26"/>
      <c r="G792" s="26"/>
      <c r="H792" s="10"/>
      <c r="I792" s="8"/>
      <c r="J792" s="8"/>
      <c r="K792" s="8"/>
      <c r="AC792" s="310">
        <v>720</v>
      </c>
      <c r="AD792" s="310">
        <v>720</v>
      </c>
      <c r="AE792" s="301"/>
      <c r="AF792" s="301"/>
      <c r="AG792" s="301"/>
      <c r="AH792" s="301"/>
      <c r="AI792" s="301"/>
      <c r="AJ792" s="301"/>
      <c r="AK792" s="301"/>
      <c r="AL792" s="301"/>
    </row>
    <row r="793" spans="1:46">
      <c r="B793" s="446" t="str">
        <f>IF($C$1="ENG","Ventilation cut","вентиляційний підріз")</f>
        <v>вентиляційний підріз</v>
      </c>
      <c r="C793" s="447"/>
      <c r="D793" s="137">
        <f t="shared" si="57"/>
        <v>141.66666666666669</v>
      </c>
      <c r="E793" s="69">
        <f t="shared" si="58"/>
        <v>170.00000000000003</v>
      </c>
      <c r="F793" s="26"/>
      <c r="G793" s="26"/>
      <c r="I793" s="62"/>
      <c r="J793" s="28"/>
      <c r="AC793" s="310">
        <v>170</v>
      </c>
      <c r="AD793" s="310">
        <v>170</v>
      </c>
      <c r="AE793" s="301"/>
      <c r="AF793" s="301"/>
      <c r="AG793" s="301"/>
      <c r="AH793" s="301"/>
      <c r="AI793" s="301"/>
      <c r="AJ793" s="301"/>
      <c r="AK793" s="301"/>
      <c r="AL793" s="301"/>
    </row>
    <row r="794" spans="1:46">
      <c r="B794" s="439" t="str">
        <f>IF($C$1="ENG","glazing Graphite / Bronze","скло Графіт / Бронза")</f>
        <v>скло Графіт / Бронза</v>
      </c>
      <c r="C794" s="440"/>
      <c r="D794" s="106">
        <f t="shared" si="57"/>
        <v>458.33333333333337</v>
      </c>
      <c r="E794" s="97">
        <f t="shared" si="58"/>
        <v>550</v>
      </c>
      <c r="F794" s="26"/>
      <c r="G794" s="26"/>
      <c r="H794" s="5"/>
      <c r="AC794" s="310">
        <v>550</v>
      </c>
      <c r="AD794" s="310">
        <v>550</v>
      </c>
      <c r="AE794" s="301"/>
      <c r="AF794" s="301"/>
      <c r="AG794" s="301"/>
      <c r="AH794" s="301"/>
      <c r="AI794" s="301"/>
      <c r="AJ794" s="301"/>
      <c r="AK794" s="301"/>
      <c r="AL794" s="301"/>
    </row>
    <row r="795" spans="1:46">
      <c r="B795" s="439" t="str">
        <f>IF($C$1="ENG","door lock Soft","замок Soft")</f>
        <v>замок Soft</v>
      </c>
      <c r="C795" s="440"/>
      <c r="D795" s="106">
        <f t="shared" si="57"/>
        <v>458.33333333333337</v>
      </c>
      <c r="E795" s="97">
        <f t="shared" si="58"/>
        <v>550</v>
      </c>
      <c r="F795" s="26"/>
      <c r="G795" s="26"/>
      <c r="H795" s="5"/>
      <c r="AC795" s="310">
        <v>550</v>
      </c>
      <c r="AD795" s="310">
        <v>550</v>
      </c>
      <c r="AE795" s="301"/>
      <c r="AF795" s="301"/>
      <c r="AG795" s="301"/>
      <c r="AH795" s="301"/>
      <c r="AI795" s="301"/>
      <c r="AJ795" s="301"/>
      <c r="AK795" s="301"/>
      <c r="AL795" s="301"/>
    </row>
    <row r="796" spans="1:46">
      <c r="B796" s="439" t="str">
        <f>IF($C$1="ENG","door lock Magnet","замок Magnet")</f>
        <v>замок Magnet</v>
      </c>
      <c r="C796" s="440"/>
      <c r="D796" s="106">
        <f t="shared" si="57"/>
        <v>666.66666666666674</v>
      </c>
      <c r="E796" s="97">
        <f t="shared" si="58"/>
        <v>800.00000000000011</v>
      </c>
      <c r="F796" s="26"/>
      <c r="G796" s="26"/>
      <c r="H796" s="5"/>
      <c r="AC796" s="310">
        <v>800</v>
      </c>
      <c r="AD796" s="310">
        <v>800</v>
      </c>
      <c r="AE796" s="301"/>
      <c r="AF796" s="301"/>
      <c r="AG796" s="301"/>
      <c r="AH796" s="301"/>
      <c r="AI796" s="301"/>
      <c r="AJ796" s="301"/>
      <c r="AK796" s="301"/>
      <c r="AL796" s="301"/>
    </row>
    <row r="797" spans="1:46">
      <c r="B797" s="439" t="str">
        <f>IF($C$1="ENG","door handle-lock (for sliding doors)","ручка-замок (для дверей купе)")</f>
        <v>ручка-замок (для дверей купе)</v>
      </c>
      <c r="C797" s="440"/>
      <c r="D797" s="137">
        <f t="shared" si="57"/>
        <v>466.66666666666669</v>
      </c>
      <c r="E797" s="97">
        <f t="shared" si="58"/>
        <v>560</v>
      </c>
      <c r="F797" s="26"/>
      <c r="G797" s="26"/>
      <c r="I797" s="11"/>
      <c r="J797" s="11"/>
      <c r="K797" s="19"/>
      <c r="AC797" s="310">
        <v>560</v>
      </c>
      <c r="AD797" s="310">
        <v>560</v>
      </c>
      <c r="AE797" s="301"/>
      <c r="AF797" s="301"/>
      <c r="AG797" s="301"/>
      <c r="AH797" s="301"/>
      <c r="AI797" s="301"/>
      <c r="AJ797" s="301"/>
      <c r="AK797" s="301"/>
      <c r="AL797" s="301"/>
    </row>
    <row r="798" spans="1:46">
      <c r="B798" s="439" t="str">
        <f>IF($C$1="ENG","cylinder incert","циліндр несиметричний")</f>
        <v>циліндр несиметричний</v>
      </c>
      <c r="C798" s="440"/>
      <c r="D798" s="137">
        <f t="shared" si="57"/>
        <v>325</v>
      </c>
      <c r="E798" s="97">
        <f t="shared" si="58"/>
        <v>390</v>
      </c>
      <c r="F798" s="26"/>
      <c r="G798" s="26"/>
      <c r="AC798" s="310">
        <v>390</v>
      </c>
      <c r="AD798" s="310">
        <v>390</v>
      </c>
      <c r="AE798" s="301"/>
      <c r="AF798" s="301"/>
      <c r="AG798" s="301"/>
      <c r="AH798" s="301"/>
      <c r="AI798" s="301"/>
      <c r="AJ798" s="301"/>
      <c r="AK798" s="301"/>
      <c r="AL798" s="301"/>
    </row>
    <row r="799" spans="1:46">
      <c r="B799" s="439" t="str">
        <f>IF($C$1="ENG","door hindge Prestige (1 unit)","завіса Prestige (1 шт)")</f>
        <v>завіса Prestige (1 шт)</v>
      </c>
      <c r="C799" s="440"/>
      <c r="D799" s="139">
        <f t="shared" si="57"/>
        <v>216.66666666666669</v>
      </c>
      <c r="E799" s="97">
        <f t="shared" si="58"/>
        <v>260</v>
      </c>
      <c r="F799" s="26"/>
      <c r="G799" s="26"/>
      <c r="AC799" s="310">
        <v>260</v>
      </c>
      <c r="AD799" s="310">
        <v>260</v>
      </c>
      <c r="AE799" s="301"/>
      <c r="AF799" s="301"/>
      <c r="AG799" s="301"/>
      <c r="AH799" s="301"/>
      <c r="AI799" s="301"/>
      <c r="AJ799" s="301"/>
      <c r="AK799" s="301"/>
      <c r="AL799" s="301"/>
    </row>
    <row r="800" spans="1:46">
      <c r="B800" s="439" t="str">
        <f>IF($C$1="ENG","door hinge caps (1 set)","накладка на завіси (1 к-т)")</f>
        <v>накладка на завіси (1 к-т)</v>
      </c>
      <c r="C800" s="440"/>
      <c r="D800" s="139">
        <f t="shared" si="57"/>
        <v>66.666666666666671</v>
      </c>
      <c r="E800" s="97">
        <f t="shared" si="58"/>
        <v>80</v>
      </c>
      <c r="F800" s="26"/>
      <c r="G800" s="26"/>
      <c r="AC800" s="310">
        <v>80</v>
      </c>
      <c r="AD800" s="310">
        <v>80</v>
      </c>
      <c r="AE800" s="301"/>
      <c r="AF800" s="301"/>
      <c r="AG800" s="301"/>
      <c r="AH800" s="301"/>
      <c r="AI800" s="301"/>
      <c r="AJ800" s="301"/>
      <c r="AK800" s="301"/>
      <c r="AL800" s="301"/>
    </row>
    <row r="801" spans="2:38">
      <c r="B801" s="439" t="str">
        <f>IF($C$1="ENG","door handle","дверна ручка")</f>
        <v>дверна ручка</v>
      </c>
      <c r="C801" s="440"/>
      <c r="D801" s="138" t="str">
        <f t="shared" si="57"/>
        <v/>
      </c>
      <c r="E801" s="256" t="str">
        <f>IF($C$1="ENG","see Handles Price","див. Таблицю Ручки")</f>
        <v>див. Таблицю Ручки</v>
      </c>
      <c r="F801" s="26"/>
      <c r="G801" s="26"/>
      <c r="AC801" s="301"/>
      <c r="AD801" s="301"/>
      <c r="AE801" s="301"/>
      <c r="AF801" s="301"/>
      <c r="AG801" s="301"/>
      <c r="AH801" s="301"/>
      <c r="AI801" s="301"/>
      <c r="AJ801" s="301"/>
      <c r="AK801" s="301"/>
      <c r="AL801" s="301"/>
    </row>
    <row r="802" spans="2:38" ht="14.25" customHeight="1">
      <c r="C802" s="26"/>
      <c r="D802" s="26"/>
      <c r="E802" s="26"/>
      <c r="F802" s="26"/>
      <c r="G802" s="26"/>
      <c r="H802" s="5"/>
      <c r="T802" s="460" t="str">
        <f>IF($C$1="ENG",CONCATENATE("down to: ",B852),CONCATENATE("вниз до: ",B852))</f>
        <v>вниз до: Полотна збірні: ЛАДА-КОНЦЕПТ</v>
      </c>
      <c r="U802" s="460"/>
      <c r="V802" s="460"/>
      <c r="W802" s="460"/>
    </row>
    <row r="803" spans="2:38" ht="14.25" customHeight="1">
      <c r="C803" s="26"/>
      <c r="D803" s="26"/>
      <c r="E803" s="26"/>
      <c r="F803" s="26"/>
      <c r="G803" s="26"/>
      <c r="H803" s="5"/>
    </row>
    <row r="804" spans="2:38" ht="14.25" customHeight="1">
      <c r="C804" s="26"/>
      <c r="D804" s="26"/>
      <c r="E804" s="26"/>
      <c r="F804" s="26"/>
      <c r="G804" s="26"/>
      <c r="H804" s="5"/>
    </row>
    <row r="805" spans="2:38" ht="14.25" customHeight="1">
      <c r="C805" s="26"/>
      <c r="D805" s="26"/>
      <c r="E805" s="26"/>
      <c r="F805" s="26"/>
      <c r="G805" s="26"/>
      <c r="H805" s="5"/>
    </row>
    <row r="806" spans="2:38" ht="14.25" customHeight="1">
      <c r="C806" s="26"/>
      <c r="D806" s="26"/>
      <c r="E806" s="26"/>
      <c r="F806" s="26"/>
      <c r="G806" s="26"/>
      <c r="H806" s="5"/>
    </row>
    <row r="807" spans="2:38" ht="14.25" customHeight="1">
      <c r="C807" s="26"/>
      <c r="D807" s="26"/>
      <c r="E807" s="26"/>
      <c r="F807" s="26"/>
      <c r="G807" s="26"/>
      <c r="H807" s="5"/>
    </row>
    <row r="808" spans="2:38" ht="14.25" customHeight="1">
      <c r="C808" s="26"/>
      <c r="D808" s="26"/>
      <c r="E808" s="26"/>
      <c r="F808" s="26"/>
      <c r="G808" s="26"/>
      <c r="H808" s="5"/>
    </row>
    <row r="809" spans="2:38" ht="14.25" customHeight="1">
      <c r="C809" s="26"/>
      <c r="D809" s="26"/>
      <c r="E809" s="26"/>
      <c r="F809" s="26"/>
      <c r="G809" s="26"/>
      <c r="H809" s="5"/>
    </row>
    <row r="810" spans="2:38" ht="14.25" customHeight="1">
      <c r="C810" s="26"/>
      <c r="D810" s="26"/>
      <c r="E810" s="26"/>
      <c r="F810" s="26"/>
      <c r="G810" s="26"/>
      <c r="H810" s="5"/>
    </row>
    <row r="811" spans="2:38" ht="14.25" customHeight="1">
      <c r="C811" s="26"/>
      <c r="D811" s="26"/>
      <c r="E811" s="26"/>
      <c r="F811" s="26"/>
      <c r="G811" s="26"/>
      <c r="H811" s="5"/>
    </row>
    <row r="812" spans="2:38" ht="14.25" customHeight="1">
      <c r="C812" s="26"/>
      <c r="D812" s="26"/>
      <c r="E812" s="26"/>
      <c r="F812" s="26"/>
      <c r="G812" s="26"/>
      <c r="H812" s="5"/>
    </row>
    <row r="813" spans="2:38" ht="14.25" customHeight="1">
      <c r="C813" s="26"/>
      <c r="D813" s="26"/>
      <c r="E813" s="26"/>
      <c r="F813" s="26"/>
      <c r="G813" s="26"/>
      <c r="H813" s="5"/>
    </row>
    <row r="814" spans="2:38" ht="14.25" customHeight="1">
      <c r="C814" s="26"/>
      <c r="D814" s="26"/>
      <c r="E814" s="26"/>
      <c r="F814" s="26"/>
      <c r="G814" s="26"/>
      <c r="H814" s="5"/>
    </row>
    <row r="815" spans="2:38" ht="14.25" customHeight="1">
      <c r="C815" s="26"/>
      <c r="D815" s="26"/>
      <c r="E815" s="26"/>
      <c r="F815" s="26"/>
      <c r="G815" s="26"/>
      <c r="H815" s="5"/>
    </row>
    <row r="816" spans="2:38" ht="14.25" customHeight="1">
      <c r="C816" s="26"/>
      <c r="D816" s="26"/>
      <c r="E816" s="26"/>
      <c r="F816" s="26"/>
      <c r="G816" s="26"/>
      <c r="H816" s="5"/>
    </row>
    <row r="817" spans="3:8" ht="14.25" customHeight="1">
      <c r="C817" s="26"/>
      <c r="D817" s="26"/>
      <c r="E817" s="26"/>
      <c r="F817" s="26"/>
      <c r="G817" s="26"/>
      <c r="H817" s="5"/>
    </row>
    <row r="818" spans="3:8" ht="14.25" customHeight="1">
      <c r="C818" s="26"/>
      <c r="D818" s="26"/>
      <c r="E818" s="26"/>
      <c r="F818" s="26"/>
      <c r="G818" s="26"/>
      <c r="H818" s="5"/>
    </row>
    <row r="819" spans="3:8" ht="14.25" customHeight="1">
      <c r="C819" s="26"/>
      <c r="D819" s="26"/>
      <c r="E819" s="26"/>
      <c r="F819" s="26"/>
      <c r="G819" s="26"/>
      <c r="H819" s="5"/>
    </row>
    <row r="820" spans="3:8" ht="14.25" customHeight="1">
      <c r="C820" s="26"/>
      <c r="D820" s="26"/>
      <c r="E820" s="26"/>
      <c r="F820" s="26"/>
      <c r="G820" s="26"/>
      <c r="H820" s="5"/>
    </row>
    <row r="821" spans="3:8" ht="14.25" customHeight="1">
      <c r="C821" s="26"/>
      <c r="D821" s="26"/>
      <c r="E821" s="26"/>
      <c r="F821" s="26"/>
      <c r="G821" s="26"/>
      <c r="H821" s="5"/>
    </row>
    <row r="822" spans="3:8" ht="14.25" customHeight="1">
      <c r="C822" s="26"/>
      <c r="D822" s="26"/>
      <c r="E822" s="26"/>
      <c r="F822" s="26"/>
      <c r="G822" s="26"/>
      <c r="H822" s="5"/>
    </row>
    <row r="823" spans="3:8" ht="14.25" customHeight="1">
      <c r="C823" s="26"/>
      <c r="D823" s="26"/>
      <c r="E823" s="26"/>
      <c r="F823" s="26"/>
      <c r="G823" s="26"/>
      <c r="H823" s="5"/>
    </row>
    <row r="824" spans="3:8" ht="14.25" customHeight="1">
      <c r="C824" s="26"/>
      <c r="D824" s="26"/>
      <c r="E824" s="26"/>
      <c r="F824" s="26"/>
      <c r="G824" s="26"/>
      <c r="H824" s="5"/>
    </row>
    <row r="825" spans="3:8" ht="14.25" customHeight="1">
      <c r="C825" s="26"/>
      <c r="D825" s="26"/>
      <c r="E825" s="26"/>
      <c r="F825" s="26"/>
      <c r="G825" s="26"/>
      <c r="H825" s="5"/>
    </row>
    <row r="826" spans="3:8" ht="14.25" customHeight="1">
      <c r="C826" s="26"/>
      <c r="D826" s="26"/>
      <c r="E826" s="26"/>
      <c r="F826" s="26"/>
      <c r="G826" s="26"/>
      <c r="H826" s="5"/>
    </row>
    <row r="827" spans="3:8" ht="14.25" customHeight="1">
      <c r="C827" s="26"/>
      <c r="D827" s="26"/>
      <c r="E827" s="26"/>
      <c r="F827" s="26"/>
      <c r="G827" s="26"/>
      <c r="H827" s="5"/>
    </row>
    <row r="828" spans="3:8" ht="14.25" customHeight="1">
      <c r="C828" s="26"/>
      <c r="D828" s="26"/>
      <c r="E828" s="26"/>
      <c r="F828" s="26"/>
      <c r="G828" s="26"/>
      <c r="H828" s="5"/>
    </row>
    <row r="829" spans="3:8" ht="14.25" customHeight="1">
      <c r="C829" s="26"/>
      <c r="D829" s="26"/>
      <c r="E829" s="26"/>
      <c r="F829" s="26"/>
      <c r="G829" s="26"/>
      <c r="H829" s="5"/>
    </row>
    <row r="830" spans="3:8" ht="14.25" customHeight="1">
      <c r="C830" s="26"/>
      <c r="D830" s="26"/>
      <c r="E830" s="26"/>
      <c r="F830" s="26"/>
      <c r="G830" s="26"/>
      <c r="H830" s="5"/>
    </row>
    <row r="831" spans="3:8" ht="14.25" customHeight="1">
      <c r="C831" s="26"/>
      <c r="D831" s="26"/>
      <c r="E831" s="26"/>
      <c r="F831" s="26"/>
      <c r="G831" s="26"/>
      <c r="H831" s="5"/>
    </row>
    <row r="832" spans="3:8" ht="14.25" customHeight="1">
      <c r="C832" s="26"/>
      <c r="D832" s="26"/>
      <c r="E832" s="26"/>
      <c r="F832" s="26"/>
      <c r="G832" s="26"/>
      <c r="H832" s="5"/>
    </row>
    <row r="833" spans="3:8" ht="14.25" customHeight="1">
      <c r="C833" s="26"/>
      <c r="D833" s="26"/>
      <c r="E833" s="26"/>
      <c r="F833" s="26"/>
      <c r="G833" s="26"/>
      <c r="H833" s="5"/>
    </row>
    <row r="834" spans="3:8" ht="14.25" customHeight="1">
      <c r="C834" s="26"/>
      <c r="D834" s="26"/>
      <c r="E834" s="26"/>
      <c r="F834" s="26"/>
      <c r="G834" s="26"/>
      <c r="H834" s="5"/>
    </row>
    <row r="835" spans="3:8" ht="14.25" customHeight="1">
      <c r="C835" s="26"/>
      <c r="D835" s="26"/>
      <c r="E835" s="26"/>
      <c r="F835" s="26"/>
      <c r="G835" s="26"/>
      <c r="H835" s="5"/>
    </row>
    <row r="836" spans="3:8" ht="14.25" customHeight="1">
      <c r="C836" s="26"/>
      <c r="D836" s="26"/>
      <c r="E836" s="26"/>
      <c r="F836" s="26"/>
      <c r="G836" s="26"/>
      <c r="H836" s="5"/>
    </row>
    <row r="837" spans="3:8" ht="14.25" customHeight="1">
      <c r="C837" s="26"/>
      <c r="D837" s="26"/>
      <c r="E837" s="26"/>
      <c r="F837" s="26"/>
      <c r="G837" s="26"/>
      <c r="H837" s="5"/>
    </row>
    <row r="838" spans="3:8" ht="14.25" customHeight="1">
      <c r="C838" s="26"/>
      <c r="D838" s="26"/>
      <c r="E838" s="26"/>
      <c r="F838" s="26"/>
      <c r="G838" s="26"/>
      <c r="H838" s="5"/>
    </row>
    <row r="839" spans="3:8" ht="14.25" customHeight="1">
      <c r="C839" s="26"/>
      <c r="D839" s="26"/>
      <c r="E839" s="26"/>
      <c r="F839" s="26"/>
      <c r="G839" s="26"/>
      <c r="H839" s="5"/>
    </row>
    <row r="840" spans="3:8" ht="14.25" customHeight="1">
      <c r="C840" s="26"/>
      <c r="D840" s="26"/>
      <c r="E840" s="26"/>
      <c r="F840" s="26"/>
      <c r="G840" s="26"/>
      <c r="H840" s="5"/>
    </row>
    <row r="841" spans="3:8" ht="14.25" customHeight="1">
      <c r="C841" s="26"/>
      <c r="D841" s="26"/>
      <c r="E841" s="26"/>
      <c r="F841" s="26"/>
      <c r="G841" s="26"/>
      <c r="H841" s="5"/>
    </row>
    <row r="842" spans="3:8" ht="14.25" customHeight="1">
      <c r="C842" s="26"/>
      <c r="D842" s="26"/>
      <c r="E842" s="26"/>
      <c r="F842" s="26"/>
      <c r="G842" s="26"/>
      <c r="H842" s="5"/>
    </row>
    <row r="843" spans="3:8" ht="14.25" customHeight="1">
      <c r="C843" s="26"/>
      <c r="D843" s="26"/>
      <c r="E843" s="26"/>
      <c r="F843" s="26"/>
      <c r="G843" s="26"/>
      <c r="H843" s="5"/>
    </row>
    <row r="844" spans="3:8" ht="14.25" customHeight="1">
      <c r="C844" s="26"/>
      <c r="D844" s="26"/>
      <c r="E844" s="26"/>
      <c r="F844" s="26"/>
      <c r="G844" s="26"/>
      <c r="H844" s="5"/>
    </row>
    <row r="845" spans="3:8" ht="14.25" customHeight="1">
      <c r="C845" s="26"/>
      <c r="D845" s="26"/>
      <c r="E845" s="26"/>
      <c r="F845" s="26"/>
      <c r="G845" s="26"/>
      <c r="H845" s="5"/>
    </row>
    <row r="846" spans="3:8" ht="14.25" customHeight="1">
      <c r="C846" s="26"/>
      <c r="D846" s="26"/>
      <c r="E846" s="26"/>
      <c r="F846" s="26"/>
      <c r="G846" s="26"/>
      <c r="H846" s="5"/>
    </row>
    <row r="847" spans="3:8" ht="14.25" customHeight="1">
      <c r="C847" s="26"/>
      <c r="D847" s="26"/>
      <c r="E847" s="26"/>
      <c r="F847" s="26"/>
      <c r="G847" s="26"/>
      <c r="H847" s="5"/>
    </row>
    <row r="848" spans="3:8" ht="14.25" customHeight="1">
      <c r="C848" s="26"/>
      <c r="D848" s="26"/>
      <c r="E848" s="26"/>
      <c r="F848" s="26"/>
      <c r="G848" s="26"/>
      <c r="H848" s="5"/>
    </row>
    <row r="849" spans="1:46" ht="14.25" customHeight="1">
      <c r="C849" s="26"/>
      <c r="D849" s="26"/>
      <c r="E849" s="26"/>
      <c r="F849" s="26"/>
      <c r="G849" s="26"/>
      <c r="H849" s="5"/>
    </row>
    <row r="850" spans="1:46" ht="14.25" customHeight="1">
      <c r="C850" s="26"/>
      <c r="D850" s="26"/>
      <c r="E850" s="26"/>
      <c r="F850" s="26"/>
      <c r="G850" s="26"/>
      <c r="H850" s="5"/>
    </row>
    <row r="851" spans="1:46" ht="14.25" customHeight="1">
      <c r="C851" s="26"/>
      <c r="D851" s="26"/>
      <c r="E851" s="26"/>
      <c r="F851" s="26"/>
      <c r="G851" s="26"/>
      <c r="H851" s="5"/>
    </row>
    <row r="852" spans="1:46" s="8" customFormat="1" ht="12.75" customHeight="1">
      <c r="B852" s="421" t="str">
        <f>TITLE!$C$19</f>
        <v>Полотна збірні: ЛАДА-КОНЦЕПТ</v>
      </c>
      <c r="C852" s="421"/>
      <c r="D852" s="122"/>
      <c r="E852" s="122"/>
      <c r="F852" s="122"/>
      <c r="G852" s="122"/>
      <c r="H852" s="445"/>
      <c r="I852" s="44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419" t="str">
        <f>IF($C$1="ENG",CONCATENATE("up to: ",B782),CONCATENATE("вгору до: ",B782))</f>
        <v>вгору до: Полотна збірні: ЛІСА</v>
      </c>
      <c r="U852" s="419"/>
      <c r="V852" s="419"/>
      <c r="W852" s="419"/>
      <c r="AN852" s="291"/>
      <c r="AO852" s="291"/>
      <c r="AP852" s="291"/>
      <c r="AQ852" s="291"/>
      <c r="AR852" s="291"/>
      <c r="AS852" s="291"/>
      <c r="AT852" s="291"/>
    </row>
    <row r="853" spans="1:46" s="8" customFormat="1" ht="5.0999999999999996" customHeight="1">
      <c r="B853" s="121"/>
      <c r="C853" s="121"/>
      <c r="D853" s="9"/>
      <c r="E853" s="9"/>
      <c r="F853" s="9"/>
      <c r="G853" s="9"/>
      <c r="H853" s="124"/>
      <c r="I853" s="124"/>
      <c r="T853" s="119"/>
      <c r="U853" s="119"/>
      <c r="V853" s="119"/>
      <c r="W853" s="119"/>
      <c r="AN853" s="291"/>
      <c r="AO853" s="291"/>
      <c r="AP853" s="291"/>
      <c r="AQ853" s="291"/>
      <c r="AR853" s="291"/>
      <c r="AS853" s="291"/>
      <c r="AT853" s="291"/>
    </row>
    <row r="854" spans="1:46" s="8" customFormat="1" ht="12.75" customHeight="1">
      <c r="B854" s="448" t="str">
        <f>IF($C$1="ENG","model","модель")</f>
        <v>модель</v>
      </c>
      <c r="C854" s="126" t="str">
        <f>IF($C$1="ENG","cover:","покриття:")</f>
        <v>покриття:</v>
      </c>
      <c r="D854" s="430" t="str">
        <f>IF($C$1="ENG","Verto-CELL","Verto-CELL")</f>
        <v>Verto-CELL</v>
      </c>
      <c r="E854" s="432"/>
      <c r="F854" s="430" t="str">
        <f>IF($C$1="ENG","UNI-MAT","UNI-MAT")</f>
        <v>UNI-MAT</v>
      </c>
      <c r="G854" s="432"/>
      <c r="H854" s="430" t="str">
        <f>IF($C$1="ENG","RESIST","RESIST")</f>
        <v>RESIST</v>
      </c>
      <c r="I854" s="432"/>
      <c r="J854" s="430" t="str">
        <f>IF($C$1="ENG","Verto LINE-3D","Verto LINE-3D")</f>
        <v>Verto LINE-3D</v>
      </c>
      <c r="K854" s="432"/>
      <c r="L854" s="430" t="str">
        <f>IF($C$1="ENG","ECO Shpon","ЕКО Шпон")</f>
        <v>ЕКО Шпон</v>
      </c>
      <c r="M854" s="432"/>
      <c r="P854" s="87"/>
      <c r="Q854" s="87"/>
      <c r="T854" s="119"/>
      <c r="U854" s="119"/>
      <c r="V854" s="119"/>
      <c r="W854" s="119"/>
      <c r="AN854" s="291"/>
      <c r="AO854" s="291"/>
      <c r="AP854" s="291"/>
      <c r="AQ854" s="291"/>
      <c r="AR854" s="291"/>
      <c r="AS854" s="291"/>
      <c r="AT854" s="291"/>
    </row>
    <row r="855" spans="1:46" s="8" customFormat="1" ht="27.75" customHeight="1">
      <c r="B855" s="449"/>
      <c r="C855" s="127" t="str">
        <f>IF($C$1="ENG","filling:","заповнення:")</f>
        <v>заповнення:</v>
      </c>
      <c r="D855" s="441" t="str">
        <f>IF($C$1="ENG","softwood","клеєний сосновий брус")</f>
        <v>клеєний сосновий брус</v>
      </c>
      <c r="E855" s="442"/>
      <c r="F855" s="441" t="str">
        <f>IF($C$1="ENG","softwood","клеєний сосновий брус")</f>
        <v>клеєний сосновий брус</v>
      </c>
      <c r="G855" s="442"/>
      <c r="H855" s="441" t="str">
        <f>IF($C$1="ENG","softwood","клеєний сосновий брус")</f>
        <v>клеєний сосновий брус</v>
      </c>
      <c r="I855" s="442"/>
      <c r="J855" s="441" t="str">
        <f>IF($C$1="ENG","softwood","клеєний сосновий брус")</f>
        <v>клеєний сосновий брус</v>
      </c>
      <c r="K855" s="442"/>
      <c r="L855" s="441" t="str">
        <f>IF($C$1="ENG","softwood","клеєний сосновий брус")</f>
        <v>клеєний сосновий брус</v>
      </c>
      <c r="M855" s="442"/>
      <c r="P855" s="87"/>
      <c r="Q855" s="87"/>
      <c r="T855" s="119"/>
      <c r="U855" s="119"/>
      <c r="V855" s="119"/>
      <c r="W855" s="119"/>
      <c r="AD855" s="405">
        <f>AD857/AC857-1</f>
        <v>0.10894308943089426</v>
      </c>
      <c r="AE855" s="405">
        <f>AE857/AD857-1</f>
        <v>3.0791788856304958E-2</v>
      </c>
      <c r="AF855" s="405">
        <f>AF857/AE857-1</f>
        <v>9.1038406827880447E-2</v>
      </c>
      <c r="AG855" s="405">
        <f>AG857/AF857-1</f>
        <v>4.8239895697522739E-2</v>
      </c>
      <c r="AN855" s="291"/>
      <c r="AO855" s="291"/>
      <c r="AP855" s="291"/>
      <c r="AQ855" s="291"/>
      <c r="AR855" s="291"/>
      <c r="AS855" s="291"/>
      <c r="AT855" s="291"/>
    </row>
    <row r="856" spans="1:46" ht="12.75" customHeight="1">
      <c r="A856" s="8"/>
      <c r="B856" s="450"/>
      <c r="C856" s="128" t="str">
        <f>IF($C$1="ENG","glazing:","скління:")</f>
        <v>скління:</v>
      </c>
      <c r="D856" s="424" t="str">
        <f>IF($C$1="ENG","Satin","Сатин")</f>
        <v>Сатин</v>
      </c>
      <c r="E856" s="434"/>
      <c r="F856" s="424" t="str">
        <f>IF($C$1="ENG","Satin","Сатин")</f>
        <v>Сатин</v>
      </c>
      <c r="G856" s="434"/>
      <c r="H856" s="424" t="str">
        <f>IF($C$1="ENG","Satin","Сатин")</f>
        <v>Сатин</v>
      </c>
      <c r="I856" s="434"/>
      <c r="J856" s="424" t="str">
        <f>IF($C$1="ENG","Satin","Сатин")</f>
        <v>Сатин</v>
      </c>
      <c r="K856" s="434"/>
      <c r="L856" s="424" t="str">
        <f>IF($C$1="ENG","Satin","Сатин")</f>
        <v>Сатин</v>
      </c>
      <c r="M856" s="434"/>
      <c r="N856" s="11"/>
      <c r="O856" s="11"/>
      <c r="P856" s="87"/>
      <c r="Q856" s="87"/>
      <c r="R856" s="11"/>
      <c r="S856" s="11"/>
      <c r="T856" s="11"/>
    </row>
    <row r="857" spans="1:46" ht="35.1" customHeight="1">
      <c r="A857" s="8"/>
      <c r="B857" s="16" t="s">
        <v>28</v>
      </c>
      <c r="C857" s="17"/>
      <c r="D857" s="18">
        <f t="shared" ref="D857:D862" si="59">IF(AC857="","",(1-$W$2)*(AC857/1.2))</f>
        <v>5125</v>
      </c>
      <c r="E857" s="69">
        <f t="shared" ref="E857:E862" si="60">IF($W$5=0.2,D857*1.2,D857)/$W$4</f>
        <v>6150</v>
      </c>
      <c r="F857" s="18">
        <f t="shared" ref="F857:F862" si="61">IF(AD857="","",(1-$W$2)*(AD857/1.2))</f>
        <v>5683.3333333333339</v>
      </c>
      <c r="G857" s="69">
        <f t="shared" ref="G857:G862" si="62">IF($W$5=0.2,F857*1.2,F857)/$W$4</f>
        <v>6820.0000000000009</v>
      </c>
      <c r="H857" s="18">
        <f t="shared" ref="H857:H862" si="63">IF(AE857="","",(1-$W$2)*(AE857/1.2))</f>
        <v>5858.3333333333339</v>
      </c>
      <c r="I857" s="69">
        <f t="shared" ref="I857:I862" si="64">IF($W$5=0.2,H857*1.2,H857)/$W$4</f>
        <v>7030.0000000000009</v>
      </c>
      <c r="J857" s="18">
        <f t="shared" ref="J857:J862" si="65">IF(AF857="","",(1-$W$2)*(AF857/1.2))</f>
        <v>6391.666666666667</v>
      </c>
      <c r="K857" s="69">
        <f t="shared" ref="K857:K862" si="66">IF($W$5=0.2,J857*1.2,J857)/$W$4</f>
        <v>7670</v>
      </c>
      <c r="L857" s="18">
        <f t="shared" ref="L857:L862" si="67">IF(AG857="","",(1-$W$2)*(AG857/1.2))</f>
        <v>6700</v>
      </c>
      <c r="M857" s="69">
        <f t="shared" ref="M857:M862" si="68">IF($W$5=0.2,L857*1.2,L857)/$W$4</f>
        <v>8040</v>
      </c>
      <c r="N857" s="302"/>
      <c r="O857" s="8"/>
      <c r="P857" s="87"/>
      <c r="Q857" s="87"/>
      <c r="R857" s="302"/>
      <c r="S857" s="8"/>
      <c r="T857" s="302"/>
      <c r="U857" s="87"/>
      <c r="V857" s="302"/>
      <c r="W857" s="87"/>
      <c r="X857" s="22"/>
      <c r="Y857" s="22"/>
      <c r="Z857" s="22"/>
      <c r="AA857" s="22"/>
      <c r="AB857" s="22"/>
      <c r="AC857" s="346">
        <v>6150</v>
      </c>
      <c r="AD857" s="413">
        <v>6820</v>
      </c>
      <c r="AE857" s="346">
        <v>7030</v>
      </c>
      <c r="AF857" s="346">
        <v>7670</v>
      </c>
      <c r="AG857" s="346">
        <v>8040</v>
      </c>
      <c r="AH857" s="301">
        <v>6150</v>
      </c>
      <c r="AI857" s="301">
        <f>AH857/AC857-1</f>
        <v>0</v>
      </c>
      <c r="AJ857" s="301">
        <v>6820</v>
      </c>
      <c r="AK857" s="301">
        <f>AJ857/AD857-1</f>
        <v>0</v>
      </c>
      <c r="AL857" s="301">
        <v>7030</v>
      </c>
      <c r="AM857" s="301">
        <f>AL857/AE857-1</f>
        <v>0</v>
      </c>
      <c r="AN857" s="301">
        <v>7670</v>
      </c>
      <c r="AO857" s="301">
        <f>AN857/AF857-1</f>
        <v>0</v>
      </c>
      <c r="AP857" s="301">
        <v>8040</v>
      </c>
      <c r="AQ857" s="301">
        <f>AP857/AG857-1</f>
        <v>0</v>
      </c>
    </row>
    <row r="858" spans="1:46" ht="35.1" customHeight="1">
      <c r="A858" s="8"/>
      <c r="B858" s="16" t="s">
        <v>22</v>
      </c>
      <c r="C858" s="17"/>
      <c r="D858" s="18">
        <f t="shared" si="59"/>
        <v>5308.3333333333339</v>
      </c>
      <c r="E858" s="69">
        <f t="shared" si="60"/>
        <v>6370.0000000000009</v>
      </c>
      <c r="F858" s="18">
        <f t="shared" si="61"/>
        <v>5900</v>
      </c>
      <c r="G858" s="69">
        <f t="shared" si="62"/>
        <v>7080</v>
      </c>
      <c r="H858" s="18">
        <f t="shared" si="63"/>
        <v>6083.3333333333339</v>
      </c>
      <c r="I858" s="69">
        <f t="shared" si="64"/>
        <v>7300.0000000000009</v>
      </c>
      <c r="J858" s="18">
        <f t="shared" si="65"/>
        <v>6516.666666666667</v>
      </c>
      <c r="K858" s="69">
        <f t="shared" si="66"/>
        <v>7820</v>
      </c>
      <c r="L858" s="18">
        <f t="shared" si="67"/>
        <v>6808.3333333333339</v>
      </c>
      <c r="M858" s="69">
        <f t="shared" si="68"/>
        <v>8170</v>
      </c>
      <c r="N858" s="302"/>
      <c r="O858" s="8"/>
      <c r="P858" s="87"/>
      <c r="Q858" s="87"/>
      <c r="R858" s="302"/>
      <c r="S858" s="8"/>
      <c r="T858" s="302"/>
      <c r="U858" s="87"/>
      <c r="V858" s="302"/>
      <c r="W858" s="87"/>
      <c r="X858" s="22"/>
      <c r="Y858" s="22"/>
      <c r="Z858" s="22"/>
      <c r="AA858" s="22"/>
      <c r="AB858" s="22"/>
      <c r="AC858" s="346">
        <v>6370</v>
      </c>
      <c r="AD858" s="413">
        <v>7080</v>
      </c>
      <c r="AE858" s="346">
        <v>7300</v>
      </c>
      <c r="AF858" s="346">
        <v>7820</v>
      </c>
      <c r="AG858" s="346">
        <v>8170</v>
      </c>
      <c r="AH858" s="301">
        <v>6370</v>
      </c>
      <c r="AI858" s="301">
        <f t="shared" ref="AI858:AI862" si="69">AH858/AC858-1</f>
        <v>0</v>
      </c>
      <c r="AJ858" s="301">
        <v>7080</v>
      </c>
      <c r="AK858" s="301">
        <f t="shared" ref="AK858:AK862" si="70">AJ858/AD858-1</f>
        <v>0</v>
      </c>
      <c r="AL858" s="301">
        <v>7300</v>
      </c>
      <c r="AM858" s="301">
        <f t="shared" ref="AM858:AM862" si="71">AL858/AE858-1</f>
        <v>0</v>
      </c>
      <c r="AN858" s="301">
        <v>7820</v>
      </c>
      <c r="AO858" s="301">
        <f t="shared" ref="AO858:AO862" si="72">AN858/AF858-1</f>
        <v>0</v>
      </c>
      <c r="AP858" s="301">
        <v>8170</v>
      </c>
      <c r="AQ858" s="301">
        <f t="shared" ref="AQ858:AQ862" si="73">AP858/AG858-1</f>
        <v>0</v>
      </c>
    </row>
    <row r="859" spans="1:46" ht="35.1" customHeight="1">
      <c r="A859" s="8"/>
      <c r="B859" s="16" t="s">
        <v>23</v>
      </c>
      <c r="C859" s="17"/>
      <c r="D859" s="18">
        <f t="shared" si="59"/>
        <v>5600</v>
      </c>
      <c r="E859" s="69">
        <f t="shared" si="60"/>
        <v>6720</v>
      </c>
      <c r="F859" s="18">
        <f t="shared" si="61"/>
        <v>6216.666666666667</v>
      </c>
      <c r="G859" s="69">
        <f t="shared" si="62"/>
        <v>7460</v>
      </c>
      <c r="H859" s="18">
        <f t="shared" si="63"/>
        <v>6400</v>
      </c>
      <c r="I859" s="69">
        <f t="shared" si="64"/>
        <v>7680</v>
      </c>
      <c r="J859" s="18">
        <f t="shared" si="65"/>
        <v>7125</v>
      </c>
      <c r="K859" s="69">
        <f t="shared" si="66"/>
        <v>8550</v>
      </c>
      <c r="L859" s="18">
        <f t="shared" si="67"/>
        <v>7175</v>
      </c>
      <c r="M859" s="69">
        <f t="shared" si="68"/>
        <v>8610</v>
      </c>
      <c r="N859" s="302"/>
      <c r="O859" s="8"/>
      <c r="P859" s="87"/>
      <c r="Q859" s="87"/>
      <c r="R859" s="302"/>
      <c r="S859" s="8"/>
      <c r="T859" s="302"/>
      <c r="U859" s="87"/>
      <c r="V859" s="302"/>
      <c r="W859" s="87"/>
      <c r="X859" s="22"/>
      <c r="Y859" s="22"/>
      <c r="Z859" s="22"/>
      <c r="AA859" s="22"/>
      <c r="AB859" s="22"/>
      <c r="AC859" s="346">
        <v>6720</v>
      </c>
      <c r="AD859" s="413">
        <v>7460</v>
      </c>
      <c r="AE859" s="346">
        <v>7680</v>
      </c>
      <c r="AF859" s="346">
        <v>8550</v>
      </c>
      <c r="AG859" s="346">
        <v>8610</v>
      </c>
      <c r="AH859" s="301">
        <v>6720</v>
      </c>
      <c r="AI859" s="301">
        <f t="shared" si="69"/>
        <v>0</v>
      </c>
      <c r="AJ859" s="301">
        <v>7460</v>
      </c>
      <c r="AK859" s="301">
        <f t="shared" si="70"/>
        <v>0</v>
      </c>
      <c r="AL859" s="301">
        <v>7680</v>
      </c>
      <c r="AM859" s="301">
        <f t="shared" si="71"/>
        <v>0</v>
      </c>
      <c r="AN859" s="301">
        <v>8550</v>
      </c>
      <c r="AO859" s="301">
        <f t="shared" si="72"/>
        <v>0</v>
      </c>
      <c r="AP859" s="301">
        <v>8610</v>
      </c>
      <c r="AQ859" s="301">
        <f t="shared" si="73"/>
        <v>0</v>
      </c>
    </row>
    <row r="860" spans="1:46" ht="35.1" customHeight="1">
      <c r="A860" s="8"/>
      <c r="B860" s="16" t="s">
        <v>8</v>
      </c>
      <c r="C860" s="17"/>
      <c r="D860" s="18">
        <f t="shared" si="59"/>
        <v>5308.3333333333339</v>
      </c>
      <c r="E860" s="69">
        <f t="shared" si="60"/>
        <v>6370.0000000000009</v>
      </c>
      <c r="F860" s="18">
        <f t="shared" si="61"/>
        <v>5900</v>
      </c>
      <c r="G860" s="69">
        <f t="shared" si="62"/>
        <v>7080</v>
      </c>
      <c r="H860" s="18">
        <f t="shared" si="63"/>
        <v>6083.3333333333339</v>
      </c>
      <c r="I860" s="69">
        <f t="shared" si="64"/>
        <v>7300.0000000000009</v>
      </c>
      <c r="J860" s="18">
        <f t="shared" si="65"/>
        <v>6516.666666666667</v>
      </c>
      <c r="K860" s="69">
        <f t="shared" si="66"/>
        <v>7820</v>
      </c>
      <c r="L860" s="18">
        <f t="shared" si="67"/>
        <v>6808.3333333333339</v>
      </c>
      <c r="M860" s="69">
        <f t="shared" si="68"/>
        <v>8170</v>
      </c>
      <c r="N860" s="302"/>
      <c r="O860" s="87"/>
      <c r="P860" s="87"/>
      <c r="Q860" s="87"/>
      <c r="R860" s="302"/>
      <c r="S860" s="87"/>
      <c r="T860" s="302"/>
      <c r="U860" s="87"/>
      <c r="V860" s="302"/>
      <c r="W860" s="87"/>
      <c r="X860" s="22"/>
      <c r="Y860" s="22"/>
      <c r="Z860" s="22"/>
      <c r="AA860" s="22"/>
      <c r="AB860" s="22"/>
      <c r="AC860" s="346">
        <v>6370</v>
      </c>
      <c r="AD860" s="413">
        <v>7080</v>
      </c>
      <c r="AE860" s="346">
        <v>7300</v>
      </c>
      <c r="AF860" s="346">
        <v>7820</v>
      </c>
      <c r="AG860" s="346">
        <v>8170</v>
      </c>
      <c r="AH860" s="301">
        <v>6370</v>
      </c>
      <c r="AI860" s="301">
        <f t="shared" si="69"/>
        <v>0</v>
      </c>
      <c r="AJ860" s="301">
        <v>7080</v>
      </c>
      <c r="AK860" s="301">
        <f t="shared" si="70"/>
        <v>0</v>
      </c>
      <c r="AL860" s="301">
        <v>7300</v>
      </c>
      <c r="AM860" s="301">
        <f t="shared" si="71"/>
        <v>0</v>
      </c>
      <c r="AN860" s="301">
        <v>7820</v>
      </c>
      <c r="AO860" s="301">
        <f t="shared" si="72"/>
        <v>0</v>
      </c>
      <c r="AP860" s="301">
        <v>8170</v>
      </c>
      <c r="AQ860" s="301">
        <f t="shared" si="73"/>
        <v>0</v>
      </c>
    </row>
    <row r="861" spans="1:46" ht="35.1" customHeight="1">
      <c r="A861" s="8"/>
      <c r="B861" s="16" t="s">
        <v>9</v>
      </c>
      <c r="C861" s="17"/>
      <c r="D861" s="18">
        <f t="shared" si="59"/>
        <v>5050</v>
      </c>
      <c r="E861" s="69">
        <f t="shared" si="60"/>
        <v>6060</v>
      </c>
      <c r="F861" s="18">
        <f t="shared" si="61"/>
        <v>5600</v>
      </c>
      <c r="G861" s="69">
        <f t="shared" si="62"/>
        <v>6720</v>
      </c>
      <c r="H861" s="18">
        <f t="shared" si="63"/>
        <v>5775</v>
      </c>
      <c r="I861" s="69">
        <f t="shared" si="64"/>
        <v>6930</v>
      </c>
      <c r="J861" s="18">
        <f t="shared" si="65"/>
        <v>6233.3333333333339</v>
      </c>
      <c r="K861" s="69">
        <f t="shared" si="66"/>
        <v>7480</v>
      </c>
      <c r="L861" s="18">
        <f t="shared" si="67"/>
        <v>6525</v>
      </c>
      <c r="M861" s="69">
        <f t="shared" si="68"/>
        <v>7830</v>
      </c>
      <c r="N861" s="302"/>
      <c r="O861" s="8"/>
      <c r="P861" s="87"/>
      <c r="Q861" s="87"/>
      <c r="R861" s="302"/>
      <c r="S861" s="8"/>
      <c r="T861" s="302"/>
      <c r="U861" s="87"/>
      <c r="V861" s="302"/>
      <c r="W861" s="87"/>
      <c r="X861" s="22"/>
      <c r="Y861" s="22"/>
      <c r="Z861" s="22"/>
      <c r="AA861" s="22"/>
      <c r="AB861" s="22"/>
      <c r="AC861" s="346">
        <v>6060</v>
      </c>
      <c r="AD861" s="413">
        <v>6720</v>
      </c>
      <c r="AE861" s="346">
        <v>6930</v>
      </c>
      <c r="AF861" s="346">
        <v>7480</v>
      </c>
      <c r="AG861" s="346">
        <v>7830</v>
      </c>
      <c r="AH861" s="301">
        <v>6060</v>
      </c>
      <c r="AI861" s="301">
        <f t="shared" si="69"/>
        <v>0</v>
      </c>
      <c r="AJ861" s="301">
        <v>6720</v>
      </c>
      <c r="AK861" s="301">
        <f t="shared" si="70"/>
        <v>0</v>
      </c>
      <c r="AL861" s="301">
        <v>6930</v>
      </c>
      <c r="AM861" s="301">
        <f t="shared" si="71"/>
        <v>0</v>
      </c>
      <c r="AN861" s="301">
        <v>7480</v>
      </c>
      <c r="AO861" s="301">
        <f t="shared" si="72"/>
        <v>0</v>
      </c>
      <c r="AP861" s="301">
        <v>7830</v>
      </c>
      <c r="AQ861" s="301">
        <f t="shared" si="73"/>
        <v>0</v>
      </c>
    </row>
    <row r="862" spans="1:46" ht="35.1" customHeight="1">
      <c r="A862" s="8"/>
      <c r="B862" s="23" t="s">
        <v>10</v>
      </c>
      <c r="C862" s="24"/>
      <c r="D862" s="25">
        <f t="shared" si="59"/>
        <v>4783.3333333333339</v>
      </c>
      <c r="E862" s="72">
        <f t="shared" si="60"/>
        <v>5740.0000000000009</v>
      </c>
      <c r="F862" s="25">
        <f t="shared" si="61"/>
        <v>5300</v>
      </c>
      <c r="G862" s="72">
        <f t="shared" si="62"/>
        <v>6360</v>
      </c>
      <c r="H862" s="25">
        <f t="shared" si="63"/>
        <v>5483.3333333333339</v>
      </c>
      <c r="I862" s="72">
        <f t="shared" si="64"/>
        <v>6580.0000000000009</v>
      </c>
      <c r="J862" s="25">
        <f t="shared" si="65"/>
        <v>5858.3333333333339</v>
      </c>
      <c r="K862" s="72">
        <f t="shared" si="66"/>
        <v>7030.0000000000009</v>
      </c>
      <c r="L862" s="25">
        <f t="shared" si="67"/>
        <v>6100</v>
      </c>
      <c r="M862" s="72">
        <f t="shared" si="68"/>
        <v>7320</v>
      </c>
      <c r="N862" s="302"/>
      <c r="O862" s="8"/>
      <c r="P862" s="87"/>
      <c r="Q862" s="87"/>
      <c r="R862" s="302"/>
      <c r="S862" s="8"/>
      <c r="T862" s="302"/>
      <c r="U862" s="87"/>
      <c r="V862" s="302"/>
      <c r="W862" s="87"/>
      <c r="X862" s="22"/>
      <c r="Y862" s="22"/>
      <c r="Z862" s="22"/>
      <c r="AA862" s="22"/>
      <c r="AB862" s="22"/>
      <c r="AC862" s="346">
        <v>5740</v>
      </c>
      <c r="AD862" s="413">
        <v>6360</v>
      </c>
      <c r="AE862" s="346">
        <v>6580</v>
      </c>
      <c r="AF862" s="346">
        <v>7030</v>
      </c>
      <c r="AG862" s="346">
        <v>7320</v>
      </c>
      <c r="AH862" s="301">
        <v>5740</v>
      </c>
      <c r="AI862" s="301">
        <f t="shared" si="69"/>
        <v>0</v>
      </c>
      <c r="AJ862" s="301">
        <v>6360</v>
      </c>
      <c r="AK862" s="301">
        <f t="shared" si="70"/>
        <v>0</v>
      </c>
      <c r="AL862" s="301">
        <v>6580</v>
      </c>
      <c r="AM862" s="301">
        <f t="shared" si="71"/>
        <v>0</v>
      </c>
      <c r="AN862" s="301">
        <v>7030</v>
      </c>
      <c r="AO862" s="301">
        <f t="shared" si="72"/>
        <v>0</v>
      </c>
      <c r="AP862" s="301">
        <v>7320</v>
      </c>
      <c r="AQ862" s="301">
        <f t="shared" si="73"/>
        <v>0</v>
      </c>
    </row>
    <row r="863" spans="1:46">
      <c r="C863" s="26"/>
      <c r="D863" s="26"/>
      <c r="E863" s="60"/>
      <c r="F863" s="26"/>
      <c r="G863" s="60"/>
      <c r="H863" s="10"/>
      <c r="I863" s="8"/>
      <c r="J863" s="8"/>
      <c r="K863" s="8"/>
      <c r="L863" s="8"/>
      <c r="P863" s="87"/>
      <c r="Q863" s="87"/>
      <c r="W863" s="20"/>
      <c r="X863" s="22"/>
      <c r="Y863" s="22"/>
      <c r="Z863" s="22"/>
      <c r="AA863" s="22"/>
      <c r="AB863" s="22"/>
    </row>
    <row r="864" spans="1:46">
      <c r="B864" s="220" t="str">
        <f>IF($C$1="ENG","For additonal charge:","Послуги за додаткову плату:")</f>
        <v>Послуги за додаткову плату:</v>
      </c>
      <c r="C864" s="221"/>
      <c r="D864" s="221"/>
      <c r="E864" s="222"/>
      <c r="F864" s="26"/>
      <c r="G864" s="60"/>
      <c r="H864" s="10"/>
      <c r="I864" s="8"/>
      <c r="J864" s="8"/>
      <c r="K864" s="8"/>
    </row>
    <row r="865" spans="2:38" ht="5.0999999999999996" customHeight="1">
      <c r="B865" s="27"/>
      <c r="C865" s="26"/>
      <c r="D865" s="26"/>
      <c r="E865" s="60"/>
      <c r="F865" s="26"/>
      <c r="G865" s="26"/>
      <c r="H865" s="10"/>
      <c r="I865" s="8"/>
      <c r="J865" s="8"/>
      <c r="K865" s="8"/>
    </row>
    <row r="866" spans="2:38">
      <c r="B866" s="446" t="str">
        <f>IF($C$1="ENG","door leaf with width 100","полотно розміром 100")</f>
        <v>полотно розміром 100</v>
      </c>
      <c r="C866" s="447"/>
      <c r="D866" s="136">
        <f t="shared" ref="D866:D876" si="74">IF(AC866="","",(1-$W$2)*(AC866/1.2))</f>
        <v>600</v>
      </c>
      <c r="E866" s="96">
        <f t="shared" ref="E866:E875" si="75">IF($W$5=0.2,D866*1.2,D866)/$W$4</f>
        <v>720</v>
      </c>
      <c r="F866" s="26"/>
      <c r="G866" s="26"/>
      <c r="H866" s="10"/>
      <c r="I866" s="8"/>
      <c r="J866" s="8"/>
      <c r="K866" s="8"/>
      <c r="AC866" s="310">
        <v>720</v>
      </c>
      <c r="AD866" s="301">
        <v>720</v>
      </c>
      <c r="AE866" s="301">
        <f>AD866/AC866-1</f>
        <v>0</v>
      </c>
      <c r="AF866" s="301"/>
      <c r="AG866" s="301"/>
      <c r="AH866" s="301"/>
      <c r="AI866" s="301"/>
      <c r="AJ866" s="301"/>
      <c r="AK866" s="301"/>
      <c r="AL866" s="301"/>
    </row>
    <row r="867" spans="2:38">
      <c r="B867" s="439" t="str">
        <f>IF($C$1="ENG","Ventilation sleeves (1 row)","вентиляційні віддушини (1ряд)")</f>
        <v>вентиляційні віддушини (1ряд)</v>
      </c>
      <c r="C867" s="440"/>
      <c r="D867" s="137">
        <f t="shared" si="74"/>
        <v>208.33333333333334</v>
      </c>
      <c r="E867" s="97">
        <f t="shared" si="75"/>
        <v>250</v>
      </c>
      <c r="F867" s="26"/>
      <c r="G867" s="26"/>
      <c r="I867" s="11"/>
      <c r="J867" s="11"/>
      <c r="K867" s="11"/>
      <c r="AC867" s="310">
        <v>250</v>
      </c>
      <c r="AD867" s="301">
        <v>250</v>
      </c>
      <c r="AE867" s="301">
        <f t="shared" ref="AE867:AE875" si="76">AD867/AC867-1</f>
        <v>0</v>
      </c>
      <c r="AF867" s="301"/>
      <c r="AG867" s="301"/>
      <c r="AH867" s="301"/>
      <c r="AI867" s="301"/>
      <c r="AJ867" s="301"/>
      <c r="AK867" s="301"/>
      <c r="AL867" s="301"/>
    </row>
    <row r="868" spans="2:38">
      <c r="B868" s="446" t="str">
        <f>IF($C$1="ENG","Ventilation cut","вентиляційний підріз")</f>
        <v>вентиляційний підріз</v>
      </c>
      <c r="C868" s="447"/>
      <c r="D868" s="137">
        <f t="shared" si="74"/>
        <v>141.66666666666669</v>
      </c>
      <c r="E868" s="69">
        <f t="shared" si="75"/>
        <v>170.00000000000003</v>
      </c>
      <c r="F868" s="26"/>
      <c r="G868" s="26"/>
      <c r="I868" s="62"/>
      <c r="J868" s="28"/>
      <c r="AC868" s="310">
        <v>170</v>
      </c>
      <c r="AD868" s="301">
        <v>170</v>
      </c>
      <c r="AE868" s="301">
        <f t="shared" si="76"/>
        <v>0</v>
      </c>
      <c r="AF868" s="301"/>
      <c r="AG868" s="301"/>
      <c r="AH868" s="301"/>
      <c r="AI868" s="301"/>
      <c r="AJ868" s="301"/>
      <c r="AK868" s="301"/>
      <c r="AL868" s="301"/>
    </row>
    <row r="869" spans="2:38">
      <c r="B869" s="439" t="str">
        <f>IF($C$1="ENG","glazing Graphite / Bronze","скло Графіт / Бронза")</f>
        <v>скло Графіт / Бронза</v>
      </c>
      <c r="C869" s="440"/>
      <c r="D869" s="106">
        <f t="shared" si="74"/>
        <v>458.33333333333337</v>
      </c>
      <c r="E869" s="97">
        <f t="shared" si="75"/>
        <v>550</v>
      </c>
      <c r="F869" s="26"/>
      <c r="G869" s="26"/>
      <c r="H869" s="5"/>
      <c r="AC869" s="310">
        <v>550</v>
      </c>
      <c r="AD869" s="301">
        <v>550</v>
      </c>
      <c r="AE869" s="301">
        <f t="shared" si="76"/>
        <v>0</v>
      </c>
      <c r="AF869" s="301"/>
      <c r="AG869" s="301"/>
      <c r="AH869" s="301"/>
      <c r="AI869" s="301"/>
      <c r="AJ869" s="301"/>
      <c r="AK869" s="301"/>
      <c r="AL869" s="301"/>
    </row>
    <row r="870" spans="2:38">
      <c r="B870" s="439" t="str">
        <f>IF($C$1="ENG","door lock Soft","замок Soft")</f>
        <v>замок Soft</v>
      </c>
      <c r="C870" s="440"/>
      <c r="D870" s="106">
        <f t="shared" si="74"/>
        <v>458.33333333333337</v>
      </c>
      <c r="E870" s="97">
        <f t="shared" si="75"/>
        <v>550</v>
      </c>
      <c r="F870" s="26"/>
      <c r="G870" s="26"/>
      <c r="H870" s="5"/>
      <c r="AC870" s="310">
        <v>550</v>
      </c>
      <c r="AD870" s="301">
        <v>550</v>
      </c>
      <c r="AE870" s="301">
        <f t="shared" si="76"/>
        <v>0</v>
      </c>
      <c r="AF870" s="301"/>
      <c r="AG870" s="301"/>
      <c r="AH870" s="301"/>
      <c r="AI870" s="301"/>
      <c r="AJ870" s="301"/>
      <c r="AK870" s="301"/>
      <c r="AL870" s="301"/>
    </row>
    <row r="871" spans="2:38">
      <c r="B871" s="439" t="str">
        <f>IF($C$1="ENG","door lock Magnet","замок Magnet")</f>
        <v>замок Magnet</v>
      </c>
      <c r="C871" s="440"/>
      <c r="D871" s="106">
        <f t="shared" si="74"/>
        <v>666.66666666666674</v>
      </c>
      <c r="E871" s="97">
        <f t="shared" si="75"/>
        <v>800.00000000000011</v>
      </c>
      <c r="F871" s="26"/>
      <c r="G871" s="26"/>
      <c r="H871" s="5"/>
      <c r="AC871" s="310">
        <v>800</v>
      </c>
      <c r="AD871" s="301">
        <v>800</v>
      </c>
      <c r="AE871" s="301">
        <f t="shared" si="76"/>
        <v>0</v>
      </c>
      <c r="AF871" s="301"/>
      <c r="AG871" s="301"/>
      <c r="AH871" s="301"/>
      <c r="AI871" s="301"/>
      <c r="AJ871" s="301"/>
      <c r="AK871" s="301"/>
      <c r="AL871" s="301"/>
    </row>
    <row r="872" spans="2:38">
      <c r="B872" s="439" t="str">
        <f>IF($C$1="ENG","door handle-lock (for sliding doors)","ручка-замок (для дверей купе)")</f>
        <v>ручка-замок (для дверей купе)</v>
      </c>
      <c r="C872" s="440"/>
      <c r="D872" s="137">
        <f t="shared" si="74"/>
        <v>466.66666666666669</v>
      </c>
      <c r="E872" s="97">
        <f t="shared" si="75"/>
        <v>560</v>
      </c>
      <c r="F872" s="26"/>
      <c r="G872" s="26"/>
      <c r="I872" s="11"/>
      <c r="J872" s="11"/>
      <c r="K872" s="19"/>
      <c r="AC872" s="310">
        <v>560</v>
      </c>
      <c r="AD872" s="301">
        <v>560</v>
      </c>
      <c r="AE872" s="301">
        <f t="shared" si="76"/>
        <v>0</v>
      </c>
      <c r="AF872" s="301"/>
      <c r="AG872" s="301"/>
      <c r="AH872" s="301"/>
      <c r="AI872" s="301"/>
      <c r="AJ872" s="301"/>
      <c r="AK872" s="301"/>
      <c r="AL872" s="301"/>
    </row>
    <row r="873" spans="2:38">
      <c r="B873" s="439" t="str">
        <f>IF($C$1="ENG","cylinder incert","циліндр несиметричний")</f>
        <v>циліндр несиметричний</v>
      </c>
      <c r="C873" s="440"/>
      <c r="D873" s="137">
        <f t="shared" si="74"/>
        <v>316.66666666666669</v>
      </c>
      <c r="E873" s="97">
        <f t="shared" si="75"/>
        <v>380</v>
      </c>
      <c r="F873" s="26"/>
      <c r="G873" s="26"/>
      <c r="AC873" s="310">
        <v>380</v>
      </c>
      <c r="AD873" s="301">
        <v>380</v>
      </c>
      <c r="AE873" s="301">
        <f t="shared" si="76"/>
        <v>0</v>
      </c>
      <c r="AF873" s="301"/>
      <c r="AG873" s="301"/>
      <c r="AH873" s="301"/>
      <c r="AI873" s="301"/>
      <c r="AJ873" s="301"/>
      <c r="AK873" s="301"/>
      <c r="AL873" s="301"/>
    </row>
    <row r="874" spans="2:38">
      <c r="B874" s="439" t="str">
        <f>IF($C$1="ENG","door hindge Prestige (1 unit)","завіса Prestige (1 шт)")</f>
        <v>завіса Prestige (1 шт)</v>
      </c>
      <c r="C874" s="440"/>
      <c r="D874" s="139">
        <f t="shared" si="74"/>
        <v>216.66666666666669</v>
      </c>
      <c r="E874" s="97">
        <f t="shared" si="75"/>
        <v>260</v>
      </c>
      <c r="F874" s="26"/>
      <c r="G874" s="26"/>
      <c r="AC874" s="310">
        <v>260</v>
      </c>
      <c r="AD874" s="301">
        <v>260</v>
      </c>
      <c r="AE874" s="301">
        <f t="shared" si="76"/>
        <v>0</v>
      </c>
      <c r="AF874" s="301"/>
      <c r="AG874" s="301"/>
      <c r="AH874" s="301"/>
      <c r="AI874" s="301"/>
      <c r="AJ874" s="301"/>
      <c r="AK874" s="301"/>
      <c r="AL874" s="301"/>
    </row>
    <row r="875" spans="2:38">
      <c r="B875" s="439" t="str">
        <f>IF($C$1="ENG","door hinge caps (1 set)","накладка на завіси (1 к-т)")</f>
        <v>накладка на завіси (1 к-т)</v>
      </c>
      <c r="C875" s="440"/>
      <c r="D875" s="139">
        <f t="shared" si="74"/>
        <v>66.666666666666671</v>
      </c>
      <c r="E875" s="97">
        <f t="shared" si="75"/>
        <v>80</v>
      </c>
      <c r="F875" s="26"/>
      <c r="G875" s="26"/>
      <c r="AC875" s="310">
        <v>80</v>
      </c>
      <c r="AD875" s="301">
        <v>80</v>
      </c>
      <c r="AE875" s="301">
        <f t="shared" si="76"/>
        <v>0</v>
      </c>
      <c r="AF875" s="301"/>
      <c r="AG875" s="301"/>
      <c r="AH875" s="301"/>
      <c r="AI875" s="301"/>
      <c r="AJ875" s="301"/>
      <c r="AK875" s="301"/>
      <c r="AL875" s="301"/>
    </row>
    <row r="876" spans="2:38">
      <c r="B876" s="439" t="str">
        <f>IF($C$1="ENG","door handle","дверна ручка")</f>
        <v>дверна ручка</v>
      </c>
      <c r="C876" s="440"/>
      <c r="D876" s="138" t="str">
        <f t="shared" si="74"/>
        <v/>
      </c>
      <c r="E876" s="256" t="str">
        <f>IF($C$1="ENG","see Handles Price","див. Таблицю Ручки")</f>
        <v>див. Таблицю Ручки</v>
      </c>
      <c r="F876" s="26"/>
      <c r="G876" s="26"/>
      <c r="AC876" s="301"/>
      <c r="AD876" s="301"/>
      <c r="AE876" s="301"/>
      <c r="AF876" s="301"/>
      <c r="AG876" s="301"/>
      <c r="AH876" s="301"/>
      <c r="AI876" s="301"/>
      <c r="AJ876" s="301"/>
      <c r="AK876" s="301"/>
      <c r="AL876" s="301"/>
    </row>
    <row r="877" spans="2:38" ht="14.25" customHeight="1">
      <c r="C877" s="26"/>
      <c r="D877" s="26"/>
      <c r="E877" s="26"/>
      <c r="F877" s="26"/>
      <c r="G877" s="26"/>
      <c r="H877" s="5"/>
      <c r="T877" s="460" t="str">
        <f>IF($C$1="ENG",CONCATENATE("down to: ",B927),CONCATENATE("вниз до: ",B927))</f>
        <v>вниз до: Полотна збірні: ЛАДА-НОВА</v>
      </c>
      <c r="U877" s="460"/>
      <c r="V877" s="460"/>
      <c r="W877" s="460"/>
    </row>
    <row r="878" spans="2:38" ht="14.25" customHeight="1">
      <c r="C878" s="26"/>
      <c r="D878" s="26"/>
      <c r="E878" s="26"/>
      <c r="F878" s="26"/>
      <c r="G878" s="26"/>
      <c r="H878" s="5"/>
    </row>
    <row r="879" spans="2:38" ht="14.25" customHeight="1">
      <c r="C879" s="26"/>
      <c r="D879" s="26"/>
      <c r="E879" s="26"/>
      <c r="F879" s="26"/>
      <c r="G879" s="26"/>
      <c r="H879" s="5"/>
    </row>
    <row r="880" spans="2:38" ht="14.25" customHeight="1">
      <c r="C880" s="26"/>
      <c r="D880" s="26"/>
      <c r="E880" s="26"/>
      <c r="F880" s="26"/>
      <c r="G880" s="26"/>
      <c r="H880" s="5"/>
    </row>
    <row r="881" spans="3:8" ht="14.25" customHeight="1">
      <c r="C881" s="26"/>
      <c r="D881" s="26"/>
      <c r="E881" s="26"/>
      <c r="F881" s="26"/>
      <c r="G881" s="26"/>
      <c r="H881" s="5"/>
    </row>
    <row r="882" spans="3:8" ht="14.25" customHeight="1">
      <c r="C882" s="26"/>
      <c r="D882" s="26"/>
      <c r="E882" s="26"/>
      <c r="F882" s="26"/>
      <c r="G882" s="26"/>
      <c r="H882" s="5"/>
    </row>
    <row r="883" spans="3:8" ht="14.25" customHeight="1">
      <c r="C883" s="26"/>
      <c r="D883" s="26"/>
      <c r="E883" s="26"/>
      <c r="F883" s="26"/>
      <c r="G883" s="26"/>
      <c r="H883" s="5"/>
    </row>
    <row r="884" spans="3:8" ht="14.25" customHeight="1">
      <c r="C884" s="26"/>
      <c r="D884" s="26"/>
      <c r="E884" s="26"/>
      <c r="F884" s="26"/>
      <c r="G884" s="26"/>
      <c r="H884" s="5"/>
    </row>
    <row r="885" spans="3:8" ht="14.25" customHeight="1">
      <c r="C885" s="26"/>
      <c r="D885" s="26"/>
      <c r="E885" s="26"/>
      <c r="F885" s="26"/>
      <c r="G885" s="26"/>
      <c r="H885" s="5"/>
    </row>
    <row r="886" spans="3:8" ht="14.25" customHeight="1">
      <c r="C886" s="26"/>
      <c r="D886" s="26"/>
      <c r="E886" s="26"/>
      <c r="F886" s="26"/>
      <c r="G886" s="26"/>
      <c r="H886" s="5"/>
    </row>
    <row r="887" spans="3:8" ht="14.25" customHeight="1">
      <c r="C887" s="26"/>
      <c r="D887" s="26"/>
      <c r="E887" s="26"/>
      <c r="F887" s="26"/>
      <c r="G887" s="26"/>
      <c r="H887" s="5"/>
    </row>
    <row r="888" spans="3:8" ht="14.25" customHeight="1">
      <c r="C888" s="26"/>
      <c r="D888" s="26"/>
      <c r="E888" s="26"/>
      <c r="F888" s="26"/>
      <c r="G888" s="26"/>
      <c r="H888" s="5"/>
    </row>
    <row r="889" spans="3:8" ht="14.25" customHeight="1">
      <c r="C889" s="26"/>
      <c r="D889" s="26"/>
      <c r="E889" s="26"/>
      <c r="F889" s="26"/>
      <c r="G889" s="26"/>
      <c r="H889" s="5"/>
    </row>
    <row r="890" spans="3:8" ht="14.25" customHeight="1">
      <c r="C890" s="26"/>
      <c r="D890" s="26"/>
      <c r="E890" s="26"/>
      <c r="F890" s="26"/>
      <c r="G890" s="26"/>
      <c r="H890" s="5"/>
    </row>
    <row r="891" spans="3:8" ht="14.25" customHeight="1">
      <c r="C891" s="26"/>
      <c r="D891" s="26"/>
      <c r="E891" s="26"/>
      <c r="F891" s="26"/>
      <c r="G891" s="26"/>
      <c r="H891" s="5"/>
    </row>
    <row r="892" spans="3:8" ht="14.25" customHeight="1">
      <c r="C892" s="26"/>
      <c r="D892" s="26"/>
      <c r="E892" s="26"/>
      <c r="F892" s="26"/>
      <c r="G892" s="26"/>
      <c r="H892" s="5"/>
    </row>
    <row r="893" spans="3:8" ht="14.25" customHeight="1">
      <c r="C893" s="26"/>
      <c r="D893" s="26"/>
      <c r="E893" s="26"/>
      <c r="F893" s="26"/>
      <c r="G893" s="26"/>
      <c r="H893" s="5"/>
    </row>
    <row r="894" spans="3:8" ht="14.25" customHeight="1">
      <c r="C894" s="26"/>
      <c r="D894" s="26"/>
      <c r="E894" s="26"/>
      <c r="F894" s="26"/>
      <c r="G894" s="26"/>
      <c r="H894" s="5"/>
    </row>
    <row r="895" spans="3:8" ht="14.25" customHeight="1">
      <c r="C895" s="26"/>
      <c r="D895" s="26"/>
      <c r="E895" s="26"/>
      <c r="F895" s="26"/>
      <c r="G895" s="26"/>
      <c r="H895" s="5"/>
    </row>
    <row r="896" spans="3:8" ht="14.25" customHeight="1">
      <c r="C896" s="26"/>
      <c r="D896" s="26"/>
      <c r="E896" s="26"/>
      <c r="F896" s="26"/>
      <c r="G896" s="26"/>
      <c r="H896" s="5"/>
    </row>
    <row r="897" spans="3:8" ht="14.25" customHeight="1">
      <c r="C897" s="26"/>
      <c r="D897" s="26"/>
      <c r="E897" s="26"/>
      <c r="F897" s="26"/>
      <c r="G897" s="26"/>
      <c r="H897" s="5"/>
    </row>
    <row r="898" spans="3:8" ht="14.25" customHeight="1">
      <c r="C898" s="26"/>
      <c r="D898" s="26"/>
      <c r="E898" s="26"/>
      <c r="F898" s="26"/>
      <c r="G898" s="26"/>
      <c r="H898" s="5"/>
    </row>
    <row r="899" spans="3:8" ht="14.25" customHeight="1">
      <c r="C899" s="26"/>
      <c r="D899" s="26"/>
      <c r="E899" s="26"/>
      <c r="F899" s="26"/>
      <c r="G899" s="26"/>
      <c r="H899" s="5"/>
    </row>
    <row r="900" spans="3:8" ht="14.25" customHeight="1">
      <c r="C900" s="26"/>
      <c r="D900" s="26"/>
      <c r="E900" s="26"/>
      <c r="F900" s="26"/>
      <c r="G900" s="26"/>
      <c r="H900" s="5"/>
    </row>
    <row r="901" spans="3:8" ht="14.25" customHeight="1">
      <c r="C901" s="26"/>
      <c r="D901" s="26"/>
      <c r="E901" s="26"/>
      <c r="F901" s="26"/>
      <c r="G901" s="26"/>
      <c r="H901" s="5"/>
    </row>
    <row r="902" spans="3:8" ht="14.25" customHeight="1">
      <c r="C902" s="26"/>
      <c r="D902" s="26"/>
      <c r="E902" s="26"/>
      <c r="F902" s="26"/>
      <c r="G902" s="26"/>
      <c r="H902" s="5"/>
    </row>
    <row r="903" spans="3:8" ht="14.25" customHeight="1">
      <c r="C903" s="26"/>
      <c r="D903" s="26"/>
      <c r="E903" s="26"/>
      <c r="F903" s="26"/>
      <c r="G903" s="26"/>
      <c r="H903" s="5"/>
    </row>
    <row r="904" spans="3:8" ht="14.25" customHeight="1">
      <c r="C904" s="26"/>
      <c r="D904" s="26"/>
      <c r="E904" s="26"/>
      <c r="F904" s="26"/>
      <c r="G904" s="26"/>
      <c r="H904" s="5"/>
    </row>
    <row r="905" spans="3:8" ht="14.25" customHeight="1">
      <c r="C905" s="26"/>
      <c r="D905" s="26"/>
      <c r="E905" s="26"/>
      <c r="F905" s="26"/>
      <c r="G905" s="26"/>
      <c r="H905" s="5"/>
    </row>
    <row r="906" spans="3:8" ht="14.25" customHeight="1">
      <c r="C906" s="26"/>
      <c r="D906" s="26"/>
      <c r="E906" s="26"/>
      <c r="F906" s="26"/>
      <c r="G906" s="26"/>
      <c r="H906" s="5"/>
    </row>
    <row r="907" spans="3:8" ht="14.25" customHeight="1">
      <c r="C907" s="26"/>
      <c r="D907" s="26"/>
      <c r="E907" s="26"/>
      <c r="F907" s="26"/>
      <c r="G907" s="26"/>
      <c r="H907" s="5"/>
    </row>
    <row r="908" spans="3:8" ht="14.25" customHeight="1">
      <c r="C908" s="26"/>
      <c r="D908" s="26"/>
      <c r="E908" s="26"/>
      <c r="F908" s="26"/>
      <c r="G908" s="26"/>
      <c r="H908" s="5"/>
    </row>
    <row r="909" spans="3:8" ht="14.25" customHeight="1">
      <c r="C909" s="26"/>
      <c r="D909" s="26"/>
      <c r="E909" s="26"/>
      <c r="F909" s="26"/>
      <c r="G909" s="26"/>
      <c r="H909" s="5"/>
    </row>
    <row r="910" spans="3:8" ht="14.25" customHeight="1">
      <c r="C910" s="26"/>
      <c r="D910" s="26"/>
      <c r="E910" s="26"/>
      <c r="F910" s="26"/>
      <c r="G910" s="26"/>
      <c r="H910" s="5"/>
    </row>
    <row r="911" spans="3:8" ht="14.25" customHeight="1">
      <c r="C911" s="26"/>
      <c r="D911" s="26"/>
      <c r="E911" s="26"/>
      <c r="F911" s="26"/>
      <c r="G911" s="26"/>
      <c r="H911" s="5"/>
    </row>
    <row r="912" spans="3:8" ht="14.25" customHeight="1">
      <c r="C912" s="26"/>
      <c r="D912" s="26"/>
      <c r="E912" s="26"/>
      <c r="F912" s="26"/>
      <c r="G912" s="26"/>
      <c r="H912" s="5"/>
    </row>
    <row r="913" spans="2:46" ht="14.25" customHeight="1">
      <c r="C913" s="26"/>
      <c r="D913" s="26"/>
      <c r="E913" s="26"/>
      <c r="F913" s="26"/>
      <c r="G913" s="26"/>
      <c r="H913" s="5"/>
    </row>
    <row r="914" spans="2:46" ht="14.25" customHeight="1">
      <c r="C914" s="26"/>
      <c r="D914" s="26"/>
      <c r="E914" s="26"/>
      <c r="F914" s="26"/>
      <c r="G914" s="26"/>
      <c r="H914" s="5"/>
    </row>
    <row r="915" spans="2:46" ht="14.25" customHeight="1">
      <c r="C915" s="26"/>
      <c r="D915" s="26"/>
      <c r="E915" s="26"/>
      <c r="F915" s="26"/>
      <c r="G915" s="26"/>
      <c r="H915" s="5"/>
    </row>
    <row r="916" spans="2:46" ht="14.25" customHeight="1">
      <c r="C916" s="26"/>
      <c r="D916" s="26"/>
      <c r="E916" s="26"/>
      <c r="F916" s="26"/>
      <c r="G916" s="26"/>
      <c r="H916" s="5"/>
    </row>
    <row r="917" spans="2:46" ht="14.25" customHeight="1">
      <c r="C917" s="26"/>
      <c r="D917" s="26"/>
      <c r="E917" s="26"/>
      <c r="F917" s="26"/>
      <c r="G917" s="26"/>
      <c r="H917" s="5"/>
    </row>
    <row r="918" spans="2:46" ht="14.25" customHeight="1">
      <c r="C918" s="26"/>
      <c r="D918" s="26"/>
      <c r="E918" s="26"/>
      <c r="F918" s="26"/>
      <c r="G918" s="26"/>
      <c r="H918" s="5"/>
    </row>
    <row r="919" spans="2:46" ht="14.25" customHeight="1">
      <c r="C919" s="26"/>
      <c r="D919" s="26"/>
      <c r="E919" s="26"/>
      <c r="F919" s="26"/>
      <c r="G919" s="26"/>
      <c r="H919" s="5"/>
    </row>
    <row r="920" spans="2:46" ht="14.25" customHeight="1">
      <c r="C920" s="26"/>
      <c r="D920" s="26"/>
      <c r="E920" s="26"/>
      <c r="F920" s="26"/>
      <c r="G920" s="26"/>
      <c r="H920" s="5"/>
    </row>
    <row r="921" spans="2:46" ht="14.25" customHeight="1">
      <c r="C921" s="26"/>
      <c r="D921" s="26"/>
      <c r="E921" s="26"/>
      <c r="F921" s="26"/>
      <c r="G921" s="26"/>
      <c r="H921" s="5"/>
    </row>
    <row r="922" spans="2:46" ht="14.25" customHeight="1">
      <c r="C922" s="26"/>
      <c r="D922" s="26"/>
      <c r="E922" s="26"/>
      <c r="F922" s="26"/>
      <c r="G922" s="26"/>
      <c r="H922" s="5"/>
    </row>
    <row r="923" spans="2:46" ht="14.25" customHeight="1">
      <c r="C923" s="26"/>
      <c r="D923" s="26"/>
      <c r="E923" s="26"/>
      <c r="F923" s="26"/>
      <c r="G923" s="26"/>
      <c r="H923" s="5"/>
    </row>
    <row r="924" spans="2:46" ht="14.25" customHeight="1">
      <c r="C924" s="26"/>
      <c r="D924" s="26"/>
      <c r="E924" s="26"/>
      <c r="F924" s="26"/>
      <c r="G924" s="26"/>
      <c r="H924" s="5"/>
    </row>
    <row r="925" spans="2:46" ht="14.25" customHeight="1">
      <c r="C925" s="26"/>
      <c r="D925" s="26"/>
      <c r="E925" s="26"/>
      <c r="F925" s="26"/>
      <c r="G925" s="26"/>
      <c r="H925" s="5"/>
    </row>
    <row r="926" spans="2:46" ht="14.25" customHeight="1">
      <c r="C926" s="26"/>
      <c r="D926" s="26"/>
      <c r="E926" s="26"/>
      <c r="F926" s="26"/>
      <c r="G926" s="26"/>
      <c r="H926" s="5"/>
    </row>
    <row r="927" spans="2:46" s="8" customFormat="1">
      <c r="B927" s="421" t="str">
        <f>TITLE!$C$20</f>
        <v>Полотна збірні: ЛАДА-НОВА</v>
      </c>
      <c r="C927" s="421"/>
      <c r="D927" s="122"/>
      <c r="E927" s="122"/>
      <c r="F927" s="122"/>
      <c r="G927" s="122"/>
      <c r="H927" s="445"/>
      <c r="I927" s="44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419" t="str">
        <f>IF($C$1="ENG",CONCATENATE("up to: ",B852),CONCATENATE("вгору до: ",B852))</f>
        <v>вгору до: Полотна збірні: ЛАДА-КОНЦЕПТ</v>
      </c>
      <c r="U927" s="419"/>
      <c r="V927" s="419"/>
      <c r="W927" s="419"/>
      <c r="AE927" s="301">
        <f>Z927/100*12+Z927</f>
        <v>0</v>
      </c>
      <c r="AF927" s="301" t="e">
        <f>AE927/Z927-1</f>
        <v>#DIV/0!</v>
      </c>
      <c r="AN927" s="291"/>
      <c r="AO927" s="291"/>
      <c r="AP927" s="291"/>
      <c r="AQ927" s="291"/>
      <c r="AR927" s="291"/>
      <c r="AS927" s="291"/>
      <c r="AT927" s="291"/>
    </row>
    <row r="928" spans="2:46" s="8" customFormat="1" ht="5.0999999999999996" customHeight="1">
      <c r="B928" s="121"/>
      <c r="C928" s="121"/>
      <c r="D928" s="9"/>
      <c r="E928" s="9"/>
      <c r="F928" s="9"/>
      <c r="G928" s="9"/>
      <c r="H928" s="124"/>
      <c r="I928" s="124"/>
      <c r="J928" s="1"/>
      <c r="K928" s="1"/>
      <c r="T928" s="119"/>
      <c r="U928" s="119"/>
      <c r="V928" s="119"/>
      <c r="W928" s="119"/>
      <c r="AN928" s="291"/>
      <c r="AO928" s="291"/>
      <c r="AP928" s="291"/>
      <c r="AQ928" s="291"/>
      <c r="AR928" s="291"/>
      <c r="AS928" s="291"/>
      <c r="AT928" s="291"/>
    </row>
    <row r="929" spans="1:46" s="8" customFormat="1" ht="12.75" customHeight="1">
      <c r="B929" s="448" t="str">
        <f>IF($C$1="ENG","model","модель")</f>
        <v>модель</v>
      </c>
      <c r="C929" s="126" t="str">
        <f>IF($C$1="ENG","cover:","покриття:")</f>
        <v>покриття:</v>
      </c>
      <c r="D929" s="430" t="str">
        <f>IF($C$1="ENG","Verto-CELL","Verto-CELL")</f>
        <v>Verto-CELL</v>
      </c>
      <c r="E929" s="432"/>
      <c r="F929" s="430" t="str">
        <f>IF($C$1="ENG","UNI-MAT","UNI-MAT")</f>
        <v>UNI-MAT</v>
      </c>
      <c r="G929" s="432"/>
      <c r="H929" s="430" t="str">
        <f>IF($C$1="ENG","RESIST","RESIST")</f>
        <v>RESIST</v>
      </c>
      <c r="I929" s="432"/>
      <c r="J929" s="430" t="str">
        <f>IF($C$1="ENG","Verto LINE-3D","Verto LINE-3D")</f>
        <v>Verto LINE-3D</v>
      </c>
      <c r="K929" s="432"/>
      <c r="L929" s="430" t="str">
        <f>IF($C$1="ENG","ECO Shpon","ЕКО Шпон")</f>
        <v>ЕКО Шпон</v>
      </c>
      <c r="M929" s="432"/>
      <c r="P929" s="108"/>
      <c r="Q929" s="108"/>
      <c r="T929" s="119"/>
      <c r="U929" s="119"/>
      <c r="V929" s="119"/>
      <c r="W929" s="119"/>
      <c r="AN929" s="291"/>
      <c r="AO929" s="291"/>
      <c r="AP929" s="291"/>
      <c r="AQ929" s="291"/>
      <c r="AR929" s="291"/>
      <c r="AS929" s="291"/>
      <c r="AT929" s="291"/>
    </row>
    <row r="930" spans="1:46" s="8" customFormat="1" ht="27.75" customHeight="1">
      <c r="B930" s="449"/>
      <c r="C930" s="127" t="str">
        <f>IF($C$1="ENG","filling:","заповнення:")</f>
        <v>заповнення:</v>
      </c>
      <c r="D930" s="441" t="str">
        <f>IF($C$1="ENG","softwood","клеєний сосновий брус")</f>
        <v>клеєний сосновий брус</v>
      </c>
      <c r="E930" s="442"/>
      <c r="F930" s="441" t="str">
        <f>IF($C$1="ENG","softwood","клеєний сосновий брус")</f>
        <v>клеєний сосновий брус</v>
      </c>
      <c r="G930" s="442"/>
      <c r="H930" s="441" t="str">
        <f>IF($C$1="ENG","softwood","клеєний сосновий брус")</f>
        <v>клеєний сосновий брус</v>
      </c>
      <c r="I930" s="442"/>
      <c r="J930" s="441" t="str">
        <f>IF($C$1="ENG","softwood","клеєний сосновий брус")</f>
        <v>клеєний сосновий брус</v>
      </c>
      <c r="K930" s="442"/>
      <c r="L930" s="441" t="str">
        <f>IF($C$1="ENG","softwood","клеєний сосновий брус")</f>
        <v>клеєний сосновий брус</v>
      </c>
      <c r="M930" s="442"/>
      <c r="N930" s="11"/>
      <c r="O930" s="11"/>
      <c r="P930" s="108"/>
      <c r="Q930" s="108"/>
      <c r="R930" s="11"/>
      <c r="S930" s="11"/>
      <c r="T930" s="11"/>
      <c r="U930" s="119"/>
      <c r="V930" s="119"/>
      <c r="W930" s="119"/>
      <c r="AD930" s="405">
        <f>AD932/AC932-1</f>
        <v>0.11081441922563418</v>
      </c>
      <c r="AE930" s="405">
        <f>AE932/AD932-1</f>
        <v>3.9663461538461453E-2</v>
      </c>
      <c r="AF930" s="405">
        <f>AF932/AE932-1</f>
        <v>9.0173410404624343E-2</v>
      </c>
      <c r="AG930" s="405">
        <f>AG932/AF932-1</f>
        <v>4.9840933191940717E-2</v>
      </c>
      <c r="AN930" s="291"/>
      <c r="AO930" s="291"/>
      <c r="AP930" s="291"/>
      <c r="AQ930" s="291"/>
      <c r="AR930" s="291"/>
      <c r="AS930" s="291"/>
      <c r="AT930" s="291"/>
    </row>
    <row r="931" spans="1:46" ht="12.75" customHeight="1">
      <c r="A931" s="8"/>
      <c r="B931" s="450"/>
      <c r="C931" s="128" t="str">
        <f>IF($C$1="ENG","glazing:","скління:")</f>
        <v>скління:</v>
      </c>
      <c r="D931" s="424" t="str">
        <f>IF($C$1="ENG","Satin","Сатин")</f>
        <v>Сатин</v>
      </c>
      <c r="E931" s="434"/>
      <c r="F931" s="424" t="str">
        <f>IF($C$1="ENG","Satin","Сатин")</f>
        <v>Сатин</v>
      </c>
      <c r="G931" s="434"/>
      <c r="H931" s="424" t="str">
        <f>IF($C$1="ENG","Satin","Сатин")</f>
        <v>Сатин</v>
      </c>
      <c r="I931" s="434"/>
      <c r="J931" s="424" t="str">
        <f>IF($C$1="ENG","Satin","Сатин")</f>
        <v>Сатин</v>
      </c>
      <c r="K931" s="434"/>
      <c r="L931" s="424" t="str">
        <f>IF($C$1="ENG","Satin","Сатин")</f>
        <v>Сатин</v>
      </c>
      <c r="M931" s="434"/>
      <c r="N931" s="11"/>
      <c r="O931" s="11"/>
      <c r="P931" s="108"/>
      <c r="Q931" s="108"/>
      <c r="R931" s="11"/>
      <c r="S931" s="11"/>
      <c r="T931" s="11"/>
    </row>
    <row r="932" spans="1:46" ht="35.1" customHeight="1">
      <c r="A932" s="8"/>
      <c r="B932" s="13" t="s">
        <v>13</v>
      </c>
      <c r="C932" s="14"/>
      <c r="D932" s="15">
        <f t="shared" ref="D932:D937" si="77">IF(AC932="","",(1-$W$2)*(AC932/1.2))</f>
        <v>6241.666666666667</v>
      </c>
      <c r="E932" s="67">
        <f t="shared" ref="E932:E937" si="78">IF($W$5=0.2,D932*1.2,D932)/$W$4</f>
        <v>7490</v>
      </c>
      <c r="F932" s="15">
        <f t="shared" ref="F932:F937" si="79">IF(AD932="","",(1-$W$2)*(AD932/1.2))</f>
        <v>6933.3333333333339</v>
      </c>
      <c r="G932" s="67">
        <f t="shared" ref="G932:G937" si="80">IF($W$5=0.2,F932*1.2,F932)/$W$4</f>
        <v>8320</v>
      </c>
      <c r="H932" s="15">
        <f t="shared" ref="H932:H937" si="81">IF(AE932="","",(1-$W$2)*(AE932/1.2))</f>
        <v>7208.3333333333339</v>
      </c>
      <c r="I932" s="67">
        <f t="shared" ref="I932:I937" si="82">IF($W$5=0.2,H932*1.2,H932)/$W$4</f>
        <v>8650</v>
      </c>
      <c r="J932" s="15">
        <f t="shared" ref="J932:J937" si="83">IF(AF932="","",(1-$W$2)*(AF932/1.2))</f>
        <v>7858.3333333333339</v>
      </c>
      <c r="K932" s="67">
        <f t="shared" ref="K932:K937" si="84">IF($W$5=0.2,J932*1.2,J932)/$W$4</f>
        <v>9430</v>
      </c>
      <c r="L932" s="15">
        <f t="shared" ref="L932:L937" si="85">IF(AG932="","",(1-$W$2)*(AG932/1.2))</f>
        <v>8250</v>
      </c>
      <c r="M932" s="67">
        <f t="shared" ref="M932:M937" si="86">IF($W$5=0.2,L932*1.2,L932)/$W$4</f>
        <v>9900</v>
      </c>
      <c r="N932" s="108"/>
      <c r="O932" s="20"/>
      <c r="P932" s="108"/>
      <c r="Q932" s="108"/>
      <c r="R932" s="108"/>
      <c r="S932" s="20"/>
      <c r="T932" s="108"/>
      <c r="U932" s="20"/>
      <c r="V932" s="108"/>
      <c r="W932" s="20"/>
      <c r="X932" s="22"/>
      <c r="Y932" s="22"/>
      <c r="Z932" s="22"/>
      <c r="AA932" s="22"/>
      <c r="AB932" s="22"/>
      <c r="AC932" s="346">
        <v>7490</v>
      </c>
      <c r="AD932" s="413">
        <v>8320</v>
      </c>
      <c r="AE932" s="346">
        <v>8650</v>
      </c>
      <c r="AF932" s="346">
        <v>9430</v>
      </c>
      <c r="AG932" s="346">
        <v>9900</v>
      </c>
      <c r="AH932" s="301">
        <v>7490</v>
      </c>
      <c r="AI932" s="301">
        <f>AH932/AC932-1</f>
        <v>0</v>
      </c>
      <c r="AJ932" s="301">
        <v>8320</v>
      </c>
      <c r="AK932" s="301">
        <f>AJ932/AD932-1</f>
        <v>0</v>
      </c>
      <c r="AL932" s="301">
        <v>8650</v>
      </c>
      <c r="AM932" s="301">
        <f>AL932/AE932-1</f>
        <v>0</v>
      </c>
      <c r="AN932" s="301">
        <v>9430</v>
      </c>
      <c r="AO932" s="301">
        <f>AN932/AF932-1</f>
        <v>0</v>
      </c>
      <c r="AP932" s="301">
        <v>9900</v>
      </c>
      <c r="AQ932" s="301">
        <f>AP932/AG932-1</f>
        <v>0</v>
      </c>
    </row>
    <row r="933" spans="1:46" ht="35.1" customHeight="1">
      <c r="A933" s="8"/>
      <c r="B933" s="16" t="s">
        <v>34</v>
      </c>
      <c r="C933" s="17"/>
      <c r="D933" s="18">
        <f t="shared" si="77"/>
        <v>4775</v>
      </c>
      <c r="E933" s="69">
        <f t="shared" si="78"/>
        <v>5730</v>
      </c>
      <c r="F933" s="18">
        <f t="shared" si="79"/>
        <v>5300</v>
      </c>
      <c r="G933" s="69">
        <f>IF($W$5=0.2,F933*1.2,F933)/$W$4</f>
        <v>6360</v>
      </c>
      <c r="H933" s="18">
        <f t="shared" si="81"/>
        <v>5600</v>
      </c>
      <c r="I933" s="69">
        <f t="shared" si="82"/>
        <v>6720</v>
      </c>
      <c r="J933" s="18">
        <f t="shared" si="83"/>
        <v>6008.3333333333339</v>
      </c>
      <c r="K933" s="69">
        <f t="shared" si="84"/>
        <v>7210.0000000000009</v>
      </c>
      <c r="L933" s="18">
        <f t="shared" si="85"/>
        <v>6283.3333333333339</v>
      </c>
      <c r="M933" s="69">
        <f t="shared" si="86"/>
        <v>7540</v>
      </c>
      <c r="N933" s="108"/>
      <c r="O933" s="20"/>
      <c r="P933" s="108"/>
      <c r="Q933" s="108"/>
      <c r="R933" s="108"/>
      <c r="S933" s="20"/>
      <c r="T933" s="108"/>
      <c r="U933" s="20"/>
      <c r="V933" s="108"/>
      <c r="W933" s="20"/>
      <c r="X933" s="22"/>
      <c r="Y933" s="22"/>
      <c r="Z933" s="22"/>
      <c r="AA933" s="22"/>
      <c r="AB933" s="22"/>
      <c r="AC933" s="346">
        <v>5730</v>
      </c>
      <c r="AD933" s="413">
        <v>6360</v>
      </c>
      <c r="AE933" s="346">
        <v>6720</v>
      </c>
      <c r="AF933" s="346">
        <v>7210</v>
      </c>
      <c r="AG933" s="346">
        <v>7540</v>
      </c>
      <c r="AH933" s="301">
        <v>5730</v>
      </c>
      <c r="AI933" s="301">
        <f t="shared" ref="AI933:AI937" si="87">AH933/AC933-1</f>
        <v>0</v>
      </c>
      <c r="AJ933" s="301">
        <v>6360</v>
      </c>
      <c r="AK933" s="301">
        <f t="shared" ref="AK933:AK937" si="88">AJ933/AD933-1</f>
        <v>0</v>
      </c>
      <c r="AL933" s="301">
        <v>6720</v>
      </c>
      <c r="AM933" s="301">
        <f t="shared" ref="AM933:AM937" si="89">AL933/AE933-1</f>
        <v>0</v>
      </c>
      <c r="AN933" s="301">
        <v>7210</v>
      </c>
      <c r="AO933" s="301">
        <f t="shared" ref="AO933:AO937" si="90">AN933/AF933-1</f>
        <v>0</v>
      </c>
      <c r="AP933" s="301">
        <v>7540</v>
      </c>
      <c r="AQ933" s="301">
        <f t="shared" ref="AQ933:AQ937" si="91">AP933/AG933-1</f>
        <v>0</v>
      </c>
    </row>
    <row r="934" spans="1:46" ht="35.1" customHeight="1">
      <c r="A934" s="8"/>
      <c r="B934" s="16" t="s">
        <v>35</v>
      </c>
      <c r="C934" s="17"/>
      <c r="D934" s="18">
        <f t="shared" si="77"/>
        <v>5541.666666666667</v>
      </c>
      <c r="E934" s="69">
        <f t="shared" si="78"/>
        <v>6650</v>
      </c>
      <c r="F934" s="18">
        <f t="shared" si="79"/>
        <v>6150</v>
      </c>
      <c r="G934" s="69">
        <f t="shared" si="80"/>
        <v>7380</v>
      </c>
      <c r="H934" s="18">
        <f t="shared" si="81"/>
        <v>6483.3333333333339</v>
      </c>
      <c r="I934" s="69">
        <f t="shared" si="82"/>
        <v>7780</v>
      </c>
      <c r="J934" s="18">
        <f t="shared" si="83"/>
        <v>7125</v>
      </c>
      <c r="K934" s="69">
        <f t="shared" si="84"/>
        <v>8550</v>
      </c>
      <c r="L934" s="18">
        <f t="shared" si="85"/>
        <v>7466.666666666667</v>
      </c>
      <c r="M934" s="69">
        <f t="shared" si="86"/>
        <v>8960</v>
      </c>
      <c r="N934" s="108"/>
      <c r="O934" s="20"/>
      <c r="P934" s="108"/>
      <c r="Q934" s="108"/>
      <c r="R934" s="108"/>
      <c r="S934" s="20"/>
      <c r="T934" s="108"/>
      <c r="U934" s="20"/>
      <c r="V934" s="108"/>
      <c r="W934" s="20"/>
      <c r="X934" s="22"/>
      <c r="Y934" s="22"/>
      <c r="Z934" s="22"/>
      <c r="AA934" s="22"/>
      <c r="AB934" s="22"/>
      <c r="AC934" s="346">
        <v>6650</v>
      </c>
      <c r="AD934" s="413">
        <v>7380</v>
      </c>
      <c r="AE934" s="346">
        <v>7780</v>
      </c>
      <c r="AF934" s="346">
        <v>8550</v>
      </c>
      <c r="AG934" s="346">
        <v>8960</v>
      </c>
      <c r="AH934" s="301">
        <v>6650</v>
      </c>
      <c r="AI934" s="301">
        <f t="shared" si="87"/>
        <v>0</v>
      </c>
      <c r="AJ934" s="301">
        <v>7380</v>
      </c>
      <c r="AK934" s="301">
        <f t="shared" si="88"/>
        <v>0</v>
      </c>
      <c r="AL934" s="301">
        <v>7780</v>
      </c>
      <c r="AM934" s="301">
        <f t="shared" si="89"/>
        <v>0</v>
      </c>
      <c r="AN934" s="301">
        <v>8550</v>
      </c>
      <c r="AO934" s="301">
        <f t="shared" si="90"/>
        <v>0</v>
      </c>
      <c r="AP934" s="301">
        <v>8960</v>
      </c>
      <c r="AQ934" s="301">
        <f t="shared" si="91"/>
        <v>0</v>
      </c>
    </row>
    <row r="935" spans="1:46" ht="35.1" customHeight="1">
      <c r="A935" s="8"/>
      <c r="B935" s="16" t="s">
        <v>7</v>
      </c>
      <c r="C935" s="17"/>
      <c r="D935" s="18">
        <f t="shared" si="77"/>
        <v>6075</v>
      </c>
      <c r="E935" s="69">
        <f t="shared" si="78"/>
        <v>7290</v>
      </c>
      <c r="F935" s="18">
        <f t="shared" si="79"/>
        <v>6750</v>
      </c>
      <c r="G935" s="69">
        <f t="shared" si="80"/>
        <v>8100</v>
      </c>
      <c r="H935" s="18">
        <f t="shared" si="81"/>
        <v>7183.3333333333339</v>
      </c>
      <c r="I935" s="69">
        <f t="shared" si="82"/>
        <v>8620</v>
      </c>
      <c r="J935" s="18">
        <f t="shared" si="83"/>
        <v>7908.3333333333339</v>
      </c>
      <c r="K935" s="69">
        <f t="shared" si="84"/>
        <v>9490</v>
      </c>
      <c r="L935" s="18">
        <f t="shared" si="85"/>
        <v>8366.6666666666679</v>
      </c>
      <c r="M935" s="69">
        <f t="shared" si="86"/>
        <v>10040.000000000002</v>
      </c>
      <c r="N935" s="108"/>
      <c r="O935" s="20"/>
      <c r="P935" s="108"/>
      <c r="Q935" s="108"/>
      <c r="R935" s="108"/>
      <c r="S935" s="20"/>
      <c r="T935" s="108"/>
      <c r="U935" s="20"/>
      <c r="V935" s="108"/>
      <c r="W935" s="20"/>
      <c r="X935" s="22"/>
      <c r="Y935" s="22"/>
      <c r="Z935" s="22"/>
      <c r="AA935" s="22"/>
      <c r="AB935" s="22"/>
      <c r="AC935" s="346">
        <v>7290</v>
      </c>
      <c r="AD935" s="413">
        <v>8100</v>
      </c>
      <c r="AE935" s="346">
        <v>8620</v>
      </c>
      <c r="AF935" s="346">
        <v>9490</v>
      </c>
      <c r="AG935" s="346">
        <v>10040</v>
      </c>
      <c r="AH935" s="301">
        <v>7290</v>
      </c>
      <c r="AI935" s="301">
        <f t="shared" si="87"/>
        <v>0</v>
      </c>
      <c r="AJ935" s="301">
        <v>8100</v>
      </c>
      <c r="AK935" s="301">
        <f t="shared" si="88"/>
        <v>0</v>
      </c>
      <c r="AL935" s="301">
        <v>8620</v>
      </c>
      <c r="AM935" s="301">
        <f t="shared" si="89"/>
        <v>0</v>
      </c>
      <c r="AN935" s="301">
        <v>9490</v>
      </c>
      <c r="AO935" s="301">
        <f t="shared" si="90"/>
        <v>0</v>
      </c>
      <c r="AP935" s="301">
        <v>10040</v>
      </c>
      <c r="AQ935" s="301">
        <f t="shared" si="91"/>
        <v>0</v>
      </c>
    </row>
    <row r="936" spans="1:46" ht="35.1" customHeight="1">
      <c r="A936" s="8"/>
      <c r="B936" s="16" t="s">
        <v>11</v>
      </c>
      <c r="C936" s="17"/>
      <c r="D936" s="18">
        <f t="shared" si="77"/>
        <v>5541.666666666667</v>
      </c>
      <c r="E936" s="69">
        <f t="shared" si="78"/>
        <v>6650</v>
      </c>
      <c r="F936" s="18">
        <f t="shared" si="79"/>
        <v>6150</v>
      </c>
      <c r="G936" s="69">
        <f t="shared" si="80"/>
        <v>7380</v>
      </c>
      <c r="H936" s="18">
        <f t="shared" si="81"/>
        <v>6483.3333333333339</v>
      </c>
      <c r="I936" s="69">
        <f t="shared" si="82"/>
        <v>7780</v>
      </c>
      <c r="J936" s="18">
        <f t="shared" si="83"/>
        <v>7125</v>
      </c>
      <c r="K936" s="69">
        <f t="shared" si="84"/>
        <v>8550</v>
      </c>
      <c r="L936" s="18">
        <f t="shared" si="85"/>
        <v>7466.666666666667</v>
      </c>
      <c r="M936" s="69">
        <f t="shared" si="86"/>
        <v>8960</v>
      </c>
      <c r="N936" s="108"/>
      <c r="O936" s="20"/>
      <c r="P936" s="108"/>
      <c r="Q936" s="108"/>
      <c r="R936" s="108"/>
      <c r="S936" s="20"/>
      <c r="T936" s="108"/>
      <c r="U936" s="20"/>
      <c r="V936" s="108"/>
      <c r="W936" s="20"/>
      <c r="X936" s="22"/>
      <c r="Y936" s="22"/>
      <c r="Z936" s="22"/>
      <c r="AA936" s="22"/>
      <c r="AB936" s="22"/>
      <c r="AC936" s="346">
        <v>6650</v>
      </c>
      <c r="AD936" s="413">
        <v>7380</v>
      </c>
      <c r="AE936" s="346">
        <v>7780</v>
      </c>
      <c r="AF936" s="346">
        <v>8550</v>
      </c>
      <c r="AG936" s="346">
        <v>8960</v>
      </c>
      <c r="AH936" s="301">
        <v>6650</v>
      </c>
      <c r="AI936" s="301">
        <f t="shared" si="87"/>
        <v>0</v>
      </c>
      <c r="AJ936" s="301">
        <v>7380</v>
      </c>
      <c r="AK936" s="301">
        <f t="shared" si="88"/>
        <v>0</v>
      </c>
      <c r="AL936" s="301">
        <v>7780</v>
      </c>
      <c r="AM936" s="301">
        <f t="shared" si="89"/>
        <v>0</v>
      </c>
      <c r="AN936" s="301">
        <v>8550</v>
      </c>
      <c r="AO936" s="301">
        <f t="shared" si="90"/>
        <v>0</v>
      </c>
      <c r="AP936" s="301">
        <v>8960</v>
      </c>
      <c r="AQ936" s="301">
        <f t="shared" si="91"/>
        <v>0</v>
      </c>
    </row>
    <row r="937" spans="1:46" ht="35.1" customHeight="1">
      <c r="A937" s="8"/>
      <c r="B937" s="23" t="s">
        <v>12</v>
      </c>
      <c r="C937" s="24"/>
      <c r="D937" s="25">
        <f t="shared" si="77"/>
        <v>5541.666666666667</v>
      </c>
      <c r="E937" s="72">
        <f t="shared" si="78"/>
        <v>6650</v>
      </c>
      <c r="F937" s="25">
        <f t="shared" si="79"/>
        <v>6150</v>
      </c>
      <c r="G937" s="72">
        <f t="shared" si="80"/>
        <v>7380</v>
      </c>
      <c r="H937" s="25">
        <f t="shared" si="81"/>
        <v>6500</v>
      </c>
      <c r="I937" s="72">
        <f t="shared" si="82"/>
        <v>7800</v>
      </c>
      <c r="J937" s="25">
        <f t="shared" si="83"/>
        <v>7125</v>
      </c>
      <c r="K937" s="72">
        <f t="shared" si="84"/>
        <v>8550</v>
      </c>
      <c r="L937" s="25">
        <f t="shared" si="85"/>
        <v>7466.666666666667</v>
      </c>
      <c r="M937" s="72">
        <f t="shared" si="86"/>
        <v>8960</v>
      </c>
      <c r="N937" s="108"/>
      <c r="O937" s="20"/>
      <c r="P937" s="108"/>
      <c r="Q937" s="108"/>
      <c r="R937" s="108"/>
      <c r="S937" s="20"/>
      <c r="T937" s="108"/>
      <c r="U937" s="20"/>
      <c r="V937" s="108"/>
      <c r="W937" s="20"/>
      <c r="X937" s="22"/>
      <c r="Y937" s="22"/>
      <c r="Z937" s="22"/>
      <c r="AA937" s="22"/>
      <c r="AB937" s="22"/>
      <c r="AC937" s="346">
        <v>6650</v>
      </c>
      <c r="AD937" s="413">
        <v>7380</v>
      </c>
      <c r="AE937" s="346">
        <v>7800</v>
      </c>
      <c r="AF937" s="346">
        <v>8550</v>
      </c>
      <c r="AG937" s="346">
        <v>8960</v>
      </c>
      <c r="AH937" s="301">
        <v>6650</v>
      </c>
      <c r="AI937" s="301">
        <f t="shared" si="87"/>
        <v>0</v>
      </c>
      <c r="AJ937" s="301">
        <v>7380</v>
      </c>
      <c r="AK937" s="301">
        <f t="shared" si="88"/>
        <v>0</v>
      </c>
      <c r="AL937" s="301">
        <v>7800</v>
      </c>
      <c r="AM937" s="301">
        <f t="shared" si="89"/>
        <v>0</v>
      </c>
      <c r="AN937" s="301">
        <v>8550</v>
      </c>
      <c r="AO937" s="301">
        <f t="shared" si="90"/>
        <v>0</v>
      </c>
      <c r="AP937" s="301">
        <v>8960</v>
      </c>
      <c r="AQ937" s="301">
        <f t="shared" si="91"/>
        <v>0</v>
      </c>
    </row>
    <row r="938" spans="1:46">
      <c r="C938" s="26"/>
      <c r="D938" s="26"/>
      <c r="E938" s="60"/>
      <c r="F938" s="26"/>
      <c r="G938" s="60"/>
      <c r="H938" s="5"/>
      <c r="P938" s="108"/>
      <c r="Q938" s="108"/>
      <c r="AN938" s="323"/>
    </row>
    <row r="939" spans="1:46">
      <c r="B939" s="220" t="str">
        <f>IF($C$1="ENG","For additonal charge:","Послуги за додаткову плату:")</f>
        <v>Послуги за додаткову плату:</v>
      </c>
      <c r="C939" s="221"/>
      <c r="D939" s="221"/>
      <c r="E939" s="222"/>
      <c r="F939" s="26"/>
      <c r="G939" s="60"/>
      <c r="H939" s="10"/>
      <c r="I939" s="8"/>
      <c r="J939" s="8"/>
      <c r="K939" s="8"/>
      <c r="P939" s="108"/>
      <c r="Q939" s="108"/>
    </row>
    <row r="940" spans="1:46" ht="5.0999999999999996" customHeight="1">
      <c r="B940" s="27"/>
      <c r="C940" s="26"/>
      <c r="D940" s="26"/>
      <c r="E940" s="60"/>
      <c r="F940" s="26"/>
      <c r="G940" s="26"/>
      <c r="H940" s="10"/>
      <c r="I940" s="8"/>
      <c r="J940" s="8"/>
      <c r="K940" s="8"/>
    </row>
    <row r="941" spans="1:46">
      <c r="B941" s="446" t="str">
        <f>IF($C$1="ENG","door leaf with width 100","полотно розміром 100")</f>
        <v>полотно розміром 100</v>
      </c>
      <c r="C941" s="447"/>
      <c r="D941" s="136">
        <f t="shared" ref="D941:D951" si="92">IF(AC941="","",(1-$W$2)*(AC941/1.2))</f>
        <v>600</v>
      </c>
      <c r="E941" s="96">
        <f t="shared" ref="E941:E950" si="93">IF($W$5=0.2,D941*1.2,D941)/$W$4</f>
        <v>720</v>
      </c>
      <c r="F941" s="26"/>
      <c r="G941" s="26"/>
      <c r="H941" s="10"/>
      <c r="I941" s="8"/>
      <c r="J941" s="8"/>
      <c r="K941" s="8"/>
      <c r="AC941" s="301">
        <v>720</v>
      </c>
      <c r="AD941" s="301">
        <v>720</v>
      </c>
      <c r="AE941" s="301"/>
      <c r="AF941" s="301"/>
      <c r="AG941" s="301"/>
      <c r="AH941" s="301"/>
      <c r="AI941" s="301"/>
      <c r="AJ941" s="301"/>
      <c r="AK941" s="301"/>
      <c r="AL941" s="301"/>
    </row>
    <row r="942" spans="1:46">
      <c r="B942" s="439" t="str">
        <f>IF($C$1="ENG","Ventilation sleeves (1 row)","вентиляційні віддушини (1ряд)")</f>
        <v>вентиляційні віддушини (1ряд)</v>
      </c>
      <c r="C942" s="440"/>
      <c r="D942" s="137">
        <f t="shared" si="92"/>
        <v>208.33333333333334</v>
      </c>
      <c r="E942" s="97">
        <f t="shared" si="93"/>
        <v>250</v>
      </c>
      <c r="F942" s="26"/>
      <c r="G942" s="26"/>
      <c r="I942" s="11"/>
      <c r="J942" s="11"/>
      <c r="K942" s="11"/>
      <c r="AC942" s="301">
        <v>250</v>
      </c>
      <c r="AD942" s="301">
        <v>250</v>
      </c>
      <c r="AE942" s="301"/>
      <c r="AF942" s="301"/>
      <c r="AG942" s="301"/>
      <c r="AH942" s="301"/>
      <c r="AI942" s="301"/>
      <c r="AJ942" s="301"/>
      <c r="AK942" s="301"/>
      <c r="AL942" s="301"/>
    </row>
    <row r="943" spans="1:46">
      <c r="B943" s="446" t="str">
        <f>IF($C$1="ENG","Ventilation cut","вентиляційний підріз")</f>
        <v>вентиляційний підріз</v>
      </c>
      <c r="C943" s="447"/>
      <c r="D943" s="137">
        <f t="shared" si="92"/>
        <v>141.66666666666669</v>
      </c>
      <c r="E943" s="69">
        <f t="shared" si="93"/>
        <v>170.00000000000003</v>
      </c>
      <c r="F943" s="26"/>
      <c r="G943" s="26"/>
      <c r="I943" s="62"/>
      <c r="J943" s="28"/>
      <c r="AC943" s="301">
        <v>170</v>
      </c>
      <c r="AD943" s="301">
        <v>170</v>
      </c>
      <c r="AE943" s="301"/>
      <c r="AF943" s="301"/>
      <c r="AG943" s="301"/>
      <c r="AH943" s="301"/>
      <c r="AI943" s="301"/>
      <c r="AJ943" s="301"/>
      <c r="AK943" s="301"/>
      <c r="AL943" s="301"/>
    </row>
    <row r="944" spans="1:46">
      <c r="B944" s="439" t="str">
        <f>IF($C$1="ENG","glazing Graphite / Bronze","скло Графіт / Бронза")</f>
        <v>скло Графіт / Бронза</v>
      </c>
      <c r="C944" s="440"/>
      <c r="D944" s="106">
        <f t="shared" si="92"/>
        <v>458.33333333333337</v>
      </c>
      <c r="E944" s="97">
        <f t="shared" si="93"/>
        <v>550</v>
      </c>
      <c r="F944" s="26"/>
      <c r="G944" s="26"/>
      <c r="H944" s="5"/>
      <c r="AC944" s="301">
        <v>550</v>
      </c>
      <c r="AD944" s="301">
        <v>550</v>
      </c>
      <c r="AE944" s="301"/>
      <c r="AF944" s="301"/>
      <c r="AG944" s="301"/>
      <c r="AH944" s="301"/>
      <c r="AI944" s="301"/>
      <c r="AJ944" s="301"/>
      <c r="AK944" s="301"/>
      <c r="AL944" s="301"/>
    </row>
    <row r="945" spans="2:38">
      <c r="B945" s="439" t="str">
        <f>IF($C$1="ENG","door lock Soft","замок Soft")</f>
        <v>замок Soft</v>
      </c>
      <c r="C945" s="440"/>
      <c r="D945" s="106">
        <f t="shared" si="92"/>
        <v>458.33333333333337</v>
      </c>
      <c r="E945" s="97">
        <f t="shared" si="93"/>
        <v>550</v>
      </c>
      <c r="F945" s="26"/>
      <c r="G945" s="26"/>
      <c r="H945" s="5"/>
      <c r="AC945" s="301">
        <v>550</v>
      </c>
      <c r="AD945" s="301">
        <v>550</v>
      </c>
      <c r="AE945" s="301"/>
      <c r="AF945" s="301"/>
      <c r="AG945" s="301"/>
      <c r="AH945" s="301"/>
      <c r="AI945" s="301"/>
      <c r="AJ945" s="301"/>
      <c r="AK945" s="301"/>
      <c r="AL945" s="301"/>
    </row>
    <row r="946" spans="2:38">
      <c r="B946" s="439" t="str">
        <f>IF($C$1="ENG","door lock Magnet","замок Magnet")</f>
        <v>замок Magnet</v>
      </c>
      <c r="C946" s="440"/>
      <c r="D946" s="106">
        <f t="shared" si="92"/>
        <v>666.66666666666674</v>
      </c>
      <c r="E946" s="97">
        <f t="shared" si="93"/>
        <v>800.00000000000011</v>
      </c>
      <c r="F946" s="26"/>
      <c r="G946" s="26"/>
      <c r="H946" s="5"/>
      <c r="AC946" s="301">
        <v>800</v>
      </c>
      <c r="AD946" s="301">
        <v>800</v>
      </c>
      <c r="AE946" s="301"/>
      <c r="AF946" s="301"/>
      <c r="AG946" s="301"/>
      <c r="AH946" s="301"/>
      <c r="AI946" s="301"/>
      <c r="AJ946" s="301"/>
      <c r="AK946" s="301"/>
      <c r="AL946" s="301"/>
    </row>
    <row r="947" spans="2:38">
      <c r="B947" s="439" t="str">
        <f>IF($C$1="ENG","door handle-lock (for sliding doors)","ручка-замок (для дверей купе)")</f>
        <v>ручка-замок (для дверей купе)</v>
      </c>
      <c r="C947" s="440"/>
      <c r="D947" s="137">
        <f t="shared" si="92"/>
        <v>466.66666666666669</v>
      </c>
      <c r="E947" s="97">
        <f t="shared" si="93"/>
        <v>560</v>
      </c>
      <c r="F947" s="26"/>
      <c r="G947" s="26"/>
      <c r="I947" s="11"/>
      <c r="J947" s="11"/>
      <c r="K947" s="19"/>
      <c r="AC947" s="301">
        <v>560</v>
      </c>
      <c r="AD947" s="301">
        <v>560</v>
      </c>
      <c r="AE947" s="301"/>
      <c r="AF947" s="301"/>
      <c r="AG947" s="301"/>
      <c r="AH947" s="301"/>
      <c r="AI947" s="301"/>
      <c r="AJ947" s="301"/>
      <c r="AK947" s="301"/>
      <c r="AL947" s="301"/>
    </row>
    <row r="948" spans="2:38">
      <c r="B948" s="439" t="str">
        <f>IF($C$1="ENG","cylinder incert","циліндр несиметричний")</f>
        <v>циліндр несиметричний</v>
      </c>
      <c r="C948" s="440"/>
      <c r="D948" s="137">
        <f t="shared" si="92"/>
        <v>316.66666666666669</v>
      </c>
      <c r="E948" s="97">
        <f t="shared" si="93"/>
        <v>380</v>
      </c>
      <c r="F948" s="26"/>
      <c r="G948" s="26"/>
      <c r="AC948" s="301">
        <v>380</v>
      </c>
      <c r="AD948" s="301">
        <v>380</v>
      </c>
      <c r="AE948" s="301"/>
      <c r="AF948" s="301"/>
      <c r="AG948" s="301"/>
      <c r="AH948" s="301"/>
      <c r="AI948" s="301"/>
      <c r="AJ948" s="301"/>
      <c r="AK948" s="301"/>
      <c r="AL948" s="301"/>
    </row>
    <row r="949" spans="2:38">
      <c r="B949" s="439" t="str">
        <f>IF($C$1="ENG","door hindge Prestige (1 unit)","завіса Prestige (1 шт)")</f>
        <v>завіса Prestige (1 шт)</v>
      </c>
      <c r="C949" s="440"/>
      <c r="D949" s="139">
        <f t="shared" si="92"/>
        <v>216.66666666666669</v>
      </c>
      <c r="E949" s="97">
        <f t="shared" si="93"/>
        <v>260</v>
      </c>
      <c r="F949" s="26"/>
      <c r="G949" s="26"/>
      <c r="AC949" s="301">
        <v>260</v>
      </c>
      <c r="AD949" s="301">
        <v>260</v>
      </c>
      <c r="AE949" s="301"/>
      <c r="AF949" s="301"/>
      <c r="AG949" s="301"/>
      <c r="AH949" s="301"/>
      <c r="AI949" s="301"/>
      <c r="AJ949" s="301"/>
      <c r="AK949" s="301"/>
      <c r="AL949" s="301"/>
    </row>
    <row r="950" spans="2:38">
      <c r="B950" s="439" t="str">
        <f>IF($C$1="ENG","door hinge caps (1 set)","накладка на завіси (1 к-т)")</f>
        <v>накладка на завіси (1 к-т)</v>
      </c>
      <c r="C950" s="440"/>
      <c r="D950" s="139">
        <f t="shared" si="92"/>
        <v>66.666666666666671</v>
      </c>
      <c r="E950" s="97">
        <f t="shared" si="93"/>
        <v>80</v>
      </c>
      <c r="F950" s="26"/>
      <c r="G950" s="26"/>
      <c r="AC950" s="301">
        <v>80</v>
      </c>
      <c r="AD950" s="301">
        <v>80</v>
      </c>
      <c r="AE950" s="301"/>
      <c r="AF950" s="301"/>
      <c r="AG950" s="301"/>
      <c r="AH950" s="301"/>
      <c r="AI950" s="301"/>
      <c r="AJ950" s="301"/>
      <c r="AK950" s="301"/>
      <c r="AL950" s="301"/>
    </row>
    <row r="951" spans="2:38">
      <c r="B951" s="439" t="str">
        <f>IF($C$1="ENG","door handle","дверна ручка")</f>
        <v>дверна ручка</v>
      </c>
      <c r="C951" s="440"/>
      <c r="D951" s="138" t="str">
        <f t="shared" si="92"/>
        <v/>
      </c>
      <c r="E951" s="256" t="str">
        <f>IF($C$1="ENG","see Handles Price","див. Таблицю Ручки")</f>
        <v>див. Таблицю Ручки</v>
      </c>
      <c r="F951" s="26"/>
      <c r="G951" s="26"/>
      <c r="AC951" s="301"/>
      <c r="AD951" s="301"/>
      <c r="AE951" s="301"/>
      <c r="AF951" s="301"/>
      <c r="AG951" s="301"/>
      <c r="AH951" s="301"/>
      <c r="AI951" s="301"/>
      <c r="AJ951" s="301"/>
      <c r="AK951" s="301"/>
      <c r="AL951" s="301"/>
    </row>
    <row r="952" spans="2:38" ht="14.25" customHeight="1">
      <c r="C952" s="26"/>
      <c r="D952" s="26"/>
      <c r="E952" s="26"/>
      <c r="F952" s="26"/>
      <c r="G952" s="26"/>
      <c r="H952" s="5"/>
      <c r="T952" s="460" t="str">
        <f>IF($C$1="ENG",CONCATENATE("down to: ",B1002),CONCATENATE("вниз до: ",B1002))</f>
        <v>вниз до: Полотна збірні: МІРА</v>
      </c>
      <c r="U952" s="460"/>
      <c r="V952" s="460"/>
      <c r="W952" s="460"/>
    </row>
    <row r="953" spans="2:38" ht="14.25" customHeight="1">
      <c r="C953" s="26"/>
      <c r="D953" s="26"/>
      <c r="E953" s="26"/>
      <c r="F953" s="26"/>
      <c r="G953" s="26"/>
      <c r="H953" s="5"/>
      <c r="T953" s="119"/>
      <c r="U953" s="119"/>
      <c r="V953" s="119"/>
      <c r="W953" s="119"/>
    </row>
    <row r="954" spans="2:38" ht="14.25" customHeight="1">
      <c r="C954" s="26"/>
      <c r="D954" s="26"/>
      <c r="E954" s="26"/>
      <c r="F954" s="26"/>
      <c r="G954" s="26"/>
      <c r="H954" s="5"/>
      <c r="T954" s="119"/>
      <c r="U954" s="119"/>
      <c r="V954" s="119"/>
      <c r="W954" s="119"/>
    </row>
    <row r="955" spans="2:38" ht="14.25" customHeight="1">
      <c r="C955" s="26"/>
      <c r="D955" s="26"/>
      <c r="E955" s="26"/>
      <c r="F955" s="26"/>
      <c r="G955" s="26"/>
      <c r="H955" s="5"/>
      <c r="T955" s="119"/>
      <c r="U955" s="119"/>
      <c r="V955" s="119"/>
      <c r="W955" s="119"/>
    </row>
    <row r="956" spans="2:38" ht="14.25" customHeight="1">
      <c r="C956" s="26"/>
      <c r="D956" s="26"/>
      <c r="E956" s="26"/>
      <c r="F956" s="26"/>
      <c r="G956" s="26"/>
      <c r="H956" s="5"/>
      <c r="T956" s="119"/>
      <c r="U956" s="119"/>
      <c r="V956" s="119"/>
      <c r="W956" s="119"/>
    </row>
    <row r="957" spans="2:38" ht="14.25" customHeight="1">
      <c r="C957" s="26"/>
      <c r="D957" s="26"/>
      <c r="E957" s="26"/>
      <c r="F957" s="26"/>
      <c r="G957" s="26"/>
      <c r="H957" s="5"/>
      <c r="T957" s="119"/>
      <c r="U957" s="119"/>
      <c r="V957" s="119"/>
      <c r="W957" s="119"/>
    </row>
    <row r="958" spans="2:38" ht="14.25" customHeight="1">
      <c r="C958" s="26"/>
      <c r="D958" s="26"/>
      <c r="E958" s="26"/>
      <c r="F958" s="26"/>
      <c r="G958" s="26"/>
      <c r="H958" s="5"/>
      <c r="T958" s="119"/>
      <c r="U958" s="119"/>
      <c r="V958" s="119"/>
      <c r="W958" s="119"/>
    </row>
    <row r="959" spans="2:38" ht="14.25" customHeight="1">
      <c r="C959" s="26"/>
      <c r="D959" s="26"/>
      <c r="E959" s="26"/>
      <c r="F959" s="26"/>
      <c r="G959" s="26"/>
      <c r="H959" s="5"/>
      <c r="T959" s="119"/>
      <c r="U959" s="119"/>
      <c r="V959" s="119"/>
      <c r="W959" s="119"/>
    </row>
    <row r="960" spans="2:38" ht="14.25" customHeight="1">
      <c r="C960" s="26"/>
      <c r="D960" s="26"/>
      <c r="E960" s="26"/>
      <c r="F960" s="26"/>
      <c r="G960" s="26"/>
      <c r="H960" s="5"/>
      <c r="T960" s="119"/>
      <c r="U960" s="119"/>
      <c r="V960" s="119"/>
      <c r="W960" s="119"/>
    </row>
    <row r="961" spans="3:23" ht="14.25" customHeight="1">
      <c r="C961" s="26"/>
      <c r="D961" s="26"/>
      <c r="E961" s="26"/>
      <c r="F961" s="26"/>
      <c r="G961" s="26"/>
      <c r="H961" s="5"/>
      <c r="T961" s="119"/>
      <c r="U961" s="119"/>
      <c r="V961" s="119"/>
      <c r="W961" s="119"/>
    </row>
    <row r="962" spans="3:23" ht="14.25" customHeight="1">
      <c r="C962" s="26"/>
      <c r="D962" s="26"/>
      <c r="E962" s="26"/>
      <c r="F962" s="26"/>
      <c r="G962" s="26"/>
      <c r="H962" s="5"/>
      <c r="T962" s="119"/>
      <c r="U962" s="119"/>
      <c r="V962" s="119"/>
      <c r="W962" s="119"/>
    </row>
    <row r="963" spans="3:23" ht="14.25" customHeight="1">
      <c r="C963" s="26"/>
      <c r="D963" s="26"/>
      <c r="E963" s="26"/>
      <c r="F963" s="26"/>
      <c r="G963" s="26"/>
      <c r="H963" s="5"/>
      <c r="T963" s="119"/>
      <c r="U963" s="119"/>
      <c r="V963" s="119"/>
      <c r="W963" s="119"/>
    </row>
    <row r="964" spans="3:23" ht="14.25" customHeight="1">
      <c r="C964" s="26"/>
      <c r="D964" s="26"/>
      <c r="E964" s="26"/>
      <c r="F964" s="26"/>
      <c r="G964" s="26"/>
      <c r="H964" s="5"/>
      <c r="T964" s="119"/>
      <c r="U964" s="119"/>
      <c r="V964" s="119"/>
      <c r="W964" s="119"/>
    </row>
    <row r="965" spans="3:23" ht="14.25" customHeight="1">
      <c r="C965" s="26"/>
      <c r="D965" s="26"/>
      <c r="E965" s="26"/>
      <c r="F965" s="26"/>
      <c r="G965" s="26"/>
      <c r="H965" s="5"/>
      <c r="T965" s="119"/>
      <c r="U965" s="119"/>
      <c r="V965" s="119"/>
      <c r="W965" s="119"/>
    </row>
    <row r="966" spans="3:23" ht="14.25" customHeight="1">
      <c r="C966" s="26"/>
      <c r="D966" s="26"/>
      <c r="E966" s="26"/>
      <c r="F966" s="26"/>
      <c r="G966" s="26"/>
      <c r="H966" s="5"/>
      <c r="T966" s="119"/>
      <c r="U966" s="119"/>
      <c r="V966" s="119"/>
      <c r="W966" s="119"/>
    </row>
    <row r="967" spans="3:23" ht="14.25" customHeight="1">
      <c r="C967" s="26"/>
      <c r="D967" s="26"/>
      <c r="E967" s="26"/>
      <c r="F967" s="26"/>
      <c r="G967" s="26"/>
      <c r="H967" s="5"/>
      <c r="T967" s="119"/>
      <c r="U967" s="119"/>
      <c r="V967" s="119"/>
      <c r="W967" s="119"/>
    </row>
    <row r="968" spans="3:23" ht="14.25" customHeight="1">
      <c r="C968" s="26"/>
      <c r="D968" s="26"/>
      <c r="E968" s="26"/>
      <c r="F968" s="26"/>
      <c r="G968" s="26"/>
      <c r="H968" s="5"/>
      <c r="T968" s="119"/>
      <c r="U968" s="119"/>
      <c r="V968" s="119"/>
      <c r="W968" s="119"/>
    </row>
    <row r="969" spans="3:23" ht="14.25" customHeight="1">
      <c r="C969" s="26"/>
      <c r="D969" s="26"/>
      <c r="E969" s="26"/>
      <c r="F969" s="26"/>
      <c r="G969" s="26"/>
      <c r="H969" s="5"/>
      <c r="T969" s="119"/>
      <c r="U969" s="119"/>
      <c r="V969" s="119"/>
      <c r="W969" s="119"/>
    </row>
    <row r="970" spans="3:23" ht="14.25" customHeight="1">
      <c r="C970" s="26"/>
      <c r="D970" s="26"/>
      <c r="E970" s="26"/>
      <c r="F970" s="26"/>
      <c r="G970" s="26"/>
      <c r="H970" s="5"/>
      <c r="T970" s="119"/>
      <c r="U970" s="119"/>
      <c r="V970" s="119"/>
      <c r="W970" s="119"/>
    </row>
    <row r="971" spans="3:23" ht="14.25" customHeight="1">
      <c r="C971" s="26"/>
      <c r="D971" s="26"/>
      <c r="E971" s="26"/>
      <c r="F971" s="26"/>
      <c r="G971" s="26"/>
      <c r="H971" s="5"/>
      <c r="T971" s="119"/>
      <c r="U971" s="119"/>
      <c r="V971" s="119"/>
      <c r="W971" s="119"/>
    </row>
    <row r="972" spans="3:23" ht="14.25" customHeight="1">
      <c r="C972" s="26"/>
      <c r="D972" s="26"/>
      <c r="E972" s="26"/>
      <c r="F972" s="26"/>
      <c r="G972" s="26"/>
      <c r="H972" s="5"/>
      <c r="T972" s="119"/>
      <c r="U972" s="119"/>
      <c r="V972" s="119"/>
      <c r="W972" s="119"/>
    </row>
    <row r="973" spans="3:23" ht="14.25" customHeight="1">
      <c r="C973" s="26"/>
      <c r="D973" s="26"/>
      <c r="E973" s="26"/>
      <c r="F973" s="26"/>
      <c r="G973" s="26"/>
      <c r="H973" s="5"/>
      <c r="T973" s="119"/>
      <c r="U973" s="119"/>
      <c r="V973" s="119"/>
      <c r="W973" s="119"/>
    </row>
    <row r="974" spans="3:23" ht="14.25" customHeight="1">
      <c r="C974" s="26"/>
      <c r="D974" s="26"/>
      <c r="E974" s="26"/>
      <c r="F974" s="26"/>
      <c r="G974" s="26"/>
      <c r="H974" s="5"/>
      <c r="T974" s="119"/>
      <c r="U974" s="119"/>
      <c r="V974" s="119"/>
      <c r="W974" s="119"/>
    </row>
    <row r="975" spans="3:23" ht="14.25" customHeight="1">
      <c r="C975" s="26"/>
      <c r="D975" s="26"/>
      <c r="E975" s="26"/>
      <c r="F975" s="26"/>
      <c r="G975" s="26"/>
      <c r="H975" s="5"/>
      <c r="T975" s="119"/>
      <c r="U975" s="119"/>
      <c r="V975" s="119"/>
      <c r="W975" s="119"/>
    </row>
    <row r="976" spans="3:23" ht="14.25" customHeight="1">
      <c r="C976" s="26"/>
      <c r="D976" s="26"/>
      <c r="E976" s="26"/>
      <c r="F976" s="26"/>
      <c r="G976" s="26"/>
      <c r="H976" s="5"/>
      <c r="T976" s="119"/>
      <c r="U976" s="119"/>
      <c r="V976" s="119"/>
      <c r="W976" s="119"/>
    </row>
    <row r="977" spans="3:23" ht="14.25" customHeight="1">
      <c r="C977" s="26"/>
      <c r="D977" s="26"/>
      <c r="E977" s="26"/>
      <c r="F977" s="26"/>
      <c r="G977" s="26"/>
      <c r="H977" s="5"/>
      <c r="T977" s="119"/>
      <c r="U977" s="119"/>
      <c r="V977" s="119"/>
      <c r="W977" s="119"/>
    </row>
    <row r="978" spans="3:23" ht="14.25" customHeight="1">
      <c r="C978" s="26"/>
      <c r="D978" s="26"/>
      <c r="E978" s="26"/>
      <c r="F978" s="26"/>
      <c r="G978" s="26"/>
      <c r="H978" s="5"/>
      <c r="T978" s="119"/>
      <c r="U978" s="119"/>
      <c r="V978" s="119"/>
      <c r="W978" s="119"/>
    </row>
    <row r="979" spans="3:23" ht="14.25" customHeight="1">
      <c r="C979" s="26"/>
      <c r="D979" s="26"/>
      <c r="E979" s="26"/>
      <c r="F979" s="26"/>
      <c r="G979" s="26"/>
      <c r="H979" s="5"/>
      <c r="T979" s="119"/>
      <c r="U979" s="119"/>
      <c r="V979" s="119"/>
      <c r="W979" s="119"/>
    </row>
    <row r="980" spans="3:23" ht="14.25" customHeight="1">
      <c r="C980" s="26"/>
      <c r="D980" s="26"/>
      <c r="E980" s="26"/>
      <c r="F980" s="26"/>
      <c r="G980" s="26"/>
      <c r="H980" s="5"/>
      <c r="T980" s="119"/>
      <c r="U980" s="119"/>
      <c r="V980" s="119"/>
      <c r="W980" s="119"/>
    </row>
    <row r="981" spans="3:23" ht="14.25" customHeight="1">
      <c r="C981" s="26"/>
      <c r="D981" s="26"/>
      <c r="E981" s="26"/>
      <c r="F981" s="26"/>
      <c r="G981" s="26"/>
      <c r="H981" s="5"/>
      <c r="T981" s="119"/>
      <c r="U981" s="119"/>
      <c r="V981" s="119"/>
      <c r="W981" s="119"/>
    </row>
    <row r="982" spans="3:23" ht="14.25" customHeight="1">
      <c r="C982" s="26"/>
      <c r="D982" s="26"/>
      <c r="E982" s="26"/>
      <c r="F982" s="26"/>
      <c r="G982" s="26"/>
      <c r="H982" s="5"/>
      <c r="T982" s="119"/>
      <c r="U982" s="119"/>
      <c r="V982" s="119"/>
      <c r="W982" s="119"/>
    </row>
    <row r="983" spans="3:23" ht="14.25" customHeight="1">
      <c r="C983" s="26"/>
      <c r="D983" s="26"/>
      <c r="E983" s="26"/>
      <c r="F983" s="26"/>
      <c r="G983" s="26"/>
      <c r="H983" s="5"/>
      <c r="T983" s="119"/>
      <c r="U983" s="119"/>
      <c r="V983" s="119"/>
      <c r="W983" s="119"/>
    </row>
    <row r="984" spans="3:23" ht="14.25" customHeight="1">
      <c r="C984" s="26"/>
      <c r="D984" s="26"/>
      <c r="E984" s="26"/>
      <c r="F984" s="26"/>
      <c r="G984" s="26"/>
      <c r="H984" s="5"/>
      <c r="T984" s="119"/>
      <c r="U984" s="119"/>
      <c r="V984" s="119"/>
      <c r="W984" s="119"/>
    </row>
    <row r="985" spans="3:23" ht="14.25" customHeight="1">
      <c r="C985" s="26"/>
      <c r="D985" s="26"/>
      <c r="E985" s="26"/>
      <c r="F985" s="26"/>
      <c r="G985" s="26"/>
      <c r="H985" s="5"/>
      <c r="T985" s="119"/>
      <c r="U985" s="119"/>
      <c r="V985" s="119"/>
      <c r="W985" s="119"/>
    </row>
    <row r="986" spans="3:23" ht="14.25" customHeight="1">
      <c r="C986" s="26"/>
      <c r="D986" s="26"/>
      <c r="E986" s="26"/>
      <c r="F986" s="26"/>
      <c r="G986" s="26"/>
      <c r="H986" s="5"/>
      <c r="T986" s="119"/>
      <c r="U986" s="119"/>
      <c r="V986" s="119"/>
      <c r="W986" s="119"/>
    </row>
    <row r="987" spans="3:23" ht="14.25" customHeight="1">
      <c r="C987" s="26"/>
      <c r="D987" s="26"/>
      <c r="E987" s="26"/>
      <c r="F987" s="26"/>
      <c r="G987" s="26"/>
      <c r="H987" s="5"/>
      <c r="T987" s="119"/>
      <c r="U987" s="119"/>
      <c r="V987" s="119"/>
      <c r="W987" s="119"/>
    </row>
    <row r="988" spans="3:23" ht="14.25" customHeight="1">
      <c r="C988" s="26"/>
      <c r="D988" s="26"/>
      <c r="E988" s="26"/>
      <c r="F988" s="26"/>
      <c r="G988" s="26"/>
      <c r="H988" s="5"/>
      <c r="T988" s="119"/>
      <c r="U988" s="119"/>
      <c r="V988" s="119"/>
      <c r="W988" s="119"/>
    </row>
    <row r="989" spans="3:23" ht="14.25" customHeight="1">
      <c r="C989" s="26"/>
      <c r="D989" s="26"/>
      <c r="E989" s="26"/>
      <c r="F989" s="26"/>
      <c r="G989" s="26"/>
      <c r="H989" s="5"/>
      <c r="T989" s="119"/>
      <c r="U989" s="119"/>
      <c r="V989" s="119"/>
      <c r="W989" s="119"/>
    </row>
    <row r="990" spans="3:23" ht="14.25" customHeight="1">
      <c r="C990" s="26"/>
      <c r="D990" s="26"/>
      <c r="E990" s="26"/>
      <c r="F990" s="26"/>
      <c r="G990" s="26"/>
      <c r="H990" s="5"/>
      <c r="T990" s="119"/>
      <c r="U990" s="119"/>
      <c r="V990" s="119"/>
      <c r="W990" s="119"/>
    </row>
    <row r="991" spans="3:23" ht="14.25" customHeight="1">
      <c r="C991" s="26"/>
      <c r="D991" s="26"/>
      <c r="E991" s="26"/>
      <c r="F991" s="26"/>
      <c r="G991" s="26"/>
      <c r="H991" s="5"/>
      <c r="T991" s="119"/>
      <c r="U991" s="119"/>
      <c r="V991" s="119"/>
      <c r="W991" s="119"/>
    </row>
    <row r="992" spans="3:23" ht="14.25" customHeight="1">
      <c r="C992" s="26"/>
      <c r="D992" s="26"/>
      <c r="E992" s="26"/>
      <c r="F992" s="26"/>
      <c r="G992" s="26"/>
      <c r="H992" s="5"/>
      <c r="T992" s="119"/>
      <c r="U992" s="119"/>
      <c r="V992" s="119"/>
      <c r="W992" s="119"/>
    </row>
    <row r="993" spans="1:46" ht="14.25" customHeight="1">
      <c r="C993" s="26"/>
      <c r="D993" s="26"/>
      <c r="E993" s="26"/>
      <c r="F993" s="26"/>
      <c r="G993" s="26"/>
      <c r="H993" s="5"/>
      <c r="T993" s="119"/>
      <c r="U993" s="119"/>
      <c r="V993" s="119"/>
      <c r="W993" s="119"/>
    </row>
    <row r="994" spans="1:46" ht="14.25" customHeight="1">
      <c r="C994" s="26"/>
      <c r="D994" s="26"/>
      <c r="E994" s="26"/>
      <c r="F994" s="26"/>
      <c r="G994" s="26"/>
      <c r="H994" s="5"/>
      <c r="T994" s="119"/>
      <c r="U994" s="119"/>
      <c r="V994" s="119"/>
      <c r="W994" s="119"/>
    </row>
    <row r="995" spans="1:46" ht="14.25" customHeight="1">
      <c r="C995" s="26"/>
      <c r="D995" s="26"/>
      <c r="E995" s="26"/>
      <c r="F995" s="26"/>
      <c r="G995" s="26"/>
      <c r="H995" s="5"/>
      <c r="T995" s="119"/>
      <c r="U995" s="119"/>
      <c r="V995" s="119"/>
      <c r="W995" s="119"/>
    </row>
    <row r="996" spans="1:46" ht="14.25" customHeight="1">
      <c r="C996" s="26"/>
      <c r="D996" s="26"/>
      <c r="E996" s="26"/>
      <c r="F996" s="26"/>
      <c r="G996" s="26"/>
      <c r="H996" s="5"/>
      <c r="T996" s="119"/>
      <c r="U996" s="119"/>
      <c r="V996" s="119"/>
      <c r="W996" s="119"/>
    </row>
    <row r="997" spans="1:46" ht="14.25" customHeight="1">
      <c r="C997" s="26"/>
      <c r="D997" s="26"/>
      <c r="E997" s="26"/>
      <c r="F997" s="26"/>
      <c r="G997" s="26"/>
      <c r="H997" s="5"/>
      <c r="T997" s="119"/>
      <c r="U997" s="119"/>
      <c r="V997" s="119"/>
      <c r="W997" s="119"/>
    </row>
    <row r="998" spans="1:46" ht="14.25" customHeight="1">
      <c r="C998" s="26"/>
      <c r="D998" s="26"/>
      <c r="E998" s="26"/>
      <c r="F998" s="26"/>
      <c r="G998" s="26"/>
      <c r="H998" s="5"/>
      <c r="T998" s="119"/>
      <c r="U998" s="119"/>
      <c r="V998" s="119"/>
      <c r="W998" s="119"/>
    </row>
    <row r="999" spans="1:46" ht="14.25" customHeight="1">
      <c r="C999" s="26"/>
      <c r="D999" s="26"/>
      <c r="E999" s="26"/>
      <c r="F999" s="26"/>
      <c r="G999" s="26"/>
      <c r="H999" s="5"/>
      <c r="T999" s="119"/>
      <c r="U999" s="119"/>
      <c r="V999" s="119"/>
      <c r="W999" s="119"/>
    </row>
    <row r="1000" spans="1:46" ht="14.25" customHeight="1">
      <c r="C1000" s="26"/>
      <c r="D1000" s="26"/>
      <c r="E1000" s="26"/>
      <c r="F1000" s="26"/>
      <c r="G1000" s="26"/>
      <c r="H1000" s="5"/>
      <c r="T1000" s="119"/>
      <c r="U1000" s="119"/>
      <c r="V1000" s="119"/>
      <c r="W1000" s="119"/>
    </row>
    <row r="1001" spans="1:46" ht="14.25" customHeight="1">
      <c r="C1001" s="26"/>
      <c r="D1001" s="26"/>
      <c r="E1001" s="26"/>
      <c r="F1001" s="26"/>
      <c r="G1001" s="26"/>
      <c r="H1001" s="5"/>
      <c r="T1001" s="119"/>
      <c r="U1001" s="119"/>
      <c r="V1001" s="119"/>
      <c r="W1001" s="119"/>
      <c r="AF1001" s="301">
        <f>AA1001/100*12+AA1001</f>
        <v>0</v>
      </c>
      <c r="AG1001" s="301" t="e">
        <f>AF1001/AA1001-1</f>
        <v>#DIV/0!</v>
      </c>
    </row>
    <row r="1002" spans="1:46" s="8" customFormat="1">
      <c r="B1002" s="421" t="str">
        <f>TITLE!C21</f>
        <v>Полотна збірні: МІРА</v>
      </c>
      <c r="C1002" s="421"/>
      <c r="D1002" s="122"/>
      <c r="E1002" s="122"/>
      <c r="F1002" s="122"/>
      <c r="G1002" s="122"/>
      <c r="H1002" s="445"/>
      <c r="I1002" s="44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419" t="str">
        <f>IF($C$1="ENG",CONCATENATE("up to: ",B927),CONCATENATE("вгору до: ",B927))</f>
        <v>вгору до: Полотна збірні: ЛАДА-НОВА</v>
      </c>
      <c r="U1002" s="419"/>
      <c r="V1002" s="419"/>
      <c r="W1002" s="419"/>
      <c r="AN1002" s="291"/>
      <c r="AO1002" s="291"/>
      <c r="AP1002" s="291"/>
      <c r="AQ1002" s="291"/>
      <c r="AR1002" s="291"/>
      <c r="AS1002" s="291"/>
      <c r="AT1002" s="291"/>
    </row>
    <row r="1003" spans="1:46" s="8" customFormat="1" ht="5.0999999999999996" customHeight="1">
      <c r="B1003" s="121"/>
      <c r="C1003" s="121"/>
      <c r="D1003" s="9"/>
      <c r="E1003" s="9"/>
      <c r="F1003" s="9"/>
      <c r="G1003" s="9"/>
      <c r="H1003" s="124"/>
      <c r="I1003" s="124"/>
      <c r="T1003" s="119"/>
      <c r="U1003" s="119"/>
      <c r="V1003" s="119"/>
      <c r="W1003" s="119"/>
      <c r="AN1003" s="291"/>
      <c r="AO1003" s="291"/>
      <c r="AP1003" s="291"/>
      <c r="AQ1003" s="291"/>
      <c r="AR1003" s="291"/>
      <c r="AS1003" s="291"/>
      <c r="AT1003" s="291"/>
    </row>
    <row r="1004" spans="1:46" s="8" customFormat="1" ht="12.75" customHeight="1">
      <c r="B1004" s="448" t="str">
        <f>IF($C$1="ENG","model","модель")</f>
        <v>модель</v>
      </c>
      <c r="C1004" s="126" t="str">
        <f>IF($C$1="ENG","cover:","покриття:")</f>
        <v>покриття:</v>
      </c>
      <c r="D1004" s="430" t="str">
        <f>IF($C$1="ENG","Verto-CELL","Verto-CELL")</f>
        <v>Verto-CELL</v>
      </c>
      <c r="E1004" s="432"/>
      <c r="F1004" s="430" t="str">
        <f>IF($C$1="ENG","UNI-MAT","UNI-MAT")</f>
        <v>UNI-MAT</v>
      </c>
      <c r="G1004" s="432"/>
      <c r="H1004" s="430" t="str">
        <f>IF($C$1="ENG","RESIST","RESIST")</f>
        <v>RESIST</v>
      </c>
      <c r="I1004" s="432"/>
      <c r="J1004" s="430" t="str">
        <f>IF($C$1="ENG","Verto LINE-3D","Verto LINE-3D")</f>
        <v>Verto LINE-3D</v>
      </c>
      <c r="K1004" s="432"/>
      <c r="L1004" s="430" t="str">
        <f>IF($C$1="ENG","ECO Shpon","ЕКО Шпон")</f>
        <v>ЕКО Шпон</v>
      </c>
      <c r="M1004" s="432"/>
      <c r="P1004" s="1"/>
      <c r="Q1004" s="1"/>
      <c r="T1004" s="119"/>
      <c r="U1004" s="119"/>
      <c r="V1004" s="119"/>
      <c r="W1004" s="119"/>
      <c r="AN1004" s="291"/>
      <c r="AO1004" s="291"/>
      <c r="AP1004" s="291"/>
      <c r="AQ1004" s="291"/>
      <c r="AR1004" s="291"/>
      <c r="AS1004" s="291"/>
      <c r="AT1004" s="291"/>
    </row>
    <row r="1005" spans="1:46" s="8" customFormat="1" ht="24" customHeight="1">
      <c r="B1005" s="449"/>
      <c r="C1005" s="127" t="str">
        <f>IF($C$1="ENG","filling:","заповнення:")</f>
        <v>заповнення:</v>
      </c>
      <c r="D1005" s="441" t="str">
        <f>IF($C$1="ENG","softwood","клеєний сосновий брус")</f>
        <v>клеєний сосновий брус</v>
      </c>
      <c r="E1005" s="442"/>
      <c r="F1005" s="441" t="str">
        <f>IF($C$1="ENG","softwood","клеєний сосновий брус")</f>
        <v>клеєний сосновий брус</v>
      </c>
      <c r="G1005" s="442"/>
      <c r="H1005" s="441" t="str">
        <f>IF($C$1="ENG","softwood","клеєний сосновий брус")</f>
        <v>клеєний сосновий брус</v>
      </c>
      <c r="I1005" s="442"/>
      <c r="J1005" s="441" t="str">
        <f>IF($C$1="ENG","softwood","клеєний сосновий брус")</f>
        <v>клеєний сосновий брус</v>
      </c>
      <c r="K1005" s="442"/>
      <c r="L1005" s="441" t="str">
        <f>IF($C$1="ENG","softwood","клеєний сосновий брус")</f>
        <v>клеєний сосновий брус</v>
      </c>
      <c r="M1005" s="442"/>
      <c r="P1005" s="1"/>
      <c r="Q1005" s="1"/>
      <c r="T1005" s="119"/>
      <c r="U1005" s="119"/>
      <c r="V1005" s="119"/>
      <c r="W1005" s="119"/>
      <c r="AD1005" s="405">
        <f>AD1007/AC1007-1</f>
        <v>0.13956834532374107</v>
      </c>
      <c r="AE1005" s="405">
        <f>AE1007/AD1007-1</f>
        <v>4.4191919191919116E-2</v>
      </c>
      <c r="AF1005" s="405">
        <f>AF1007/AE1007-1</f>
        <v>7.3760580411124543E-2</v>
      </c>
      <c r="AG1005" s="405">
        <f>AG1007/AF1007-1</f>
        <v>4.8423423423423317E-2</v>
      </c>
      <c r="AH1005" s="8">
        <v>6200</v>
      </c>
      <c r="AI1005" s="8">
        <v>7380</v>
      </c>
      <c r="AJ1005" s="8">
        <v>7930</v>
      </c>
      <c r="AK1005" s="8">
        <v>8310</v>
      </c>
      <c r="AN1005" s="291"/>
      <c r="AO1005" s="291"/>
      <c r="AP1005" s="291"/>
      <c r="AQ1005" s="291"/>
      <c r="AR1005" s="291"/>
      <c r="AS1005" s="291"/>
      <c r="AT1005" s="291"/>
    </row>
    <row r="1006" spans="1:46" ht="12.75" customHeight="1">
      <c r="A1006" s="8"/>
      <c r="B1006" s="450"/>
      <c r="C1006" s="128" t="str">
        <f>IF($C$1="ENG","glazing:","скління:")</f>
        <v>скління:</v>
      </c>
      <c r="D1006" s="424" t="str">
        <f>IF($C$1="ENG","Satin","Сатин")</f>
        <v>Сатин</v>
      </c>
      <c r="E1006" s="434"/>
      <c r="F1006" s="424" t="str">
        <f>IF($C$1="ENG","Satin","Сатин")</f>
        <v>Сатин</v>
      </c>
      <c r="G1006" s="434"/>
      <c r="H1006" s="424" t="str">
        <f>IF($C$1="ENG","Satin","Сатин")</f>
        <v>Сатин</v>
      </c>
      <c r="I1006" s="434"/>
      <c r="J1006" s="424" t="str">
        <f>IF($C$1="ENG","Satin","Сатин")</f>
        <v>Сатин</v>
      </c>
      <c r="K1006" s="434"/>
      <c r="L1006" s="424" t="str">
        <f>IF($C$1="ENG","Satin","Сатин")</f>
        <v>Сатин</v>
      </c>
      <c r="M1006" s="434"/>
    </row>
    <row r="1007" spans="1:46" ht="35.1" customHeight="1">
      <c r="A1007" s="8"/>
      <c r="B1007" s="16" t="s">
        <v>48</v>
      </c>
      <c r="C1007" s="17"/>
      <c r="D1007" s="18">
        <f>IF(AC1007="","",(1-$W$2)*(AC1007/1.2))</f>
        <v>5791.666666666667</v>
      </c>
      <c r="E1007" s="69">
        <f>IF($W$5=0.2,D1007*1.2,D1007)/$W$4</f>
        <v>6950</v>
      </c>
      <c r="F1007" s="18">
        <f>IF(AD1007="","",(1-$W$2)*(AD1007/1.2))</f>
        <v>6600</v>
      </c>
      <c r="G1007" s="69">
        <f>IF($W$5=0.2,F1007*1.2,F1007)/$W$4</f>
        <v>7920</v>
      </c>
      <c r="H1007" s="18">
        <f>IF(AE1007="","",(1-$W$2)*(AE1007/1.2))</f>
        <v>6891.666666666667</v>
      </c>
      <c r="I1007" s="69">
        <f>IF($W$5=0.2,H1007*1.2,H1007)/$W$4</f>
        <v>8270</v>
      </c>
      <c r="J1007" s="18">
        <f>IF(AF1007="","",(1-$W$2)*(AF1007/1.2))</f>
        <v>7400</v>
      </c>
      <c r="K1007" s="69">
        <f>IF($W$5=0.2,J1007*1.2,J1007)/$W$4</f>
        <v>8880</v>
      </c>
      <c r="L1007" s="18">
        <f>IF(AG1007="","",(1-$W$2)*(AG1007/1.2))</f>
        <v>7758.3333333333339</v>
      </c>
      <c r="M1007" s="69">
        <f>IF($W$5=0.2,L1007*1.2,L1007)/$W$4</f>
        <v>9310</v>
      </c>
      <c r="N1007" s="108"/>
      <c r="R1007" s="108"/>
      <c r="T1007" s="108"/>
      <c r="U1007" s="20"/>
      <c r="V1007" s="108"/>
      <c r="W1007" s="20"/>
      <c r="X1007" s="108"/>
      <c r="Y1007" s="108"/>
      <c r="Z1007" s="108"/>
      <c r="AA1007" s="108"/>
      <c r="AB1007" s="108"/>
      <c r="AC1007" s="346">
        <v>6950</v>
      </c>
      <c r="AD1007" s="413">
        <v>7920</v>
      </c>
      <c r="AE1007" s="346">
        <v>8270</v>
      </c>
      <c r="AF1007" s="346">
        <v>8880</v>
      </c>
      <c r="AG1007" s="346">
        <v>9310</v>
      </c>
      <c r="AH1007" s="301">
        <v>6950</v>
      </c>
      <c r="AI1007" s="301">
        <f>AH1007/AC1007-1</f>
        <v>0</v>
      </c>
      <c r="AJ1007" s="301">
        <v>7920</v>
      </c>
      <c r="AK1007" s="301">
        <f>AJ1007/AD1007-1</f>
        <v>0</v>
      </c>
      <c r="AL1007" s="301">
        <v>8270</v>
      </c>
      <c r="AM1007" s="301">
        <f>AL1007/AE1007-1</f>
        <v>0</v>
      </c>
      <c r="AN1007" s="301">
        <v>8880</v>
      </c>
      <c r="AO1007" s="301">
        <f>AN1007/AF1007-1</f>
        <v>0</v>
      </c>
      <c r="AP1007" s="301">
        <v>9310</v>
      </c>
      <c r="AQ1007" s="301">
        <f>AP1007/AG1007-1</f>
        <v>0</v>
      </c>
    </row>
    <row r="1008" spans="1:46" ht="35.1" customHeight="1">
      <c r="A1008" s="8"/>
      <c r="B1008" s="23" t="s">
        <v>49</v>
      </c>
      <c r="C1008" s="24"/>
      <c r="D1008" s="25">
        <f>IF(AC1008="","",(1-$W$2)*(AC1008/1.2))</f>
        <v>5791.666666666667</v>
      </c>
      <c r="E1008" s="72">
        <f>IF($W$5=0.2,D1008*1.2,D1008)/$W$4</f>
        <v>6950</v>
      </c>
      <c r="F1008" s="25">
        <f>IF(AD1008="","",(1-$W$2)*(AD1008/1.2))</f>
        <v>6600</v>
      </c>
      <c r="G1008" s="72">
        <f>IF($W$5=0.2,F1008*1.2,F1008)/$W$4</f>
        <v>7920</v>
      </c>
      <c r="H1008" s="25">
        <f>IF(AE1008="","",(1-$W$2)*(AE1008/1.2))</f>
        <v>6891.666666666667</v>
      </c>
      <c r="I1008" s="72">
        <f>IF($W$5=0.2,H1008*1.2,H1008)/$W$4</f>
        <v>8270</v>
      </c>
      <c r="J1008" s="25">
        <f>IF(AF1008="","",(1-$W$2)*(AF1008/1.2))</f>
        <v>7400</v>
      </c>
      <c r="K1008" s="72">
        <f>IF($W$5=0.2,J1008*1.2,J1008)/$W$4</f>
        <v>8880</v>
      </c>
      <c r="L1008" s="25">
        <f>IF(AG1008="","",(1-$W$2)*(AG1008/1.2))</f>
        <v>7758.3333333333339</v>
      </c>
      <c r="M1008" s="72">
        <f>IF($W$5=0.2,L1008*1.2,L1008)/$W$4</f>
        <v>9310</v>
      </c>
      <c r="N1008" s="108"/>
      <c r="R1008" s="108"/>
      <c r="T1008" s="108"/>
      <c r="U1008" s="20"/>
      <c r="V1008" s="108"/>
      <c r="W1008" s="20"/>
      <c r="X1008" s="108"/>
      <c r="Y1008" s="108"/>
      <c r="Z1008" s="108"/>
      <c r="AA1008" s="108"/>
      <c r="AB1008" s="108"/>
      <c r="AC1008" s="346">
        <v>6950</v>
      </c>
      <c r="AD1008" s="413">
        <v>7920</v>
      </c>
      <c r="AE1008" s="346">
        <v>8270</v>
      </c>
      <c r="AF1008" s="346">
        <v>8880</v>
      </c>
      <c r="AG1008" s="346">
        <v>9310</v>
      </c>
      <c r="AH1008" s="301">
        <v>6950</v>
      </c>
      <c r="AI1008" s="301">
        <f>AH1008/AC1008-1</f>
        <v>0</v>
      </c>
      <c r="AJ1008" s="301">
        <v>7920</v>
      </c>
      <c r="AK1008" s="301">
        <f>AJ1008/AD1008-1</f>
        <v>0</v>
      </c>
      <c r="AL1008" s="301">
        <v>8270</v>
      </c>
      <c r="AM1008" s="301">
        <f>AL1008/AE1008-1</f>
        <v>0</v>
      </c>
      <c r="AN1008" s="301">
        <v>8880</v>
      </c>
      <c r="AO1008" s="301">
        <f>AN1008/AF1008-1</f>
        <v>0</v>
      </c>
      <c r="AP1008" s="301">
        <v>9310</v>
      </c>
      <c r="AQ1008" s="301">
        <f>AP1008/AG1008-1</f>
        <v>0</v>
      </c>
    </row>
    <row r="1009" spans="2:38">
      <c r="C1009" s="26"/>
      <c r="D1009" s="26"/>
      <c r="E1009" s="60"/>
      <c r="F1009" s="26"/>
      <c r="G1009" s="60"/>
      <c r="H1009" s="10"/>
      <c r="I1009" s="8"/>
      <c r="J1009" s="8"/>
      <c r="K1009" s="8"/>
    </row>
    <row r="1010" spans="2:38">
      <c r="B1010" s="220" t="str">
        <f>IF($C$1="ENG","For additonal charge:","Послуги за додаткову плату:")</f>
        <v>Послуги за додаткову плату:</v>
      </c>
      <c r="C1010" s="221"/>
      <c r="D1010" s="221"/>
      <c r="E1010" s="222"/>
      <c r="F1010" s="26"/>
      <c r="G1010" s="60"/>
      <c r="H1010" s="10"/>
      <c r="I1010" s="8"/>
      <c r="J1010" s="8"/>
      <c r="K1010" s="8"/>
    </row>
    <row r="1011" spans="2:38" ht="5.0999999999999996" customHeight="1">
      <c r="B1011" s="27"/>
      <c r="C1011" s="26"/>
      <c r="D1011" s="26"/>
      <c r="E1011" s="60"/>
      <c r="F1011" s="26"/>
      <c r="G1011" s="60"/>
      <c r="H1011" s="10"/>
      <c r="I1011" s="8"/>
      <c r="J1011" s="8"/>
      <c r="K1011" s="8"/>
    </row>
    <row r="1012" spans="2:38">
      <c r="B1012" s="446" t="str">
        <f>IF($C$1="ENG","door leaf with width 100","полотно розміром 100")</f>
        <v>полотно розміром 100</v>
      </c>
      <c r="C1012" s="447"/>
      <c r="D1012" s="136">
        <f t="shared" ref="D1012:D1021" si="94">IF(AC1012="","",(1-$W$2)*(AC1012/1.2))</f>
        <v>600</v>
      </c>
      <c r="E1012" s="96">
        <f t="shared" ref="E1012:E1020" si="95">IF($W$5=0.2,D1012*1.2,D1012)/$W$4</f>
        <v>720</v>
      </c>
      <c r="F1012" s="26"/>
      <c r="G1012" s="26"/>
      <c r="H1012" s="10"/>
      <c r="I1012" s="8"/>
      <c r="J1012" s="8"/>
      <c r="K1012" s="8"/>
      <c r="AC1012" s="310">
        <v>720</v>
      </c>
      <c r="AD1012" s="301">
        <v>720</v>
      </c>
      <c r="AE1012" s="301">
        <f>AD1012/AC1012-1</f>
        <v>0</v>
      </c>
      <c r="AF1012" s="301"/>
      <c r="AG1012" s="301"/>
      <c r="AH1012" s="301"/>
      <c r="AI1012" s="301"/>
      <c r="AJ1012" s="301"/>
      <c r="AK1012" s="301"/>
      <c r="AL1012" s="301"/>
    </row>
    <row r="1013" spans="2:38">
      <c r="B1013" s="446" t="str">
        <f>IF($C$1="ENG","Ventilation cut","вентиляційний підріз")</f>
        <v>вентиляційний підріз</v>
      </c>
      <c r="C1013" s="447"/>
      <c r="D1013" s="137">
        <f t="shared" si="94"/>
        <v>141.66666666666669</v>
      </c>
      <c r="E1013" s="69">
        <f t="shared" si="95"/>
        <v>170.00000000000003</v>
      </c>
      <c r="F1013" s="26"/>
      <c r="G1013" s="26"/>
      <c r="I1013" s="62"/>
      <c r="J1013" s="28"/>
      <c r="AC1013" s="310">
        <v>170</v>
      </c>
      <c r="AD1013" s="301">
        <v>170</v>
      </c>
      <c r="AE1013" s="301">
        <f t="shared" ref="AE1013:AE1020" si="96">AD1013/AC1013-1</f>
        <v>0</v>
      </c>
      <c r="AF1013" s="301"/>
      <c r="AG1013" s="301"/>
      <c r="AH1013" s="301"/>
      <c r="AI1013" s="301"/>
      <c r="AJ1013" s="301"/>
      <c r="AK1013" s="301"/>
      <c r="AL1013" s="301"/>
    </row>
    <row r="1014" spans="2:38">
      <c r="B1014" s="439" t="str">
        <f>IF($C$1="ENG","glazing Graphite / Bronze","скло Графіт / Бронза")</f>
        <v>скло Графіт / Бронза</v>
      </c>
      <c r="C1014" s="440"/>
      <c r="D1014" s="106">
        <f t="shared" si="94"/>
        <v>458.33333333333337</v>
      </c>
      <c r="E1014" s="97">
        <f t="shared" si="95"/>
        <v>550</v>
      </c>
      <c r="F1014" s="26"/>
      <c r="G1014" s="26"/>
      <c r="H1014" s="5"/>
      <c r="AC1014" s="310">
        <v>550</v>
      </c>
      <c r="AD1014" s="301">
        <v>550</v>
      </c>
      <c r="AE1014" s="301">
        <f t="shared" si="96"/>
        <v>0</v>
      </c>
      <c r="AF1014" s="301"/>
      <c r="AG1014" s="301"/>
      <c r="AH1014" s="301"/>
      <c r="AI1014" s="301"/>
      <c r="AJ1014" s="301"/>
      <c r="AK1014" s="301"/>
      <c r="AL1014" s="301"/>
    </row>
    <row r="1015" spans="2:38">
      <c r="B1015" s="439" t="str">
        <f>IF($C$1="ENG","door lock Soft","замок Soft")</f>
        <v>замок Soft</v>
      </c>
      <c r="C1015" s="440"/>
      <c r="D1015" s="106">
        <f t="shared" si="94"/>
        <v>458.33333333333337</v>
      </c>
      <c r="E1015" s="97">
        <f t="shared" si="95"/>
        <v>550</v>
      </c>
      <c r="F1015" s="26"/>
      <c r="G1015" s="26"/>
      <c r="H1015" s="5"/>
      <c r="AC1015" s="310">
        <v>550</v>
      </c>
      <c r="AD1015" s="301">
        <v>550</v>
      </c>
      <c r="AE1015" s="301">
        <f t="shared" si="96"/>
        <v>0</v>
      </c>
      <c r="AF1015" s="301"/>
      <c r="AG1015" s="301"/>
      <c r="AH1015" s="301"/>
      <c r="AI1015" s="301"/>
      <c r="AJ1015" s="301"/>
      <c r="AK1015" s="301"/>
      <c r="AL1015" s="301"/>
    </row>
    <row r="1016" spans="2:38">
      <c r="B1016" s="439" t="str">
        <f>IF($C$1="ENG","door lock Magnet","замок Magnet")</f>
        <v>замок Magnet</v>
      </c>
      <c r="C1016" s="440"/>
      <c r="D1016" s="106">
        <f t="shared" si="94"/>
        <v>666.66666666666674</v>
      </c>
      <c r="E1016" s="97">
        <f t="shared" si="95"/>
        <v>800.00000000000011</v>
      </c>
      <c r="F1016" s="26"/>
      <c r="G1016" s="26"/>
      <c r="H1016" s="5"/>
      <c r="AC1016" s="310">
        <v>800</v>
      </c>
      <c r="AD1016" s="301">
        <v>800</v>
      </c>
      <c r="AE1016" s="301">
        <f t="shared" si="96"/>
        <v>0</v>
      </c>
      <c r="AF1016" s="301"/>
      <c r="AG1016" s="301"/>
      <c r="AH1016" s="301"/>
      <c r="AI1016" s="301"/>
      <c r="AJ1016" s="301"/>
      <c r="AK1016" s="301"/>
      <c r="AL1016" s="301"/>
    </row>
    <row r="1017" spans="2:38">
      <c r="B1017" s="439" t="str">
        <f>IF($C$1="ENG","door handle-lock (for sliding doors)","ручка-замок (для дверей купе)")</f>
        <v>ручка-замок (для дверей купе)</v>
      </c>
      <c r="C1017" s="440"/>
      <c r="D1017" s="137">
        <f t="shared" si="94"/>
        <v>466.66666666666669</v>
      </c>
      <c r="E1017" s="97">
        <f t="shared" si="95"/>
        <v>560</v>
      </c>
      <c r="F1017" s="26"/>
      <c r="G1017" s="26"/>
      <c r="I1017" s="11"/>
      <c r="J1017" s="11"/>
      <c r="K1017" s="19"/>
      <c r="AC1017" s="310">
        <v>560</v>
      </c>
      <c r="AD1017" s="301">
        <v>560</v>
      </c>
      <c r="AE1017" s="301">
        <f t="shared" si="96"/>
        <v>0</v>
      </c>
      <c r="AF1017" s="301"/>
      <c r="AG1017" s="301"/>
      <c r="AH1017" s="301"/>
      <c r="AI1017" s="301"/>
      <c r="AJ1017" s="301"/>
      <c r="AK1017" s="301"/>
      <c r="AL1017" s="301"/>
    </row>
    <row r="1018" spans="2:38">
      <c r="B1018" s="439" t="str">
        <f>IF($C$1="ENG","cylinder incert","циліндр несиметричний")</f>
        <v>циліндр несиметричний</v>
      </c>
      <c r="C1018" s="440"/>
      <c r="D1018" s="137">
        <f t="shared" si="94"/>
        <v>316.66666666666669</v>
      </c>
      <c r="E1018" s="97">
        <f t="shared" si="95"/>
        <v>380</v>
      </c>
      <c r="F1018" s="26"/>
      <c r="G1018" s="26"/>
      <c r="AC1018" s="310">
        <v>380</v>
      </c>
      <c r="AD1018" s="301">
        <v>380</v>
      </c>
      <c r="AE1018" s="301">
        <f t="shared" si="96"/>
        <v>0</v>
      </c>
      <c r="AF1018" s="301"/>
      <c r="AG1018" s="301"/>
      <c r="AH1018" s="301"/>
      <c r="AI1018" s="301"/>
      <c r="AJ1018" s="301"/>
      <c r="AK1018" s="301"/>
      <c r="AL1018" s="301"/>
    </row>
    <row r="1019" spans="2:38">
      <c r="B1019" s="439" t="str">
        <f>IF($C$1="ENG","door hindge Prestige (1 unit)","завіса Prestige (1 шт)")</f>
        <v>завіса Prestige (1 шт)</v>
      </c>
      <c r="C1019" s="440"/>
      <c r="D1019" s="139">
        <f t="shared" si="94"/>
        <v>216.66666666666669</v>
      </c>
      <c r="E1019" s="97">
        <f t="shared" si="95"/>
        <v>260</v>
      </c>
      <c r="F1019" s="26"/>
      <c r="G1019" s="26"/>
      <c r="AC1019" s="310">
        <v>260</v>
      </c>
      <c r="AD1019" s="301">
        <v>260</v>
      </c>
      <c r="AE1019" s="301">
        <f t="shared" si="96"/>
        <v>0</v>
      </c>
      <c r="AF1019" s="301"/>
      <c r="AG1019" s="301"/>
      <c r="AH1019" s="301"/>
      <c r="AI1019" s="301"/>
      <c r="AJ1019" s="301"/>
      <c r="AK1019" s="301"/>
      <c r="AL1019" s="301"/>
    </row>
    <row r="1020" spans="2:38">
      <c r="B1020" s="439" t="str">
        <f>IF($C$1="ENG","door hinge caps (1 set)","накладка на завіси (1 к-т)")</f>
        <v>накладка на завіси (1 к-т)</v>
      </c>
      <c r="C1020" s="440"/>
      <c r="D1020" s="139">
        <f t="shared" si="94"/>
        <v>66.666666666666671</v>
      </c>
      <c r="E1020" s="97">
        <f t="shared" si="95"/>
        <v>80</v>
      </c>
      <c r="F1020" s="26"/>
      <c r="G1020" s="26"/>
      <c r="AC1020" s="310">
        <v>80</v>
      </c>
      <c r="AD1020" s="301">
        <v>80</v>
      </c>
      <c r="AE1020" s="301">
        <f t="shared" si="96"/>
        <v>0</v>
      </c>
      <c r="AF1020" s="301"/>
      <c r="AG1020" s="301"/>
      <c r="AH1020" s="301"/>
      <c r="AI1020" s="301"/>
      <c r="AJ1020" s="301"/>
      <c r="AK1020" s="301"/>
      <c r="AL1020" s="301"/>
    </row>
    <row r="1021" spans="2:38">
      <c r="B1021" s="439" t="str">
        <f>IF($C$1="ENG","door handle","дверна ручка")</f>
        <v>дверна ручка</v>
      </c>
      <c r="C1021" s="440"/>
      <c r="D1021" s="138" t="str">
        <f t="shared" si="94"/>
        <v/>
      </c>
      <c r="E1021" s="256" t="str">
        <f>IF($C$1="ENG","see Handles Price","див. Таблицю Ручки")</f>
        <v>див. Таблицю Ручки</v>
      </c>
      <c r="F1021" s="26"/>
      <c r="G1021" s="26"/>
      <c r="AC1021" s="301"/>
      <c r="AD1021" s="301"/>
      <c r="AE1021" s="301"/>
      <c r="AF1021" s="301"/>
      <c r="AG1021" s="301"/>
      <c r="AH1021" s="301"/>
      <c r="AI1021" s="301"/>
      <c r="AJ1021" s="301"/>
      <c r="AK1021" s="301"/>
      <c r="AL1021" s="301"/>
    </row>
    <row r="1022" spans="2:38" ht="14.25" customHeight="1">
      <c r="C1022" s="26"/>
      <c r="D1022" s="26"/>
      <c r="E1022" s="26"/>
      <c r="F1022" s="26"/>
      <c r="G1022" s="26"/>
      <c r="H1022" s="5"/>
      <c r="T1022" s="460" t="str">
        <f>IF($C$1="ENG",CONCATENATE("down to: ",B1072),CONCATENATE("вниз до: ",B1072))</f>
        <v>вниз до: Полотна збірні: ЛАДА-ЛОФТ</v>
      </c>
      <c r="U1022" s="460"/>
      <c r="V1022" s="460"/>
      <c r="W1022" s="460"/>
    </row>
    <row r="1023" spans="2:38" ht="14.25" customHeight="1">
      <c r="C1023" s="26"/>
      <c r="D1023" s="26"/>
      <c r="E1023" s="26"/>
      <c r="F1023" s="26"/>
      <c r="G1023" s="26"/>
      <c r="H1023" s="5"/>
    </row>
    <row r="1024" spans="2:38" ht="14.25" customHeight="1">
      <c r="C1024" s="26"/>
      <c r="D1024" s="26"/>
      <c r="E1024" s="26"/>
      <c r="F1024" s="26"/>
      <c r="G1024" s="26"/>
      <c r="H1024" s="5"/>
    </row>
    <row r="1025" spans="3:8" ht="14.25" customHeight="1">
      <c r="C1025" s="26"/>
      <c r="D1025" s="26"/>
      <c r="E1025" s="26"/>
      <c r="F1025" s="26"/>
      <c r="G1025" s="26"/>
      <c r="H1025" s="5"/>
    </row>
    <row r="1026" spans="3:8" ht="14.25" customHeight="1">
      <c r="C1026" s="26"/>
      <c r="D1026" s="26"/>
      <c r="E1026" s="26"/>
      <c r="F1026" s="26"/>
      <c r="G1026" s="26"/>
      <c r="H1026" s="5"/>
    </row>
    <row r="1027" spans="3:8" ht="14.25" customHeight="1">
      <c r="C1027" s="26"/>
      <c r="D1027" s="26"/>
      <c r="E1027" s="26"/>
      <c r="F1027" s="26"/>
      <c r="G1027" s="26"/>
      <c r="H1027" s="5"/>
    </row>
    <row r="1028" spans="3:8" ht="14.25" customHeight="1">
      <c r="C1028" s="26"/>
      <c r="D1028" s="26"/>
      <c r="E1028" s="26"/>
      <c r="F1028" s="26"/>
      <c r="G1028" s="26"/>
      <c r="H1028" s="5"/>
    </row>
    <row r="1029" spans="3:8" ht="14.25" customHeight="1">
      <c r="C1029" s="26"/>
      <c r="D1029" s="26"/>
      <c r="E1029" s="26"/>
      <c r="F1029" s="26"/>
      <c r="G1029" s="26"/>
      <c r="H1029" s="5"/>
    </row>
    <row r="1030" spans="3:8" ht="14.25" customHeight="1">
      <c r="C1030" s="26"/>
      <c r="D1030" s="26"/>
      <c r="E1030" s="26"/>
      <c r="F1030" s="26"/>
      <c r="G1030" s="26"/>
      <c r="H1030" s="5"/>
    </row>
    <row r="1031" spans="3:8" ht="14.25" customHeight="1">
      <c r="C1031" s="26"/>
      <c r="D1031" s="26"/>
      <c r="E1031" s="26"/>
      <c r="F1031" s="26"/>
      <c r="G1031" s="26"/>
      <c r="H1031" s="5"/>
    </row>
    <row r="1032" spans="3:8" ht="14.25" customHeight="1">
      <c r="C1032" s="26"/>
      <c r="D1032" s="26"/>
      <c r="E1032" s="26"/>
      <c r="F1032" s="26"/>
      <c r="G1032" s="26"/>
      <c r="H1032" s="5"/>
    </row>
    <row r="1033" spans="3:8" ht="14.25" customHeight="1">
      <c r="C1033" s="26"/>
      <c r="D1033" s="26"/>
      <c r="E1033" s="26"/>
      <c r="F1033" s="26"/>
      <c r="G1033" s="26"/>
      <c r="H1033" s="5"/>
    </row>
    <row r="1034" spans="3:8" ht="14.25" customHeight="1">
      <c r="C1034" s="26"/>
      <c r="D1034" s="26"/>
      <c r="E1034" s="26"/>
      <c r="F1034" s="26"/>
      <c r="G1034" s="26"/>
      <c r="H1034" s="5"/>
    </row>
    <row r="1035" spans="3:8" ht="14.25" customHeight="1">
      <c r="C1035" s="26"/>
      <c r="D1035" s="26"/>
      <c r="E1035" s="26"/>
      <c r="F1035" s="26"/>
      <c r="G1035" s="26"/>
      <c r="H1035" s="5"/>
    </row>
    <row r="1036" spans="3:8" ht="14.25" customHeight="1">
      <c r="C1036" s="26"/>
      <c r="D1036" s="26"/>
      <c r="E1036" s="26"/>
      <c r="F1036" s="26"/>
      <c r="G1036" s="26"/>
      <c r="H1036" s="5"/>
    </row>
    <row r="1037" spans="3:8" ht="14.25" customHeight="1">
      <c r="C1037" s="26"/>
      <c r="D1037" s="26"/>
      <c r="E1037" s="26"/>
      <c r="F1037" s="26"/>
      <c r="G1037" s="26"/>
      <c r="H1037" s="5"/>
    </row>
    <row r="1038" spans="3:8" ht="14.25" customHeight="1">
      <c r="C1038" s="26"/>
      <c r="D1038" s="26"/>
      <c r="E1038" s="26"/>
      <c r="F1038" s="26"/>
      <c r="G1038" s="26"/>
      <c r="H1038" s="5"/>
    </row>
    <row r="1039" spans="3:8" ht="14.25" customHeight="1">
      <c r="C1039" s="26"/>
      <c r="D1039" s="26"/>
      <c r="E1039" s="26"/>
      <c r="F1039" s="26"/>
      <c r="G1039" s="26"/>
      <c r="H1039" s="5"/>
    </row>
    <row r="1040" spans="3:8" ht="14.25" customHeight="1">
      <c r="C1040" s="26"/>
      <c r="D1040" s="26"/>
      <c r="E1040" s="26"/>
      <c r="F1040" s="26"/>
      <c r="G1040" s="26"/>
      <c r="H1040" s="5"/>
    </row>
    <row r="1041" spans="3:8" ht="14.25" customHeight="1">
      <c r="C1041" s="26"/>
      <c r="D1041" s="26"/>
      <c r="E1041" s="26"/>
      <c r="F1041" s="26"/>
      <c r="G1041" s="26"/>
      <c r="H1041" s="5"/>
    </row>
    <row r="1042" spans="3:8" ht="14.25" customHeight="1">
      <c r="C1042" s="26"/>
      <c r="D1042" s="26"/>
      <c r="E1042" s="26"/>
      <c r="F1042" s="26"/>
      <c r="G1042" s="26"/>
      <c r="H1042" s="5"/>
    </row>
    <row r="1043" spans="3:8" ht="14.25" customHeight="1">
      <c r="C1043" s="26"/>
      <c r="D1043" s="26"/>
      <c r="E1043" s="26"/>
      <c r="F1043" s="26"/>
      <c r="G1043" s="26"/>
      <c r="H1043" s="5"/>
    </row>
    <row r="1044" spans="3:8" ht="14.25" customHeight="1">
      <c r="C1044" s="26"/>
      <c r="D1044" s="26"/>
      <c r="E1044" s="26"/>
      <c r="F1044" s="26"/>
      <c r="G1044" s="26"/>
      <c r="H1044" s="5"/>
    </row>
    <row r="1045" spans="3:8" ht="14.25" customHeight="1">
      <c r="C1045" s="26"/>
      <c r="D1045" s="26"/>
      <c r="E1045" s="26"/>
      <c r="F1045" s="26"/>
      <c r="G1045" s="26"/>
      <c r="H1045" s="5"/>
    </row>
    <row r="1046" spans="3:8" ht="14.25" customHeight="1">
      <c r="C1046" s="26"/>
      <c r="D1046" s="26"/>
      <c r="E1046" s="26"/>
      <c r="F1046" s="26"/>
      <c r="G1046" s="26"/>
      <c r="H1046" s="5"/>
    </row>
    <row r="1047" spans="3:8" ht="14.25" customHeight="1">
      <c r="C1047" s="26"/>
      <c r="D1047" s="26"/>
      <c r="E1047" s="26"/>
      <c r="F1047" s="26"/>
      <c r="G1047" s="26"/>
      <c r="H1047" s="5"/>
    </row>
    <row r="1048" spans="3:8" ht="14.25" customHeight="1">
      <c r="C1048" s="26"/>
      <c r="D1048" s="26"/>
      <c r="E1048" s="26"/>
      <c r="F1048" s="26"/>
      <c r="G1048" s="26"/>
      <c r="H1048" s="5"/>
    </row>
    <row r="1049" spans="3:8" ht="14.25" customHeight="1">
      <c r="C1049" s="26"/>
      <c r="D1049" s="26"/>
      <c r="E1049" s="26"/>
      <c r="F1049" s="26"/>
      <c r="G1049" s="26"/>
      <c r="H1049" s="5"/>
    </row>
    <row r="1050" spans="3:8" ht="14.25" customHeight="1">
      <c r="C1050" s="26"/>
      <c r="D1050" s="26"/>
      <c r="E1050" s="26"/>
      <c r="F1050" s="26"/>
      <c r="G1050" s="26"/>
      <c r="H1050" s="5"/>
    </row>
    <row r="1051" spans="3:8" ht="14.25" customHeight="1">
      <c r="C1051" s="26"/>
      <c r="D1051" s="26"/>
      <c r="E1051" s="26"/>
      <c r="F1051" s="26"/>
      <c r="G1051" s="26"/>
      <c r="H1051" s="5"/>
    </row>
    <row r="1052" spans="3:8" ht="14.25" customHeight="1">
      <c r="C1052" s="26"/>
      <c r="D1052" s="26"/>
      <c r="E1052" s="26"/>
      <c r="F1052" s="26"/>
      <c r="G1052" s="26"/>
      <c r="H1052" s="5"/>
    </row>
    <row r="1053" spans="3:8" ht="14.25" customHeight="1">
      <c r="C1053" s="26"/>
      <c r="D1053" s="26"/>
      <c r="E1053" s="26"/>
      <c r="F1053" s="26"/>
      <c r="G1053" s="26"/>
      <c r="H1053" s="5"/>
    </row>
    <row r="1054" spans="3:8" ht="14.25" customHeight="1">
      <c r="C1054" s="26"/>
      <c r="D1054" s="26"/>
      <c r="E1054" s="26"/>
      <c r="F1054" s="26"/>
      <c r="G1054" s="26"/>
      <c r="H1054" s="5"/>
    </row>
    <row r="1055" spans="3:8" ht="14.25" customHeight="1">
      <c r="C1055" s="26"/>
      <c r="D1055" s="26"/>
      <c r="E1055" s="26"/>
      <c r="F1055" s="26"/>
      <c r="G1055" s="26"/>
      <c r="H1055" s="5"/>
    </row>
    <row r="1056" spans="3:8" ht="14.25" customHeight="1">
      <c r="C1056" s="26"/>
      <c r="D1056" s="26"/>
      <c r="E1056" s="26"/>
      <c r="F1056" s="26"/>
      <c r="G1056" s="26"/>
      <c r="H1056" s="5"/>
    </row>
    <row r="1057" spans="2:38" ht="14.25" customHeight="1">
      <c r="C1057" s="26"/>
      <c r="D1057" s="26"/>
      <c r="E1057" s="26"/>
      <c r="F1057" s="26"/>
      <c r="G1057" s="26"/>
      <c r="H1057" s="5"/>
    </row>
    <row r="1058" spans="2:38" ht="14.25" customHeight="1">
      <c r="C1058" s="26"/>
      <c r="D1058" s="26"/>
      <c r="E1058" s="26"/>
      <c r="F1058" s="26"/>
      <c r="G1058" s="26"/>
      <c r="H1058" s="5"/>
    </row>
    <row r="1059" spans="2:38" ht="14.25" customHeight="1">
      <c r="C1059" s="26"/>
      <c r="D1059" s="26"/>
      <c r="E1059" s="26"/>
      <c r="F1059" s="26"/>
      <c r="G1059" s="26"/>
      <c r="H1059" s="5"/>
    </row>
    <row r="1060" spans="2:38" ht="14.25" customHeight="1">
      <c r="C1060" s="26"/>
      <c r="D1060" s="26"/>
      <c r="E1060" s="26"/>
      <c r="F1060" s="26"/>
      <c r="G1060" s="26"/>
      <c r="H1060" s="5"/>
    </row>
    <row r="1061" spans="2:38" ht="14.25" customHeight="1">
      <c r="C1061" s="26"/>
      <c r="D1061" s="26"/>
      <c r="E1061" s="26"/>
      <c r="F1061" s="26"/>
      <c r="G1061" s="26"/>
      <c r="H1061" s="5"/>
    </row>
    <row r="1062" spans="2:38" ht="14.25" customHeight="1">
      <c r="C1062" s="26"/>
      <c r="D1062" s="26"/>
      <c r="E1062" s="26"/>
      <c r="F1062" s="26"/>
      <c r="G1062" s="26"/>
      <c r="H1062" s="5"/>
    </row>
    <row r="1063" spans="2:38" ht="14.25" customHeight="1">
      <c r="C1063" s="26"/>
      <c r="D1063" s="26"/>
      <c r="E1063" s="26"/>
      <c r="F1063" s="26"/>
      <c r="G1063" s="26"/>
      <c r="H1063" s="5"/>
    </row>
    <row r="1064" spans="2:38" ht="14.25" customHeight="1">
      <c r="C1064" s="26"/>
      <c r="D1064" s="26"/>
      <c r="E1064" s="26"/>
      <c r="F1064" s="26"/>
      <c r="G1064" s="26"/>
      <c r="H1064" s="5"/>
    </row>
    <row r="1065" spans="2:38" ht="14.25" customHeight="1">
      <c r="C1065" s="26"/>
      <c r="D1065" s="26"/>
      <c r="E1065" s="26"/>
      <c r="F1065" s="26"/>
      <c r="G1065" s="26"/>
      <c r="H1065" s="5"/>
    </row>
    <row r="1066" spans="2:38" ht="14.25" customHeight="1">
      <c r="C1066" s="26"/>
      <c r="D1066" s="26"/>
      <c r="E1066" s="26"/>
      <c r="F1066" s="26"/>
      <c r="G1066" s="26"/>
      <c r="H1066" s="5"/>
    </row>
    <row r="1067" spans="2:38" ht="14.25" customHeight="1">
      <c r="C1067" s="26"/>
      <c r="D1067" s="26"/>
      <c r="E1067" s="26"/>
      <c r="F1067" s="26"/>
      <c r="G1067" s="26"/>
      <c r="H1067" s="5"/>
    </row>
    <row r="1068" spans="2:38" ht="14.25" customHeight="1">
      <c r="C1068" s="26"/>
      <c r="D1068" s="26"/>
      <c r="E1068" s="26"/>
      <c r="F1068" s="26"/>
      <c r="G1068" s="26"/>
      <c r="H1068" s="5"/>
    </row>
    <row r="1069" spans="2:38" ht="14.25" customHeight="1">
      <c r="C1069" s="26"/>
      <c r="D1069" s="26"/>
      <c r="E1069" s="26"/>
      <c r="F1069" s="26"/>
      <c r="G1069" s="26"/>
      <c r="H1069" s="5"/>
    </row>
    <row r="1070" spans="2:38" ht="14.25" customHeight="1">
      <c r="C1070" s="26"/>
      <c r="D1070" s="26"/>
      <c r="E1070" s="26"/>
      <c r="F1070" s="26"/>
      <c r="G1070" s="26"/>
      <c r="H1070" s="5"/>
    </row>
    <row r="1071" spans="2:38" ht="14.25" customHeight="1">
      <c r="C1071" s="26"/>
      <c r="D1071" s="26"/>
      <c r="E1071" s="26"/>
      <c r="F1071" s="26"/>
      <c r="G1071" s="26"/>
      <c r="H1071" s="5"/>
    </row>
    <row r="1072" spans="2:38" ht="14.25" customHeight="1">
      <c r="B1072" s="421" t="str">
        <f>TITLE!$C$22</f>
        <v>Полотна збірні: ЛАДА-ЛОФТ</v>
      </c>
      <c r="C1072" s="421"/>
      <c r="D1072" s="122"/>
      <c r="E1072" s="122"/>
      <c r="F1072" s="122"/>
      <c r="G1072" s="122"/>
      <c r="H1072" s="445"/>
      <c r="I1072" s="44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419" t="str">
        <f>IF($C$1="ENG",CONCATENATE("up to: ",B1002),CONCATENATE("вгору до: ",B1002))</f>
        <v>вгору до: Полотна збірні: МІРА</v>
      </c>
      <c r="U1072" s="419"/>
      <c r="V1072" s="419"/>
      <c r="W1072" s="419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</row>
    <row r="1073" spans="2:43" ht="5.0999999999999996" customHeight="1">
      <c r="B1073" s="121"/>
      <c r="C1073" s="121"/>
      <c r="D1073" s="9"/>
      <c r="E1073" s="9"/>
      <c r="F1073" s="9"/>
      <c r="G1073" s="9"/>
      <c r="H1073" s="124"/>
      <c r="I1073" s="124"/>
      <c r="L1073" s="8"/>
      <c r="M1073" s="8"/>
      <c r="N1073" s="8"/>
      <c r="O1073" s="8"/>
      <c r="P1073" s="8"/>
      <c r="Q1073" s="8"/>
      <c r="R1073" s="8"/>
      <c r="S1073" s="8"/>
      <c r="T1073" s="119"/>
      <c r="U1073" s="119"/>
      <c r="V1073" s="119"/>
      <c r="W1073" s="119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</row>
    <row r="1074" spans="2:43" ht="12.75" customHeight="1">
      <c r="B1074" s="448" t="str">
        <f>IF($C$1="ENG","model","модель")</f>
        <v>модель</v>
      </c>
      <c r="C1074" s="126" t="str">
        <f>IF($C$1="ENG","cover:","покриття:")</f>
        <v>покриття:</v>
      </c>
      <c r="D1074" s="430" t="str">
        <f>IF($C$1="ENG","Verto-CELL","Verto-CELL")</f>
        <v>Verto-CELL</v>
      </c>
      <c r="E1074" s="432"/>
      <c r="F1074" s="430" t="str">
        <f>IF($C$1="ENG","UNI-MAT","UNI-MAT")</f>
        <v>UNI-MAT</v>
      </c>
      <c r="G1074" s="432"/>
      <c r="H1074" s="430" t="str">
        <f>IF($C$1="ENG","RESIST","RESIST")</f>
        <v>RESIST</v>
      </c>
      <c r="I1074" s="432"/>
      <c r="J1074" s="430" t="str">
        <f>IF($C$1="ENG","Verto LINE-3D","Verto LINE-3D")</f>
        <v>Verto LINE-3D</v>
      </c>
      <c r="K1074" s="432"/>
      <c r="L1074" s="430" t="str">
        <f>IF($C$1="ENG","ECO Shpon","ЕКО Шпон")</f>
        <v>ЕКО Шпон</v>
      </c>
      <c r="M1074" s="432"/>
      <c r="N1074" s="8"/>
      <c r="O1074" s="8"/>
      <c r="P1074" s="20"/>
      <c r="Q1074" s="20"/>
      <c r="R1074" s="8"/>
      <c r="S1074" s="8"/>
      <c r="T1074" s="119"/>
      <c r="U1074" s="119"/>
      <c r="V1074" s="119"/>
      <c r="W1074" s="119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</row>
    <row r="1075" spans="2:43" ht="24" customHeight="1">
      <c r="B1075" s="449"/>
      <c r="C1075" s="127" t="str">
        <f>IF($C$1="ENG","filling:","заповнення:")</f>
        <v>заповнення:</v>
      </c>
      <c r="D1075" s="441" t="str">
        <f>IF($C$1="ENG","softwood","клеєний сосновий брус")</f>
        <v>клеєний сосновий брус</v>
      </c>
      <c r="E1075" s="442"/>
      <c r="F1075" s="441" t="str">
        <f>IF($C$1="ENG","softwood","клеєний сосновий брус")</f>
        <v>клеєний сосновий брус</v>
      </c>
      <c r="G1075" s="442"/>
      <c r="H1075" s="441" t="str">
        <f>IF($C$1="ENG","softwood","клеєний сосновий брус")</f>
        <v>клеєний сосновий брус</v>
      </c>
      <c r="I1075" s="442"/>
      <c r="J1075" s="441" t="str">
        <f>IF($C$1="ENG","softwood","клеєний сосновий брус")</f>
        <v>клеєний сосновий брус</v>
      </c>
      <c r="K1075" s="442"/>
      <c r="L1075" s="441" t="str">
        <f>IF($C$1="ENG","softwood","клеєний сосновий брус")</f>
        <v>клеєний сосновий брус</v>
      </c>
      <c r="M1075" s="442"/>
      <c r="N1075" s="11"/>
      <c r="O1075" s="11"/>
      <c r="P1075" s="20"/>
      <c r="Q1075" s="20"/>
      <c r="R1075" s="11"/>
      <c r="S1075" s="11"/>
      <c r="T1075" s="11"/>
      <c r="U1075" s="119"/>
      <c r="V1075" s="119"/>
      <c r="W1075" s="119"/>
      <c r="X1075" s="8"/>
      <c r="Y1075" s="8"/>
      <c r="Z1075" s="8"/>
      <c r="AA1075" s="8"/>
      <c r="AB1075" s="8"/>
      <c r="AC1075" s="8"/>
      <c r="AD1075" s="405">
        <f>AD1077/AC1077-1</f>
        <v>0.14006024096385539</v>
      </c>
      <c r="AE1075" s="405">
        <f>AE1077/AD1077-1</f>
        <v>2.9062087186261465E-2</v>
      </c>
      <c r="AF1075" s="405">
        <f>AF1077/AE1077-1</f>
        <v>7.7021822849807409E-2</v>
      </c>
      <c r="AG1075" s="405">
        <f>AG1077/AF1077-1</f>
        <v>4.6483909415971469E-2</v>
      </c>
      <c r="AH1075" s="8"/>
      <c r="AI1075" s="8"/>
      <c r="AJ1075" s="8"/>
      <c r="AK1075" s="8"/>
      <c r="AL1075" s="8"/>
    </row>
    <row r="1076" spans="2:43" ht="12.75" customHeight="1">
      <c r="B1076" s="450"/>
      <c r="C1076" s="128" t="str">
        <f>IF($C$1="ENG","glazing:","скління:")</f>
        <v>скління:</v>
      </c>
      <c r="D1076" s="424" t="str">
        <f>IF($C$1="ENG","Satin","Сатин")</f>
        <v>Сатин</v>
      </c>
      <c r="E1076" s="434"/>
      <c r="F1076" s="424" t="str">
        <f>IF($C$1="ENG","Satin","Сатин")</f>
        <v>Сатин</v>
      </c>
      <c r="G1076" s="434"/>
      <c r="H1076" s="424" t="str">
        <f>IF($C$1="ENG","Satin","Сатин")</f>
        <v>Сатин</v>
      </c>
      <c r="I1076" s="434"/>
      <c r="J1076" s="424" t="str">
        <f>IF($C$1="ENG","Satin","Сатин")</f>
        <v>Сатин</v>
      </c>
      <c r="K1076" s="434"/>
      <c r="L1076" s="424" t="str">
        <f>IF($C$1="ENG","Satin","Сатин")</f>
        <v>Сатин</v>
      </c>
      <c r="M1076" s="434"/>
      <c r="N1076" s="11"/>
      <c r="O1076" s="11"/>
      <c r="P1076" s="20"/>
      <c r="Q1076" s="20"/>
      <c r="R1076" s="11"/>
      <c r="S1076" s="11"/>
      <c r="T1076" s="11"/>
    </row>
    <row r="1077" spans="2:43" ht="34.5" customHeight="1">
      <c r="B1077" s="13" t="s">
        <v>19</v>
      </c>
      <c r="C1077" s="14"/>
      <c r="D1077" s="15">
        <f>IF(AC1077="","",(1-$W$2)*(AC1077/1.2))</f>
        <v>5533.3333333333339</v>
      </c>
      <c r="E1077" s="67">
        <f>IF($W$5=0.2,D1077*1.2,D1077)/$W$4</f>
        <v>6640.0000000000009</v>
      </c>
      <c r="F1077" s="15">
        <f>IF(AD1077="","",(1-$W$2)*(AD1077/1.2))</f>
        <v>6308.3333333333339</v>
      </c>
      <c r="G1077" s="67">
        <f>IF($W$5=0.2,F1077*1.2,F1077)/$W$4</f>
        <v>7570</v>
      </c>
      <c r="H1077" s="15">
        <f>IF(AE1077="","",(1-$W$2)*(AE1077/1.2))</f>
        <v>6491.666666666667</v>
      </c>
      <c r="I1077" s="67">
        <f>IF($W$5=0.2,H1077*1.2,H1077)/$W$4</f>
        <v>7790</v>
      </c>
      <c r="J1077" s="15">
        <f>IF(AF1077="","",(1-$W$2)*(AF1077/1.2))</f>
        <v>6991.666666666667</v>
      </c>
      <c r="K1077" s="67">
        <f>IF($W$5=0.2,J1077*1.2,J1077)/$W$4</f>
        <v>8390</v>
      </c>
      <c r="L1077" s="15">
        <f>IF(AG1077="","",(1-$W$2)*(AG1077/1.2))</f>
        <v>7316.666666666667</v>
      </c>
      <c r="M1077" s="67">
        <f>IF($W$5=0.2,L1077*1.2,L1077)/$W$4</f>
        <v>8780</v>
      </c>
      <c r="N1077" s="108"/>
      <c r="O1077" s="20"/>
      <c r="P1077" s="20"/>
      <c r="Q1077" s="20"/>
      <c r="R1077" s="108"/>
      <c r="S1077" s="20"/>
      <c r="T1077" s="108"/>
      <c r="U1077" s="20"/>
      <c r="V1077" s="108"/>
      <c r="W1077" s="20"/>
      <c r="X1077" s="22"/>
      <c r="Y1077" s="22"/>
      <c r="Z1077" s="22"/>
      <c r="AA1077" s="22"/>
      <c r="AB1077" s="22"/>
      <c r="AC1077" s="346">
        <v>6640</v>
      </c>
      <c r="AD1077" s="413">
        <v>7570</v>
      </c>
      <c r="AE1077" s="346">
        <v>7790</v>
      </c>
      <c r="AF1077" s="346">
        <v>8390</v>
      </c>
      <c r="AG1077" s="346">
        <v>8780</v>
      </c>
      <c r="AH1077" s="301">
        <v>6640</v>
      </c>
      <c r="AI1077" s="301">
        <f>AH1077/AC1077-1</f>
        <v>0</v>
      </c>
      <c r="AJ1077" s="301">
        <v>7570</v>
      </c>
      <c r="AK1077" s="301">
        <f>AJ1077/AD1077-1</f>
        <v>0</v>
      </c>
      <c r="AL1077" s="301">
        <v>7790</v>
      </c>
      <c r="AM1077" s="301">
        <f>AL1077/AE1077-1</f>
        <v>0</v>
      </c>
      <c r="AN1077" s="301">
        <v>8390</v>
      </c>
      <c r="AO1077" s="301">
        <f>AN1077/AF1077-1</f>
        <v>0</v>
      </c>
      <c r="AP1077" s="301">
        <v>8780</v>
      </c>
      <c r="AQ1077" s="301">
        <f>AP1077/AG1077-1</f>
        <v>0</v>
      </c>
    </row>
    <row r="1078" spans="2:43" ht="34.5" customHeight="1">
      <c r="B1078" s="16" t="s">
        <v>17</v>
      </c>
      <c r="C1078" s="17"/>
      <c r="D1078" s="18">
        <f>IF(AC1078="","",(1-$W$2)*(AC1078/1.2))</f>
        <v>5791.666666666667</v>
      </c>
      <c r="E1078" s="69">
        <f>IF($W$5=0.2,D1078*1.2,D1078)/$W$4</f>
        <v>6950</v>
      </c>
      <c r="F1078" s="18">
        <f>IF(AD1078="","",(1-$W$2)*(AD1078/1.2))</f>
        <v>6608.3333333333339</v>
      </c>
      <c r="G1078" s="69">
        <f>IF($W$5=0.2,F1078*1.2,F1078)/$W$4</f>
        <v>7930</v>
      </c>
      <c r="H1078" s="18">
        <f>IF(AE1078="","",(1-$W$2)*(AE1078/1.2))</f>
        <v>6791.666666666667</v>
      </c>
      <c r="I1078" s="69">
        <f>IF($W$5=0.2,H1078*1.2,H1078)/$W$4</f>
        <v>8150</v>
      </c>
      <c r="J1078" s="18">
        <f>IF(AF1078="","",(1-$W$2)*(AF1078/1.2))</f>
        <v>7291.666666666667</v>
      </c>
      <c r="K1078" s="69">
        <f>IF($W$5=0.2,J1078*1.2,J1078)/$W$4</f>
        <v>8750</v>
      </c>
      <c r="L1078" s="18">
        <f>IF(AG1078="","",(1-$W$2)*(AG1078/1.2))</f>
        <v>7608.3333333333339</v>
      </c>
      <c r="M1078" s="69">
        <f>IF($W$5=0.2,L1078*1.2,L1078)/$W$4</f>
        <v>9130</v>
      </c>
      <c r="N1078" s="108"/>
      <c r="O1078" s="20"/>
      <c r="P1078" s="20"/>
      <c r="Q1078" s="20"/>
      <c r="R1078" s="108"/>
      <c r="S1078" s="20"/>
      <c r="T1078" s="108"/>
      <c r="U1078" s="20"/>
      <c r="V1078" s="108"/>
      <c r="W1078" s="20"/>
      <c r="X1078" s="22"/>
      <c r="Y1078" s="22"/>
      <c r="Z1078" s="22"/>
      <c r="AA1078" s="22"/>
      <c r="AB1078" s="22"/>
      <c r="AC1078" s="346">
        <v>6950</v>
      </c>
      <c r="AD1078" s="413">
        <v>7930</v>
      </c>
      <c r="AE1078" s="346">
        <v>8150</v>
      </c>
      <c r="AF1078" s="346">
        <v>8750</v>
      </c>
      <c r="AG1078" s="346">
        <v>9130</v>
      </c>
      <c r="AH1078" s="301">
        <v>6950</v>
      </c>
      <c r="AI1078" s="301">
        <f t="shared" ref="AI1078:AI1081" si="97">AH1078/AC1078-1</f>
        <v>0</v>
      </c>
      <c r="AJ1078" s="301">
        <v>7930</v>
      </c>
      <c r="AK1078" s="301">
        <f t="shared" ref="AK1078:AK1081" si="98">AJ1078/AD1078-1</f>
        <v>0</v>
      </c>
      <c r="AL1078" s="301">
        <v>8150</v>
      </c>
      <c r="AM1078" s="301">
        <f t="shared" ref="AM1078:AM1081" si="99">AL1078/AE1078-1</f>
        <v>0</v>
      </c>
      <c r="AN1078" s="301">
        <v>8750</v>
      </c>
      <c r="AO1078" s="301">
        <f t="shared" ref="AO1078:AO1081" si="100">AN1078/AF1078-1</f>
        <v>0</v>
      </c>
      <c r="AP1078" s="301">
        <v>9130</v>
      </c>
      <c r="AQ1078" s="301">
        <f t="shared" ref="AQ1078:AQ1081" si="101">AP1078/AG1078-1</f>
        <v>0</v>
      </c>
    </row>
    <row r="1079" spans="2:43" ht="34.5" customHeight="1">
      <c r="B1079" s="16" t="s">
        <v>20</v>
      </c>
      <c r="C1079" s="17"/>
      <c r="D1079" s="18">
        <f>IF(AC1079="","",(1-$W$2)*(AC1079/1.2))</f>
        <v>5533.3333333333339</v>
      </c>
      <c r="E1079" s="69">
        <f>IF($W$5=0.2,D1079*1.2,D1079)/$W$4</f>
        <v>6640.0000000000009</v>
      </c>
      <c r="F1079" s="18">
        <f>IF(AD1079="","",(1-$W$2)*(AD1079/1.2))</f>
        <v>6308.3333333333339</v>
      </c>
      <c r="G1079" s="69">
        <f>IF($W$5=0.2,F1079*1.2,F1079)/$W$4</f>
        <v>7570</v>
      </c>
      <c r="H1079" s="18">
        <f>IF(AE1079="","",(1-$W$2)*(AE1079/1.2))</f>
        <v>6491.666666666667</v>
      </c>
      <c r="I1079" s="69">
        <f>IF($W$5=0.2,H1079*1.2,H1079)/$W$4</f>
        <v>7790</v>
      </c>
      <c r="J1079" s="18">
        <f>IF(AF1079="","",(1-$W$2)*(AF1079/1.2))</f>
        <v>6991.666666666667</v>
      </c>
      <c r="K1079" s="69">
        <f>IF($W$5=0.2,J1079*1.2,J1079)/$W$4</f>
        <v>8390</v>
      </c>
      <c r="L1079" s="18">
        <f>IF(AG1079="","",(1-$W$2)*(AG1079/1.2))</f>
        <v>7316.666666666667</v>
      </c>
      <c r="M1079" s="69">
        <f>IF($W$5=0.2,L1079*1.2,L1079)/$W$4</f>
        <v>8780</v>
      </c>
      <c r="N1079" s="108"/>
      <c r="O1079" s="20"/>
      <c r="P1079" s="20"/>
      <c r="Q1079" s="20"/>
      <c r="R1079" s="108"/>
      <c r="S1079" s="20"/>
      <c r="T1079" s="108"/>
      <c r="U1079" s="20"/>
      <c r="V1079" s="108"/>
      <c r="W1079" s="20"/>
      <c r="X1079" s="22"/>
      <c r="Y1079" s="22"/>
      <c r="Z1079" s="22"/>
      <c r="AA1079" s="22"/>
      <c r="AB1079" s="22"/>
      <c r="AC1079" s="346">
        <v>6640</v>
      </c>
      <c r="AD1079" s="413">
        <v>7570</v>
      </c>
      <c r="AE1079" s="346">
        <v>7790</v>
      </c>
      <c r="AF1079" s="346">
        <v>8390</v>
      </c>
      <c r="AG1079" s="346">
        <v>8780</v>
      </c>
      <c r="AH1079" s="301">
        <v>6640</v>
      </c>
      <c r="AI1079" s="301">
        <f t="shared" si="97"/>
        <v>0</v>
      </c>
      <c r="AJ1079" s="301">
        <v>7570</v>
      </c>
      <c r="AK1079" s="301">
        <f t="shared" si="98"/>
        <v>0</v>
      </c>
      <c r="AL1079" s="301">
        <v>7790</v>
      </c>
      <c r="AM1079" s="301">
        <f t="shared" si="99"/>
        <v>0</v>
      </c>
      <c r="AN1079" s="301">
        <v>8390</v>
      </c>
      <c r="AO1079" s="301">
        <f t="shared" si="100"/>
        <v>0</v>
      </c>
      <c r="AP1079" s="301">
        <v>8780</v>
      </c>
      <c r="AQ1079" s="301">
        <f t="shared" si="101"/>
        <v>0</v>
      </c>
    </row>
    <row r="1080" spans="2:43" ht="34.5" customHeight="1">
      <c r="B1080" s="16" t="s">
        <v>21</v>
      </c>
      <c r="C1080" s="17"/>
      <c r="D1080" s="18">
        <f>IF(AC1080="","",(1-$W$2)*(AC1080/1.2))</f>
        <v>5550</v>
      </c>
      <c r="E1080" s="69">
        <f>IF($W$5=0.2,D1080*1.2,D1080)/$W$4</f>
        <v>6660</v>
      </c>
      <c r="F1080" s="18">
        <f>IF(AD1080="","",(1-$W$2)*(AD1080/1.2))</f>
        <v>6325</v>
      </c>
      <c r="G1080" s="69">
        <f>IF($W$5=0.2,F1080*1.2,F1080)/$W$4</f>
        <v>7590</v>
      </c>
      <c r="H1080" s="18">
        <f>IF(AE1080="","",(1-$W$2)*(AE1080/1.2))</f>
        <v>6575</v>
      </c>
      <c r="I1080" s="69">
        <f>IF($W$5=0.2,H1080*1.2,H1080)/$W$4</f>
        <v>7890</v>
      </c>
      <c r="J1080" s="18">
        <f>IF(AF1080="","",(1-$W$2)*(AF1080/1.2))</f>
        <v>7050</v>
      </c>
      <c r="K1080" s="69">
        <f>IF($W$5=0.2,J1080*1.2,J1080)/$W$4</f>
        <v>8460</v>
      </c>
      <c r="L1080" s="18">
        <f>IF(AG1080="","",(1-$W$2)*(AG1080/1.2))</f>
        <v>7375</v>
      </c>
      <c r="M1080" s="69">
        <f>IF($W$5=0.2,L1080*1.2,L1080)/$W$4</f>
        <v>8850</v>
      </c>
      <c r="N1080" s="108"/>
      <c r="O1080" s="20"/>
      <c r="P1080" s="20"/>
      <c r="Q1080" s="20"/>
      <c r="R1080" s="108"/>
      <c r="S1080" s="20"/>
      <c r="T1080" s="108"/>
      <c r="U1080" s="20"/>
      <c r="V1080" s="108"/>
      <c r="W1080" s="20"/>
      <c r="X1080" s="22"/>
      <c r="Y1080" s="22"/>
      <c r="Z1080" s="22"/>
      <c r="AA1080" s="22"/>
      <c r="AB1080" s="22"/>
      <c r="AC1080" s="346">
        <v>6660</v>
      </c>
      <c r="AD1080" s="413">
        <v>7590</v>
      </c>
      <c r="AE1080" s="346">
        <v>7890</v>
      </c>
      <c r="AF1080" s="346">
        <v>8460</v>
      </c>
      <c r="AG1080" s="346">
        <v>8850</v>
      </c>
      <c r="AH1080" s="301">
        <v>6660</v>
      </c>
      <c r="AI1080" s="301">
        <f t="shared" si="97"/>
        <v>0</v>
      </c>
      <c r="AJ1080" s="301">
        <v>7590</v>
      </c>
      <c r="AK1080" s="301">
        <f t="shared" si="98"/>
        <v>0</v>
      </c>
      <c r="AL1080" s="301">
        <v>7890</v>
      </c>
      <c r="AM1080" s="301">
        <f t="shared" si="99"/>
        <v>0</v>
      </c>
      <c r="AN1080" s="301">
        <v>8460</v>
      </c>
      <c r="AO1080" s="301">
        <f t="shared" si="100"/>
        <v>0</v>
      </c>
      <c r="AP1080" s="301">
        <v>8850</v>
      </c>
      <c r="AQ1080" s="301">
        <f t="shared" si="101"/>
        <v>0</v>
      </c>
    </row>
    <row r="1081" spans="2:43" ht="34.5" customHeight="1">
      <c r="B1081" s="23" t="s">
        <v>33</v>
      </c>
      <c r="C1081" s="24"/>
      <c r="D1081" s="25">
        <f>IF(AC1081="","",(1-$W$2)*(AC1081/1.2))</f>
        <v>5650</v>
      </c>
      <c r="E1081" s="72">
        <f>IF($W$5=0.2,D1081*1.2,D1081)/$W$4</f>
        <v>6780</v>
      </c>
      <c r="F1081" s="25">
        <f>IF(AD1081="","",(1-$W$2)*(AD1081/1.2))</f>
        <v>6433.3333333333339</v>
      </c>
      <c r="G1081" s="72">
        <f>IF($W$5=0.2,F1081*1.2,F1081)/$W$4</f>
        <v>7720</v>
      </c>
      <c r="H1081" s="25">
        <f>IF(AE1081="","",(1-$W$2)*(AE1081/1.2))</f>
        <v>6600</v>
      </c>
      <c r="I1081" s="72">
        <f>IF($W$5=0.2,H1081*1.2,H1081)/$W$4</f>
        <v>7920</v>
      </c>
      <c r="J1081" s="25">
        <f>IF(AF1081="","",(1-$W$2)*(AF1081/1.2))</f>
        <v>7116.666666666667</v>
      </c>
      <c r="K1081" s="72">
        <f>IF($W$5=0.2,J1081*1.2,J1081)/$W$4</f>
        <v>8540</v>
      </c>
      <c r="L1081" s="25">
        <f>IF(AG1081="","",(1-$W$2)*(AG1081/1.2))</f>
        <v>7441.666666666667</v>
      </c>
      <c r="M1081" s="72">
        <f>IF($W$5=0.2,L1081*1.2,L1081)/$W$4</f>
        <v>8930</v>
      </c>
      <c r="N1081" s="108"/>
      <c r="O1081" s="20"/>
      <c r="P1081" s="20"/>
      <c r="Q1081" s="20"/>
      <c r="R1081" s="108"/>
      <c r="S1081" s="20"/>
      <c r="T1081" s="108"/>
      <c r="U1081" s="20"/>
      <c r="V1081" s="108"/>
      <c r="W1081" s="20"/>
      <c r="X1081" s="22"/>
      <c r="Y1081" s="22"/>
      <c r="Z1081" s="22"/>
      <c r="AA1081" s="22"/>
      <c r="AB1081" s="22"/>
      <c r="AC1081" s="346">
        <v>6780</v>
      </c>
      <c r="AD1081" s="413">
        <v>7720</v>
      </c>
      <c r="AE1081" s="346">
        <v>7920</v>
      </c>
      <c r="AF1081" s="346">
        <v>8540</v>
      </c>
      <c r="AG1081" s="346">
        <v>8930</v>
      </c>
      <c r="AH1081" s="301">
        <v>6780</v>
      </c>
      <c r="AI1081" s="301">
        <f t="shared" si="97"/>
        <v>0</v>
      </c>
      <c r="AJ1081" s="301">
        <v>7720</v>
      </c>
      <c r="AK1081" s="301">
        <f t="shared" si="98"/>
        <v>0</v>
      </c>
      <c r="AL1081" s="301">
        <v>7920</v>
      </c>
      <c r="AM1081" s="301">
        <f t="shared" si="99"/>
        <v>0</v>
      </c>
      <c r="AN1081" s="301">
        <v>8540</v>
      </c>
      <c r="AO1081" s="301">
        <f t="shared" si="100"/>
        <v>0</v>
      </c>
      <c r="AP1081" s="301">
        <v>8930</v>
      </c>
      <c r="AQ1081" s="301">
        <f t="shared" si="101"/>
        <v>0</v>
      </c>
    </row>
    <row r="1082" spans="2:43" ht="14.25" customHeight="1">
      <c r="C1082" s="26"/>
      <c r="D1082" s="26"/>
      <c r="E1082" s="60"/>
      <c r="F1082" s="26"/>
      <c r="G1082" s="60"/>
      <c r="H1082" s="5"/>
      <c r="P1082" s="20"/>
      <c r="Q1082" s="20"/>
    </row>
    <row r="1083" spans="2:43" ht="12.75" customHeight="1">
      <c r="B1083" s="220" t="str">
        <f>IF($C$1="ENG","For additonal charge:","Послуги за додаткову плату:")</f>
        <v>Послуги за додаткову плату:</v>
      </c>
      <c r="C1083" s="221"/>
      <c r="D1083" s="221"/>
      <c r="E1083" s="222"/>
      <c r="F1083" s="26"/>
      <c r="G1083" s="60"/>
      <c r="H1083" s="10"/>
      <c r="I1083" s="8"/>
      <c r="J1083" s="8"/>
      <c r="K1083" s="8"/>
      <c r="P1083" s="20"/>
      <c r="Q1083" s="20"/>
    </row>
    <row r="1084" spans="2:43" ht="4.5" customHeight="1">
      <c r="B1084" s="27"/>
      <c r="C1084" s="26"/>
      <c r="D1084" s="26"/>
      <c r="E1084" s="60"/>
      <c r="F1084" s="26"/>
      <c r="G1084" s="26"/>
      <c r="H1084" s="10"/>
      <c r="I1084" s="8"/>
      <c r="J1084" s="8"/>
      <c r="K1084" s="8"/>
    </row>
    <row r="1085" spans="2:43" ht="12.75" customHeight="1">
      <c r="B1085" s="446" t="str">
        <f>IF($C$1="ENG","door leaf with width 100","полотно розміром 100")</f>
        <v>полотно розміром 100</v>
      </c>
      <c r="C1085" s="447"/>
      <c r="D1085" s="136">
        <f t="shared" ref="D1085:D1095" si="102">IF(AC1085="","",(1-$W$2)*(AC1085/1.2))</f>
        <v>600</v>
      </c>
      <c r="E1085" s="96">
        <f t="shared" ref="E1085:E1094" si="103">IF($W$5=0.2,D1085*1.2,D1085)/$W$4</f>
        <v>720</v>
      </c>
      <c r="F1085" s="26"/>
      <c r="G1085" s="26"/>
      <c r="H1085" s="10"/>
      <c r="I1085" s="8"/>
      <c r="J1085" s="8"/>
      <c r="K1085" s="8"/>
      <c r="AC1085" s="301">
        <v>720</v>
      </c>
      <c r="AD1085" s="301">
        <v>720</v>
      </c>
      <c r="AE1085" s="301"/>
      <c r="AF1085" s="301"/>
      <c r="AG1085" s="301"/>
      <c r="AH1085" s="301"/>
      <c r="AI1085" s="301"/>
      <c r="AJ1085" s="301"/>
      <c r="AK1085" s="301"/>
      <c r="AL1085" s="301"/>
    </row>
    <row r="1086" spans="2:43" ht="12.75" customHeight="1">
      <c r="B1086" s="439" t="str">
        <f>IF($C$1="ENG","Ventilation sleeves (1 row)","вентиляційні віддушини (1ряд)")</f>
        <v>вентиляційні віддушини (1ряд)</v>
      </c>
      <c r="C1086" s="440"/>
      <c r="D1086" s="137">
        <f t="shared" si="102"/>
        <v>208.33333333333334</v>
      </c>
      <c r="E1086" s="97">
        <f t="shared" si="103"/>
        <v>250</v>
      </c>
      <c r="F1086" s="26"/>
      <c r="G1086" s="26"/>
      <c r="I1086" s="11"/>
      <c r="J1086" s="11"/>
      <c r="K1086" s="11"/>
      <c r="AC1086" s="301">
        <v>250</v>
      </c>
      <c r="AD1086" s="301">
        <v>250</v>
      </c>
      <c r="AE1086" s="301"/>
      <c r="AF1086" s="301"/>
      <c r="AG1086" s="301"/>
      <c r="AH1086" s="301"/>
      <c r="AI1086" s="301"/>
      <c r="AJ1086" s="301"/>
      <c r="AK1086" s="301"/>
      <c r="AL1086" s="301"/>
    </row>
    <row r="1087" spans="2:43" ht="12.75" customHeight="1">
      <c r="B1087" s="446" t="str">
        <f>IF($C$1="ENG","Ventilation cut","вентиляційний підріз")</f>
        <v>вентиляційний підріз</v>
      </c>
      <c r="C1087" s="447"/>
      <c r="D1087" s="137">
        <f t="shared" si="102"/>
        <v>141.66666666666669</v>
      </c>
      <c r="E1087" s="69">
        <f t="shared" si="103"/>
        <v>170.00000000000003</v>
      </c>
      <c r="F1087" s="26"/>
      <c r="G1087" s="26"/>
      <c r="I1087" s="62"/>
      <c r="J1087" s="28"/>
      <c r="AC1087" s="301">
        <v>170</v>
      </c>
      <c r="AD1087" s="301">
        <v>170</v>
      </c>
      <c r="AE1087" s="301"/>
      <c r="AF1087" s="301"/>
      <c r="AG1087" s="301"/>
      <c r="AH1087" s="301"/>
      <c r="AI1087" s="301"/>
      <c r="AJ1087" s="301"/>
      <c r="AK1087" s="301"/>
      <c r="AL1087" s="301"/>
    </row>
    <row r="1088" spans="2:43" ht="12.75" customHeight="1">
      <c r="B1088" s="439" t="str">
        <f>IF($C$1="ENG","glazing Graphite / Bronze","скло Графіт / Бронза")</f>
        <v>скло Графіт / Бронза</v>
      </c>
      <c r="C1088" s="440"/>
      <c r="D1088" s="106">
        <f t="shared" si="102"/>
        <v>458.33333333333337</v>
      </c>
      <c r="E1088" s="97">
        <f t="shared" si="103"/>
        <v>550</v>
      </c>
      <c r="F1088" s="26"/>
      <c r="G1088" s="26"/>
      <c r="H1088" s="5"/>
      <c r="AC1088" s="301">
        <v>550</v>
      </c>
      <c r="AD1088" s="301">
        <v>550</v>
      </c>
      <c r="AE1088" s="301"/>
      <c r="AF1088" s="301"/>
      <c r="AG1088" s="301"/>
      <c r="AH1088" s="301"/>
      <c r="AI1088" s="301"/>
      <c r="AJ1088" s="301"/>
      <c r="AK1088" s="301"/>
      <c r="AL1088" s="301"/>
    </row>
    <row r="1089" spans="2:38" ht="12.75" customHeight="1">
      <c r="B1089" s="439" t="str">
        <f>IF($C$1="ENG","door lock Soft","замок Soft")</f>
        <v>замок Soft</v>
      </c>
      <c r="C1089" s="440"/>
      <c r="D1089" s="106">
        <f t="shared" si="102"/>
        <v>458.33333333333337</v>
      </c>
      <c r="E1089" s="97">
        <f t="shared" si="103"/>
        <v>550</v>
      </c>
      <c r="F1089" s="26"/>
      <c r="G1089" s="26"/>
      <c r="H1089" s="5"/>
      <c r="AC1089" s="301">
        <v>550</v>
      </c>
      <c r="AD1089" s="301">
        <v>550</v>
      </c>
      <c r="AE1089" s="301"/>
      <c r="AF1089" s="301"/>
      <c r="AG1089" s="301"/>
      <c r="AH1089" s="301"/>
      <c r="AI1089" s="301"/>
      <c r="AJ1089" s="301"/>
      <c r="AK1089" s="301"/>
      <c r="AL1089" s="301"/>
    </row>
    <row r="1090" spans="2:38" ht="12.75" customHeight="1">
      <c r="B1090" s="439" t="str">
        <f>IF($C$1="ENG","door lock Magnet","замок Magnet")</f>
        <v>замок Magnet</v>
      </c>
      <c r="C1090" s="440"/>
      <c r="D1090" s="106">
        <f t="shared" si="102"/>
        <v>666.66666666666674</v>
      </c>
      <c r="E1090" s="97">
        <f t="shared" si="103"/>
        <v>800.00000000000011</v>
      </c>
      <c r="F1090" s="26"/>
      <c r="G1090" s="26"/>
      <c r="H1090" s="5"/>
      <c r="AC1090" s="301">
        <v>800</v>
      </c>
      <c r="AD1090" s="301">
        <v>800</v>
      </c>
      <c r="AE1090" s="301"/>
      <c r="AF1090" s="301"/>
      <c r="AG1090" s="301"/>
      <c r="AH1090" s="301"/>
      <c r="AI1090" s="301"/>
      <c r="AJ1090" s="301"/>
      <c r="AK1090" s="301"/>
      <c r="AL1090" s="301"/>
    </row>
    <row r="1091" spans="2:38" ht="12.75" customHeight="1">
      <c r="B1091" s="439" t="str">
        <f>IF($C$1="ENG","door handle-lock (for sliding doors)","ручка-замок (для дверей купе)")</f>
        <v>ручка-замок (для дверей купе)</v>
      </c>
      <c r="C1091" s="440"/>
      <c r="D1091" s="137">
        <f t="shared" si="102"/>
        <v>466.66666666666669</v>
      </c>
      <c r="E1091" s="97">
        <f t="shared" si="103"/>
        <v>560</v>
      </c>
      <c r="F1091" s="26"/>
      <c r="G1091" s="26"/>
      <c r="I1091" s="11"/>
      <c r="J1091" s="11"/>
      <c r="K1091" s="19"/>
      <c r="AC1091" s="301">
        <v>560</v>
      </c>
      <c r="AD1091" s="301">
        <v>560</v>
      </c>
      <c r="AE1091" s="301"/>
      <c r="AF1091" s="301"/>
      <c r="AG1091" s="301"/>
      <c r="AH1091" s="301"/>
      <c r="AI1091" s="301"/>
      <c r="AJ1091" s="301"/>
      <c r="AK1091" s="301"/>
      <c r="AL1091" s="301"/>
    </row>
    <row r="1092" spans="2:38" ht="12.75" customHeight="1">
      <c r="B1092" s="439" t="str">
        <f>IF($C$1="ENG","cylinder incert","циліндр несиметричний")</f>
        <v>циліндр несиметричний</v>
      </c>
      <c r="C1092" s="440"/>
      <c r="D1092" s="137">
        <f t="shared" si="102"/>
        <v>316.66666666666669</v>
      </c>
      <c r="E1092" s="97">
        <f t="shared" si="103"/>
        <v>380</v>
      </c>
      <c r="F1092" s="26"/>
      <c r="G1092" s="26"/>
      <c r="AC1092" s="301">
        <v>380</v>
      </c>
      <c r="AD1092" s="301">
        <v>380</v>
      </c>
      <c r="AE1092" s="301"/>
      <c r="AF1092" s="301"/>
      <c r="AG1092" s="301"/>
      <c r="AH1092" s="301"/>
      <c r="AI1092" s="301"/>
      <c r="AJ1092" s="301"/>
      <c r="AK1092" s="301"/>
      <c r="AL1092" s="301"/>
    </row>
    <row r="1093" spans="2:38" ht="12.75" customHeight="1">
      <c r="B1093" s="439" t="str">
        <f>IF($C$1="ENG","door hindge Prestige (1 unit)","завіса Prestige (1 шт)")</f>
        <v>завіса Prestige (1 шт)</v>
      </c>
      <c r="C1093" s="440"/>
      <c r="D1093" s="139">
        <f t="shared" si="102"/>
        <v>216.66666666666669</v>
      </c>
      <c r="E1093" s="97">
        <f t="shared" si="103"/>
        <v>260</v>
      </c>
      <c r="F1093" s="26"/>
      <c r="G1093" s="26"/>
      <c r="AC1093" s="301">
        <v>260</v>
      </c>
      <c r="AD1093" s="301">
        <v>260</v>
      </c>
      <c r="AE1093" s="301"/>
      <c r="AF1093" s="301"/>
      <c r="AG1093" s="301"/>
      <c r="AH1093" s="301"/>
      <c r="AI1093" s="301"/>
      <c r="AJ1093" s="301"/>
      <c r="AK1093" s="301"/>
      <c r="AL1093" s="301"/>
    </row>
    <row r="1094" spans="2:38" ht="12.75" customHeight="1">
      <c r="B1094" s="439" t="str">
        <f>IF($C$1="ENG","door hinge caps (1 set)","накладка на завіси (1 к-т)")</f>
        <v>накладка на завіси (1 к-т)</v>
      </c>
      <c r="C1094" s="440"/>
      <c r="D1094" s="139">
        <f t="shared" si="102"/>
        <v>66.666666666666671</v>
      </c>
      <c r="E1094" s="97">
        <f t="shared" si="103"/>
        <v>80</v>
      </c>
      <c r="F1094" s="26"/>
      <c r="G1094" s="26"/>
      <c r="AC1094" s="301">
        <v>80</v>
      </c>
      <c r="AD1094" s="301">
        <v>80</v>
      </c>
      <c r="AE1094" s="301"/>
      <c r="AF1094" s="301"/>
      <c r="AG1094" s="301"/>
      <c r="AH1094" s="301"/>
      <c r="AI1094" s="301"/>
      <c r="AJ1094" s="301"/>
      <c r="AK1094" s="301"/>
      <c r="AL1094" s="301"/>
    </row>
    <row r="1095" spans="2:38" ht="12.75" customHeight="1">
      <c r="B1095" s="439" t="str">
        <f>IF($C$1="ENG","door handle","дверна ручка")</f>
        <v>дверна ручка</v>
      </c>
      <c r="C1095" s="440"/>
      <c r="D1095" s="138" t="str">
        <f t="shared" si="102"/>
        <v/>
      </c>
      <c r="E1095" s="256" t="str">
        <f>IF($C$1="ENG","see Handles Price","див. Таблицю Ручки")</f>
        <v>див. Таблицю Ручки</v>
      </c>
      <c r="F1095" s="26"/>
      <c r="G1095" s="26"/>
      <c r="AC1095" s="310"/>
      <c r="AD1095" s="301"/>
      <c r="AE1095" s="301"/>
      <c r="AF1095" s="301"/>
      <c r="AG1095" s="301"/>
      <c r="AH1095" s="301"/>
      <c r="AI1095" s="301"/>
      <c r="AJ1095" s="301"/>
      <c r="AK1095" s="301"/>
      <c r="AL1095" s="301"/>
    </row>
    <row r="1096" spans="2:38" ht="14.25" customHeight="1">
      <c r="C1096" s="26"/>
      <c r="D1096" s="26"/>
      <c r="E1096" s="26"/>
      <c r="F1096" s="26"/>
      <c r="G1096" s="26"/>
      <c r="H1096" s="5"/>
      <c r="U1096" s="460" t="str">
        <f>IF($C$1="ENG",CONCATENATE("down to: ",B1146),CONCATENATE("вниз до: ",B1146))</f>
        <v>вниз до: Полотна збірні: ЛІНДА</v>
      </c>
      <c r="V1096" s="460"/>
      <c r="W1096" s="460"/>
      <c r="X1096" s="316"/>
      <c r="Y1096" s="316"/>
      <c r="Z1096" s="316"/>
      <c r="AA1096" s="316"/>
      <c r="AB1096" s="316"/>
    </row>
    <row r="1097" spans="2:38" ht="14.25" customHeight="1">
      <c r="C1097" s="26"/>
      <c r="D1097" s="26"/>
      <c r="E1097" s="26"/>
      <c r="F1097" s="26"/>
      <c r="G1097" s="26"/>
      <c r="H1097" s="5"/>
    </row>
    <row r="1098" spans="2:38" ht="14.25" customHeight="1">
      <c r="C1098" s="26"/>
      <c r="D1098" s="26"/>
      <c r="E1098" s="26"/>
      <c r="F1098" s="26"/>
      <c r="G1098" s="26"/>
      <c r="H1098" s="5"/>
    </row>
    <row r="1099" spans="2:38" ht="14.25" customHeight="1">
      <c r="C1099" s="26"/>
      <c r="D1099" s="26"/>
      <c r="E1099" s="26"/>
      <c r="F1099" s="26"/>
      <c r="G1099" s="26"/>
      <c r="H1099" s="5"/>
    </row>
    <row r="1100" spans="2:38" ht="14.25" customHeight="1">
      <c r="C1100" s="26"/>
      <c r="D1100" s="26"/>
      <c r="E1100" s="26"/>
      <c r="F1100" s="26"/>
      <c r="G1100" s="26"/>
      <c r="H1100" s="5"/>
    </row>
    <row r="1101" spans="2:38" ht="14.25" customHeight="1">
      <c r="C1101" s="26"/>
      <c r="D1101" s="26"/>
      <c r="E1101" s="26"/>
      <c r="F1101" s="26"/>
      <c r="G1101" s="26"/>
      <c r="H1101" s="5"/>
    </row>
    <row r="1102" spans="2:38" ht="14.25" customHeight="1">
      <c r="C1102" s="26"/>
      <c r="D1102" s="26"/>
      <c r="E1102" s="26"/>
      <c r="F1102" s="26"/>
      <c r="G1102" s="26"/>
      <c r="H1102" s="5"/>
    </row>
    <row r="1103" spans="2:38" ht="14.25" customHeight="1">
      <c r="C1103" s="26"/>
      <c r="D1103" s="26"/>
      <c r="E1103" s="26"/>
      <c r="F1103" s="26"/>
      <c r="G1103" s="26"/>
      <c r="H1103" s="5"/>
    </row>
    <row r="1104" spans="2:38" ht="14.25" customHeight="1">
      <c r="C1104" s="26"/>
      <c r="D1104" s="26"/>
      <c r="E1104" s="26"/>
      <c r="F1104" s="26"/>
      <c r="G1104" s="26"/>
      <c r="H1104" s="5"/>
    </row>
    <row r="1105" spans="3:8" ht="14.25" customHeight="1">
      <c r="C1105" s="26"/>
      <c r="D1105" s="26"/>
      <c r="E1105" s="26"/>
      <c r="F1105" s="26"/>
      <c r="G1105" s="26"/>
      <c r="H1105" s="5"/>
    </row>
    <row r="1106" spans="3:8" ht="14.25" customHeight="1">
      <c r="C1106" s="26"/>
      <c r="D1106" s="26"/>
      <c r="E1106" s="26"/>
      <c r="F1106" s="26"/>
      <c r="G1106" s="26"/>
      <c r="H1106" s="5"/>
    </row>
    <row r="1107" spans="3:8" ht="14.25" customHeight="1">
      <c r="C1107" s="26"/>
      <c r="D1107" s="26"/>
      <c r="E1107" s="26"/>
      <c r="F1107" s="26"/>
      <c r="G1107" s="26"/>
      <c r="H1107" s="5"/>
    </row>
    <row r="1108" spans="3:8" ht="14.25" customHeight="1">
      <c r="C1108" s="26"/>
      <c r="D1108" s="26"/>
      <c r="E1108" s="26"/>
      <c r="F1108" s="26"/>
      <c r="G1108" s="26"/>
      <c r="H1108" s="5"/>
    </row>
    <row r="1109" spans="3:8" ht="14.25" customHeight="1">
      <c r="C1109" s="26"/>
      <c r="D1109" s="26"/>
      <c r="E1109" s="26"/>
      <c r="F1109" s="26"/>
      <c r="G1109" s="26"/>
      <c r="H1109" s="5"/>
    </row>
    <row r="1110" spans="3:8" ht="14.25" customHeight="1">
      <c r="C1110" s="26"/>
      <c r="D1110" s="26"/>
      <c r="E1110" s="26"/>
      <c r="F1110" s="26"/>
      <c r="G1110" s="26"/>
      <c r="H1110" s="5"/>
    </row>
    <row r="1111" spans="3:8" ht="14.25" customHeight="1">
      <c r="C1111" s="26"/>
      <c r="D1111" s="26"/>
      <c r="E1111" s="26"/>
      <c r="F1111" s="26"/>
      <c r="G1111" s="26"/>
      <c r="H1111" s="5"/>
    </row>
    <row r="1112" spans="3:8" ht="14.25" customHeight="1">
      <c r="C1112" s="26"/>
      <c r="D1112" s="26"/>
      <c r="E1112" s="26"/>
      <c r="F1112" s="26"/>
      <c r="G1112" s="26"/>
      <c r="H1112" s="5"/>
    </row>
    <row r="1113" spans="3:8" ht="14.25" customHeight="1">
      <c r="C1113" s="26"/>
      <c r="D1113" s="26"/>
      <c r="E1113" s="26"/>
      <c r="F1113" s="26"/>
      <c r="G1113" s="26"/>
      <c r="H1113" s="5"/>
    </row>
    <row r="1114" spans="3:8" ht="14.25" customHeight="1">
      <c r="C1114" s="26"/>
      <c r="D1114" s="26"/>
      <c r="E1114" s="26"/>
      <c r="F1114" s="26"/>
      <c r="G1114" s="26"/>
      <c r="H1114" s="5"/>
    </row>
    <row r="1115" spans="3:8" ht="14.25" customHeight="1">
      <c r="C1115" s="26"/>
      <c r="D1115" s="26"/>
      <c r="E1115" s="26"/>
      <c r="F1115" s="26"/>
      <c r="G1115" s="26"/>
      <c r="H1115" s="5"/>
    </row>
    <row r="1116" spans="3:8" ht="14.25" customHeight="1">
      <c r="C1116" s="26"/>
      <c r="D1116" s="26"/>
      <c r="E1116" s="26"/>
      <c r="F1116" s="26"/>
      <c r="G1116" s="26"/>
      <c r="H1116" s="5"/>
    </row>
    <row r="1117" spans="3:8" ht="14.25" customHeight="1">
      <c r="C1117" s="26"/>
      <c r="D1117" s="26"/>
      <c r="E1117" s="26"/>
      <c r="F1117" s="26"/>
      <c r="G1117" s="26"/>
      <c r="H1117" s="5"/>
    </row>
    <row r="1118" spans="3:8" ht="14.25" customHeight="1">
      <c r="C1118" s="26"/>
      <c r="D1118" s="26"/>
      <c r="E1118" s="26"/>
      <c r="F1118" s="26"/>
      <c r="G1118" s="26"/>
      <c r="H1118" s="5"/>
    </row>
    <row r="1119" spans="3:8" ht="14.25" customHeight="1">
      <c r="C1119" s="26"/>
      <c r="D1119" s="26"/>
      <c r="E1119" s="26"/>
      <c r="F1119" s="26"/>
      <c r="G1119" s="26"/>
      <c r="H1119" s="5"/>
    </row>
    <row r="1120" spans="3:8" ht="14.25" customHeight="1">
      <c r="C1120" s="26"/>
      <c r="D1120" s="26"/>
      <c r="E1120" s="26"/>
      <c r="F1120" s="26"/>
      <c r="G1120" s="26"/>
      <c r="H1120" s="5"/>
    </row>
    <row r="1121" spans="3:8" ht="14.25" customHeight="1">
      <c r="C1121" s="26"/>
      <c r="D1121" s="26"/>
      <c r="E1121" s="26"/>
      <c r="F1121" s="26"/>
      <c r="G1121" s="26"/>
      <c r="H1121" s="5"/>
    </row>
    <row r="1122" spans="3:8" ht="14.25" customHeight="1">
      <c r="C1122" s="26"/>
      <c r="D1122" s="26"/>
      <c r="E1122" s="26"/>
      <c r="F1122" s="26"/>
      <c r="G1122" s="26"/>
      <c r="H1122" s="5"/>
    </row>
    <row r="1123" spans="3:8" ht="14.25" customHeight="1">
      <c r="C1123" s="26"/>
      <c r="D1123" s="26"/>
      <c r="E1123" s="26"/>
      <c r="F1123" s="26"/>
      <c r="G1123" s="26"/>
      <c r="H1123" s="5"/>
    </row>
    <row r="1124" spans="3:8" ht="14.25" customHeight="1">
      <c r="C1124" s="26"/>
      <c r="D1124" s="26"/>
      <c r="E1124" s="26"/>
      <c r="F1124" s="26"/>
      <c r="G1124" s="26"/>
      <c r="H1124" s="5"/>
    </row>
    <row r="1125" spans="3:8" ht="14.25" customHeight="1">
      <c r="C1125" s="26"/>
      <c r="D1125" s="26"/>
      <c r="E1125" s="26"/>
      <c r="F1125" s="26"/>
      <c r="G1125" s="26"/>
      <c r="H1125" s="5"/>
    </row>
    <row r="1126" spans="3:8" ht="14.25" customHeight="1">
      <c r="C1126" s="26"/>
      <c r="D1126" s="26"/>
      <c r="E1126" s="26"/>
      <c r="F1126" s="26"/>
      <c r="G1126" s="26"/>
      <c r="H1126" s="5"/>
    </row>
    <row r="1127" spans="3:8" ht="14.25" customHeight="1">
      <c r="C1127" s="26"/>
      <c r="D1127" s="26"/>
      <c r="E1127" s="26"/>
      <c r="F1127" s="26"/>
      <c r="G1127" s="26"/>
      <c r="H1127" s="5"/>
    </row>
    <row r="1128" spans="3:8" ht="14.25" customHeight="1">
      <c r="C1128" s="26"/>
      <c r="D1128" s="26"/>
      <c r="E1128" s="26"/>
      <c r="F1128" s="26"/>
      <c r="G1128" s="26"/>
      <c r="H1128" s="5"/>
    </row>
    <row r="1129" spans="3:8" ht="14.25" customHeight="1">
      <c r="C1129" s="26"/>
      <c r="D1129" s="26"/>
      <c r="E1129" s="26"/>
      <c r="F1129" s="26"/>
      <c r="G1129" s="26"/>
      <c r="H1129" s="5"/>
    </row>
    <row r="1130" spans="3:8" ht="14.25" customHeight="1">
      <c r="C1130" s="26"/>
      <c r="D1130" s="26"/>
      <c r="E1130" s="26"/>
      <c r="F1130" s="26"/>
      <c r="G1130" s="26"/>
      <c r="H1130" s="5"/>
    </row>
    <row r="1131" spans="3:8" ht="14.25" customHeight="1">
      <c r="C1131" s="26"/>
      <c r="D1131" s="26"/>
      <c r="E1131" s="26"/>
      <c r="F1131" s="26"/>
      <c r="G1131" s="26"/>
      <c r="H1131" s="5"/>
    </row>
    <row r="1132" spans="3:8" ht="14.25" customHeight="1">
      <c r="C1132" s="26"/>
      <c r="D1132" s="26"/>
      <c r="E1132" s="26"/>
      <c r="F1132" s="26"/>
      <c r="G1132" s="26"/>
      <c r="H1132" s="5"/>
    </row>
    <row r="1133" spans="3:8" ht="14.25" customHeight="1">
      <c r="C1133" s="26"/>
      <c r="D1133" s="26"/>
      <c r="E1133" s="26"/>
      <c r="F1133" s="26"/>
      <c r="G1133" s="26"/>
      <c r="H1133" s="5"/>
    </row>
    <row r="1134" spans="3:8" ht="14.25" customHeight="1">
      <c r="C1134" s="26"/>
      <c r="D1134" s="26"/>
      <c r="E1134" s="26"/>
      <c r="F1134" s="26"/>
      <c r="G1134" s="26"/>
      <c r="H1134" s="5"/>
    </row>
    <row r="1135" spans="3:8" ht="14.25" customHeight="1">
      <c r="C1135" s="26"/>
      <c r="D1135" s="26"/>
      <c r="E1135" s="26"/>
      <c r="F1135" s="26"/>
      <c r="G1135" s="26"/>
      <c r="H1135" s="5"/>
    </row>
    <row r="1136" spans="3:8" ht="14.25" customHeight="1">
      <c r="C1136" s="26"/>
      <c r="D1136" s="26"/>
      <c r="E1136" s="26"/>
      <c r="F1136" s="26"/>
      <c r="G1136" s="26"/>
      <c r="H1136" s="5"/>
    </row>
    <row r="1137" spans="1:46" ht="14.25" customHeight="1">
      <c r="C1137" s="26"/>
      <c r="D1137" s="26"/>
      <c r="E1137" s="26"/>
      <c r="F1137" s="26"/>
      <c r="G1137" s="26"/>
      <c r="H1137" s="5"/>
    </row>
    <row r="1138" spans="1:46" ht="14.25" customHeight="1">
      <c r="C1138" s="26"/>
      <c r="D1138" s="26"/>
      <c r="E1138" s="26"/>
      <c r="F1138" s="26"/>
      <c r="G1138" s="26"/>
      <c r="H1138" s="5"/>
    </row>
    <row r="1139" spans="1:46" ht="14.25" customHeight="1">
      <c r="C1139" s="26"/>
      <c r="D1139" s="26"/>
      <c r="E1139" s="26"/>
      <c r="F1139" s="26"/>
      <c r="G1139" s="26"/>
      <c r="H1139" s="5"/>
    </row>
    <row r="1140" spans="1:46" ht="14.25" customHeight="1">
      <c r="C1140" s="26"/>
      <c r="D1140" s="26"/>
      <c r="E1140" s="26"/>
      <c r="F1140" s="26"/>
      <c r="G1140" s="26"/>
      <c r="H1140" s="5"/>
    </row>
    <row r="1141" spans="1:46" ht="14.25" customHeight="1">
      <c r="C1141" s="26"/>
      <c r="D1141" s="26"/>
      <c r="E1141" s="26"/>
      <c r="F1141" s="26"/>
      <c r="G1141" s="26"/>
      <c r="H1141" s="5"/>
    </row>
    <row r="1142" spans="1:46" ht="14.25" customHeight="1">
      <c r="C1142" s="26"/>
      <c r="D1142" s="26"/>
      <c r="E1142" s="26"/>
      <c r="F1142" s="26"/>
      <c r="G1142" s="26"/>
      <c r="H1142" s="5"/>
    </row>
    <row r="1143" spans="1:46" ht="14.25" customHeight="1">
      <c r="C1143" s="26"/>
      <c r="D1143" s="26"/>
      <c r="E1143" s="26"/>
      <c r="F1143" s="26"/>
      <c r="G1143" s="26"/>
      <c r="H1143" s="5"/>
    </row>
    <row r="1144" spans="1:46" ht="14.25" customHeight="1">
      <c r="C1144" s="26"/>
      <c r="D1144" s="26"/>
      <c r="E1144" s="26"/>
      <c r="F1144" s="26"/>
      <c r="G1144" s="26"/>
      <c r="H1144" s="5"/>
    </row>
    <row r="1145" spans="1:46" ht="14.25" customHeight="1">
      <c r="C1145" s="26"/>
      <c r="D1145" s="26"/>
      <c r="E1145" s="26"/>
      <c r="F1145" s="26"/>
      <c r="G1145" s="26"/>
      <c r="H1145" s="5"/>
    </row>
    <row r="1146" spans="1:46" s="8" customFormat="1">
      <c r="B1146" s="421" t="str">
        <f>TITLE!C23</f>
        <v>Полотна збірні: ЛІНДА</v>
      </c>
      <c r="C1146" s="421"/>
      <c r="D1146" s="122"/>
      <c r="E1146" s="122"/>
      <c r="F1146" s="122"/>
      <c r="G1146" s="122"/>
      <c r="H1146" s="445"/>
      <c r="I1146" s="44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419" t="str">
        <f>IF($C$1="ENG",CONCATENATE("up to: ",B1072),CONCATENATE("вгору до: ",B1072))</f>
        <v>вгору до: Полотна збірні: ЛАДА-ЛОФТ</v>
      </c>
      <c r="U1146" s="419"/>
      <c r="V1146" s="419"/>
      <c r="W1146" s="419"/>
      <c r="AN1146" s="291"/>
      <c r="AO1146" s="291"/>
      <c r="AP1146" s="291"/>
      <c r="AQ1146" s="291"/>
      <c r="AR1146" s="291"/>
      <c r="AS1146" s="291"/>
      <c r="AT1146" s="291"/>
    </row>
    <row r="1147" spans="1:46" s="8" customFormat="1" ht="5.0999999999999996" customHeight="1">
      <c r="B1147" s="121"/>
      <c r="C1147" s="121"/>
      <c r="D1147" s="9"/>
      <c r="E1147" s="9"/>
      <c r="F1147" s="9"/>
      <c r="G1147" s="9"/>
      <c r="H1147" s="124"/>
      <c r="I1147" s="124"/>
      <c r="T1147" s="119"/>
      <c r="U1147" s="119"/>
      <c r="V1147" s="119"/>
      <c r="W1147" s="119"/>
      <c r="AN1147" s="291"/>
      <c r="AO1147" s="291"/>
      <c r="AP1147" s="291"/>
      <c r="AQ1147" s="291"/>
      <c r="AR1147" s="291"/>
      <c r="AS1147" s="291"/>
      <c r="AT1147" s="291"/>
    </row>
    <row r="1148" spans="1:46" s="8" customFormat="1" ht="12.75" customHeight="1">
      <c r="B1148" s="448" t="str">
        <f>IF($C$1="ENG","model","модель")</f>
        <v>модель</v>
      </c>
      <c r="C1148" s="126" t="str">
        <f>IF($C$1="ENG","cover:","покриття:")</f>
        <v>покриття:</v>
      </c>
      <c r="D1148" s="430" t="str">
        <f>IF($C$1="ENG","Verto-CELL","Verto-CELL")</f>
        <v>Verto-CELL</v>
      </c>
      <c r="E1148" s="432"/>
      <c r="F1148" s="430" t="str">
        <f>IF($C$1="ENG","UNI-MAT","UNI-MAT")</f>
        <v>UNI-MAT</v>
      </c>
      <c r="G1148" s="432"/>
      <c r="H1148" s="430" t="str">
        <f>IF($C$1="ENG","RESIST","RESIST")</f>
        <v>RESIST</v>
      </c>
      <c r="I1148" s="432"/>
      <c r="J1148" s="430" t="str">
        <f>IF($C$1="ENG","Verto LINE-3D","Verto LINE-3D")</f>
        <v>Verto LINE-3D</v>
      </c>
      <c r="K1148" s="432"/>
      <c r="L1148" s="430" t="str">
        <f>IF($C$1="ENG","ECO Shpon","ЕКО Шпон")</f>
        <v>ЕКО Шпон</v>
      </c>
      <c r="M1148" s="432"/>
      <c r="P1148" s="1"/>
      <c r="Q1148" s="1"/>
      <c r="T1148" s="119"/>
      <c r="U1148" s="119"/>
      <c r="V1148" s="119"/>
      <c r="W1148" s="119"/>
      <c r="AN1148" s="291"/>
      <c r="AO1148" s="291"/>
      <c r="AP1148" s="291"/>
      <c r="AQ1148" s="291"/>
      <c r="AR1148" s="291"/>
      <c r="AS1148" s="291"/>
      <c r="AT1148" s="291"/>
    </row>
    <row r="1149" spans="1:46" s="8" customFormat="1" ht="24.75" customHeight="1">
      <c r="B1149" s="449"/>
      <c r="C1149" s="127" t="str">
        <f>IF($C$1="ENG","filling:","заповнення:")</f>
        <v>заповнення:</v>
      </c>
      <c r="D1149" s="441" t="str">
        <f>IF($C$1="ENG","softwood","клеєний сосновий брус")</f>
        <v>клеєний сосновий брус</v>
      </c>
      <c r="E1149" s="442"/>
      <c r="F1149" s="441" t="str">
        <f>IF($C$1="ENG","softwood","клеєний сосновий брус")</f>
        <v>клеєний сосновий брус</v>
      </c>
      <c r="G1149" s="442"/>
      <c r="H1149" s="441" t="str">
        <f>IF($C$1="ENG","softwood","клеєний сосновий брус")</f>
        <v>клеєний сосновий брус</v>
      </c>
      <c r="I1149" s="442"/>
      <c r="J1149" s="441" t="str">
        <f>IF($C$1="ENG","softwood","клеєний сосновий брус")</f>
        <v>клеєний сосновий брус</v>
      </c>
      <c r="K1149" s="442"/>
      <c r="L1149" s="441" t="str">
        <f>IF($C$1="ENG","softwood","клеєний сосновий брус")</f>
        <v>клеєний сосновий брус</v>
      </c>
      <c r="M1149" s="442"/>
      <c r="P1149" s="1"/>
      <c r="Q1149" s="1"/>
      <c r="T1149" s="119"/>
      <c r="U1149" s="119"/>
      <c r="V1149" s="119"/>
      <c r="W1149" s="119"/>
      <c r="AD1149" s="405">
        <f>AD1151/AC1151-1</f>
        <v>0.13961038961038952</v>
      </c>
      <c r="AE1149" s="405">
        <f>AE1151/AD1151-1</f>
        <v>4.2735042735042805E-2</v>
      </c>
      <c r="AF1149" s="405">
        <f>AF1151/AE1151-1</f>
        <v>7.5136612021857951E-2</v>
      </c>
      <c r="AG1149" s="405">
        <f>AG1151/AF1151-1</f>
        <v>5.2096569250317692E-2</v>
      </c>
      <c r="AN1149" s="291"/>
      <c r="AO1149" s="291"/>
      <c r="AP1149" s="291"/>
      <c r="AQ1149" s="291"/>
      <c r="AR1149" s="291"/>
      <c r="AS1149" s="291"/>
      <c r="AT1149" s="291"/>
    </row>
    <row r="1150" spans="1:46" ht="12.75" customHeight="1">
      <c r="A1150" s="8"/>
      <c r="B1150" s="450"/>
      <c r="C1150" s="128" t="str">
        <f>IF($C$1="ENG","glazing:","скління:")</f>
        <v>скління:</v>
      </c>
      <c r="D1150" s="424" t="str">
        <f>IF($C$1="ENG","Satin","Сатин")</f>
        <v>Сатин</v>
      </c>
      <c r="E1150" s="434"/>
      <c r="F1150" s="424" t="str">
        <f>IF($C$1="ENG","Satin","Сатин")</f>
        <v>Сатин</v>
      </c>
      <c r="G1150" s="434"/>
      <c r="H1150" s="424" t="str">
        <f>IF($C$1="ENG","Satin","Сатин")</f>
        <v>Сатин</v>
      </c>
      <c r="I1150" s="434"/>
      <c r="J1150" s="424" t="str">
        <f>IF($C$1="ENG","Satin","Сатин")</f>
        <v>Сатин</v>
      </c>
      <c r="K1150" s="434"/>
      <c r="L1150" s="424" t="str">
        <f>IF($C$1="ENG","Satin","Сатин")</f>
        <v>Сатин</v>
      </c>
      <c r="M1150" s="434"/>
    </row>
    <row r="1151" spans="1:46" ht="35.1" customHeight="1">
      <c r="A1151" s="8"/>
      <c r="B1151" s="16" t="s">
        <v>50</v>
      </c>
      <c r="C1151" s="17"/>
      <c r="D1151" s="18">
        <f>IF(AC1151="","",(1-$W$2)*(AC1151/1.2))</f>
        <v>5133.3333333333339</v>
      </c>
      <c r="E1151" s="69">
        <f>IF($W$5=0.2,D1151*1.2,D1151)/$W$4</f>
        <v>6160.0000000000009</v>
      </c>
      <c r="F1151" s="18">
        <f>IF(AD1151="","",(1-$W$2)*(AD1151/1.2))</f>
        <v>5850</v>
      </c>
      <c r="G1151" s="69">
        <f>IF($W$5=0.2,F1151*1.2,F1151)/$W$4</f>
        <v>7020</v>
      </c>
      <c r="H1151" s="18">
        <f>IF(AE1151="","",(1-$W$2)*(AE1151/1.2))</f>
        <v>6100</v>
      </c>
      <c r="I1151" s="69">
        <f>IF($W$5=0.2,H1151*1.2,H1151)/$W$4</f>
        <v>7320</v>
      </c>
      <c r="J1151" s="18">
        <f>IF(AF1151="","",(1-$W$2)*(AF1151/1.2))</f>
        <v>6558.3333333333339</v>
      </c>
      <c r="K1151" s="69">
        <f>IF($W$5=0.2,J1151*1.2,J1151)/$W$4</f>
        <v>7870</v>
      </c>
      <c r="L1151" s="18">
        <f>IF(AG1151="","",(1-$W$2)*(AG1151/1.2))</f>
        <v>6900</v>
      </c>
      <c r="M1151" s="69">
        <f>IF($W$5=0.2,L1151*1.2,L1151)/$W$4</f>
        <v>8280</v>
      </c>
      <c r="N1151" s="108"/>
      <c r="R1151" s="108"/>
      <c r="T1151" s="108"/>
      <c r="U1151" s="20"/>
      <c r="V1151" s="108"/>
      <c r="W1151" s="20"/>
      <c r="X1151" s="108"/>
      <c r="Y1151" s="108"/>
      <c r="Z1151" s="108"/>
      <c r="AA1151" s="108"/>
      <c r="AB1151" s="108"/>
      <c r="AC1151" s="346">
        <v>6160</v>
      </c>
      <c r="AD1151" s="413">
        <v>7020</v>
      </c>
      <c r="AE1151" s="346">
        <v>7320</v>
      </c>
      <c r="AF1151" s="346">
        <v>7870</v>
      </c>
      <c r="AG1151" s="346">
        <v>8280</v>
      </c>
      <c r="AH1151" s="301">
        <v>6160</v>
      </c>
      <c r="AI1151" s="301">
        <f>AH1151/AC1151-1</f>
        <v>0</v>
      </c>
      <c r="AJ1151" s="301">
        <v>7020</v>
      </c>
      <c r="AK1151" s="301">
        <f>AJ1151/AD1151-1</f>
        <v>0</v>
      </c>
      <c r="AL1151" s="301">
        <v>7320</v>
      </c>
      <c r="AM1151" s="301">
        <f>AL1151/AE1151-1</f>
        <v>0</v>
      </c>
      <c r="AN1151" s="301">
        <v>7870</v>
      </c>
      <c r="AO1151" s="301">
        <f>AN1151/AF1151-1</f>
        <v>0</v>
      </c>
      <c r="AP1151" s="301">
        <v>8280</v>
      </c>
      <c r="AQ1151" s="301">
        <f>AP1151/AG1151-1</f>
        <v>0</v>
      </c>
    </row>
    <row r="1152" spans="1:46" ht="35.1" customHeight="1">
      <c r="A1152" s="8"/>
      <c r="B1152" s="23" t="s">
        <v>51</v>
      </c>
      <c r="C1152" s="24"/>
      <c r="D1152" s="25">
        <f>IF(AC1152="","",(1-$W$2)*(AC1152/1.2))</f>
        <v>5133.3333333333339</v>
      </c>
      <c r="E1152" s="72">
        <f>IF($W$5=0.2,D1152*1.2,D1152)/$W$4</f>
        <v>6160.0000000000009</v>
      </c>
      <c r="F1152" s="25">
        <f>IF(AD1152="","",(1-$W$2)*(AD1152/1.2))</f>
        <v>5850</v>
      </c>
      <c r="G1152" s="72">
        <f>IF($W$5=0.2,F1152*1.2,F1152)/$W$4</f>
        <v>7020</v>
      </c>
      <c r="H1152" s="25">
        <f>IF(AE1152="","",(1-$W$2)*(AE1152/1.2))</f>
        <v>6100</v>
      </c>
      <c r="I1152" s="72">
        <f>IF($W$5=0.2,H1152*1.2,H1152)/$W$4</f>
        <v>7320</v>
      </c>
      <c r="J1152" s="25">
        <f>IF(AF1152="","",(1-$W$2)*(AF1152/1.2))</f>
        <v>6558.3333333333339</v>
      </c>
      <c r="K1152" s="72">
        <f>IF($W$5=0.2,J1152*1.2,J1152)/$W$4</f>
        <v>7870</v>
      </c>
      <c r="L1152" s="25">
        <f>IF(AG1152="","",(1-$W$2)*(AG1152/1.2))</f>
        <v>6900</v>
      </c>
      <c r="M1152" s="72">
        <f>IF($W$5=0.2,L1152*1.2,L1152)/$W$4</f>
        <v>8280</v>
      </c>
      <c r="N1152" s="108"/>
      <c r="R1152" s="108"/>
      <c r="T1152" s="108"/>
      <c r="U1152" s="20"/>
      <c r="V1152" s="108"/>
      <c r="W1152" s="20"/>
      <c r="X1152" s="108"/>
      <c r="Y1152" s="108"/>
      <c r="Z1152" s="108"/>
      <c r="AA1152" s="108"/>
      <c r="AB1152" s="108"/>
      <c r="AC1152" s="346">
        <v>6160</v>
      </c>
      <c r="AD1152" s="413">
        <v>7020</v>
      </c>
      <c r="AE1152" s="346">
        <v>7320</v>
      </c>
      <c r="AF1152" s="346">
        <v>7870</v>
      </c>
      <c r="AG1152" s="346">
        <v>8280</v>
      </c>
      <c r="AH1152" s="301">
        <v>6160</v>
      </c>
      <c r="AI1152" s="301">
        <f>AH1152/AC1152-1</f>
        <v>0</v>
      </c>
      <c r="AJ1152" s="301">
        <v>7020</v>
      </c>
      <c r="AK1152" s="301">
        <f>AJ1152/AD1152-1</f>
        <v>0</v>
      </c>
      <c r="AL1152" s="301">
        <v>7320</v>
      </c>
      <c r="AM1152" s="301">
        <f>AL1152/AE1152-1</f>
        <v>0</v>
      </c>
      <c r="AN1152" s="301">
        <v>7870</v>
      </c>
      <c r="AO1152" s="301">
        <f>AN1152/AF1152-1</f>
        <v>0</v>
      </c>
      <c r="AP1152" s="301">
        <v>8280</v>
      </c>
      <c r="AQ1152" s="301">
        <f>AP1152/AG1152-1</f>
        <v>0</v>
      </c>
    </row>
    <row r="1153" spans="2:38">
      <c r="C1153" s="26"/>
      <c r="D1153" s="26"/>
      <c r="E1153" s="60"/>
      <c r="F1153" s="26"/>
      <c r="G1153" s="60"/>
      <c r="H1153" s="10"/>
      <c r="I1153" s="8"/>
      <c r="J1153" s="8"/>
      <c r="K1153" s="8"/>
    </row>
    <row r="1154" spans="2:38">
      <c r="B1154" s="220" t="str">
        <f>IF($C$1="ENG","For additonal charge:","Послуги за додаткову плату:")</f>
        <v>Послуги за додаткову плату:</v>
      </c>
      <c r="C1154" s="221"/>
      <c r="D1154" s="221"/>
      <c r="E1154" s="222"/>
      <c r="F1154" s="26"/>
      <c r="G1154" s="60"/>
      <c r="H1154" s="10"/>
      <c r="I1154" s="8"/>
      <c r="J1154" s="8"/>
      <c r="K1154" s="8"/>
    </row>
    <row r="1155" spans="2:38" ht="5.0999999999999996" customHeight="1">
      <c r="B1155" s="27"/>
      <c r="C1155" s="26"/>
      <c r="D1155" s="26"/>
      <c r="E1155" s="60"/>
      <c r="F1155" s="26"/>
      <c r="G1155" s="60"/>
      <c r="H1155" s="10"/>
      <c r="I1155" s="8"/>
      <c r="J1155" s="8"/>
      <c r="K1155" s="8"/>
    </row>
    <row r="1156" spans="2:38">
      <c r="B1156" s="446" t="str">
        <f>IF($C$1="ENG","door leaf with width 100","полотно розміром 100")</f>
        <v>полотно розміром 100</v>
      </c>
      <c r="C1156" s="447"/>
      <c r="D1156" s="136">
        <f t="shared" ref="D1156:D1165" si="104">IF(AC1156="","",(1-$W$2)*(AC1156/1.2))</f>
        <v>600</v>
      </c>
      <c r="E1156" s="96">
        <f t="shared" ref="E1156:E1164" si="105">IF($W$5=0.2,D1156*1.2,D1156)/$W$4</f>
        <v>720</v>
      </c>
      <c r="F1156" s="26"/>
      <c r="G1156" s="26"/>
      <c r="H1156" s="10"/>
      <c r="I1156" s="8"/>
      <c r="J1156" s="8"/>
      <c r="K1156" s="8"/>
      <c r="AC1156" s="301">
        <v>720</v>
      </c>
      <c r="AD1156" s="301">
        <v>720</v>
      </c>
      <c r="AE1156" s="301"/>
      <c r="AF1156" s="301"/>
      <c r="AG1156" s="301"/>
      <c r="AH1156" s="301"/>
      <c r="AI1156" s="301"/>
      <c r="AJ1156" s="301"/>
      <c r="AK1156" s="301"/>
      <c r="AL1156" s="301"/>
    </row>
    <row r="1157" spans="2:38">
      <c r="B1157" s="446" t="str">
        <f>IF($C$1="ENG","Ventilation cut","вентиляційний підріз")</f>
        <v>вентиляційний підріз</v>
      </c>
      <c r="C1157" s="447"/>
      <c r="D1157" s="137">
        <f t="shared" si="104"/>
        <v>141.66666666666669</v>
      </c>
      <c r="E1157" s="69">
        <f t="shared" si="105"/>
        <v>170.00000000000003</v>
      </c>
      <c r="F1157" s="26"/>
      <c r="G1157" s="26"/>
      <c r="I1157" s="62"/>
      <c r="J1157" s="28"/>
      <c r="AC1157" s="301">
        <v>170</v>
      </c>
      <c r="AD1157" s="301">
        <v>170</v>
      </c>
      <c r="AE1157" s="301"/>
      <c r="AF1157" s="301"/>
      <c r="AG1157" s="301"/>
      <c r="AH1157" s="301"/>
      <c r="AI1157" s="301"/>
      <c r="AJ1157" s="301"/>
      <c r="AK1157" s="301"/>
      <c r="AL1157" s="301"/>
    </row>
    <row r="1158" spans="2:38">
      <c r="B1158" s="439" t="str">
        <f>IF($C$1="ENG","glazing Graphite / Bronze","скло Графіт / Бронза")</f>
        <v>скло Графіт / Бронза</v>
      </c>
      <c r="C1158" s="440"/>
      <c r="D1158" s="106">
        <f t="shared" si="104"/>
        <v>458.33333333333337</v>
      </c>
      <c r="E1158" s="97">
        <f t="shared" si="105"/>
        <v>550</v>
      </c>
      <c r="F1158" s="26"/>
      <c r="G1158" s="26"/>
      <c r="H1158" s="5"/>
      <c r="AC1158" s="301">
        <v>550</v>
      </c>
      <c r="AD1158" s="301">
        <v>550</v>
      </c>
      <c r="AE1158" s="301"/>
      <c r="AF1158" s="301"/>
      <c r="AG1158" s="301"/>
      <c r="AH1158" s="301"/>
      <c r="AI1158" s="301"/>
      <c r="AJ1158" s="301"/>
      <c r="AK1158" s="301"/>
      <c r="AL1158" s="301"/>
    </row>
    <row r="1159" spans="2:38">
      <c r="B1159" s="439" t="str">
        <f>IF($C$1="ENG","door lock Soft","замок Soft")</f>
        <v>замок Soft</v>
      </c>
      <c r="C1159" s="440"/>
      <c r="D1159" s="106">
        <f t="shared" si="104"/>
        <v>458.33333333333337</v>
      </c>
      <c r="E1159" s="97">
        <f t="shared" si="105"/>
        <v>550</v>
      </c>
      <c r="F1159" s="26"/>
      <c r="G1159" s="26"/>
      <c r="H1159" s="5"/>
      <c r="AC1159" s="301">
        <v>550</v>
      </c>
      <c r="AD1159" s="301">
        <v>550</v>
      </c>
      <c r="AE1159" s="301"/>
      <c r="AF1159" s="301"/>
      <c r="AG1159" s="301"/>
      <c r="AH1159" s="301"/>
      <c r="AI1159" s="301"/>
      <c r="AJ1159" s="301"/>
      <c r="AK1159" s="301"/>
      <c r="AL1159" s="301"/>
    </row>
    <row r="1160" spans="2:38">
      <c r="B1160" s="439" t="str">
        <f>IF($C$1="ENG","door lock Magnet","замок Magnet")</f>
        <v>замок Magnet</v>
      </c>
      <c r="C1160" s="440"/>
      <c r="D1160" s="106">
        <f t="shared" si="104"/>
        <v>666.66666666666674</v>
      </c>
      <c r="E1160" s="97">
        <f t="shared" si="105"/>
        <v>800.00000000000011</v>
      </c>
      <c r="F1160" s="26"/>
      <c r="G1160" s="26"/>
      <c r="H1160" s="5"/>
      <c r="AC1160" s="301">
        <v>800</v>
      </c>
      <c r="AD1160" s="301">
        <v>800</v>
      </c>
      <c r="AE1160" s="301"/>
      <c r="AF1160" s="301"/>
      <c r="AG1160" s="301"/>
      <c r="AH1160" s="301"/>
      <c r="AI1160" s="301"/>
      <c r="AJ1160" s="301"/>
      <c r="AK1160" s="301"/>
      <c r="AL1160" s="301"/>
    </row>
    <row r="1161" spans="2:38">
      <c r="B1161" s="439" t="str">
        <f>IF($C$1="ENG","door handle-lock (for sliding doors)","ручка-замок (для дверей купе)")</f>
        <v>ручка-замок (для дверей купе)</v>
      </c>
      <c r="C1161" s="440"/>
      <c r="D1161" s="137">
        <f t="shared" si="104"/>
        <v>466.66666666666669</v>
      </c>
      <c r="E1161" s="97">
        <f t="shared" si="105"/>
        <v>560</v>
      </c>
      <c r="F1161" s="26"/>
      <c r="G1161" s="26"/>
      <c r="I1161" s="11"/>
      <c r="J1161" s="11"/>
      <c r="K1161" s="19"/>
      <c r="AC1161" s="301">
        <v>560</v>
      </c>
      <c r="AD1161" s="301">
        <v>560</v>
      </c>
      <c r="AE1161" s="301"/>
      <c r="AF1161" s="301"/>
      <c r="AG1161" s="301"/>
      <c r="AH1161" s="301"/>
      <c r="AI1161" s="301"/>
      <c r="AJ1161" s="301"/>
      <c r="AK1161" s="301"/>
      <c r="AL1161" s="301"/>
    </row>
    <row r="1162" spans="2:38">
      <c r="B1162" s="439" t="str">
        <f>IF($C$1="ENG","cylinder incert","циліндр несиметричний")</f>
        <v>циліндр несиметричний</v>
      </c>
      <c r="C1162" s="440"/>
      <c r="D1162" s="137">
        <f t="shared" si="104"/>
        <v>316.66666666666669</v>
      </c>
      <c r="E1162" s="97">
        <f t="shared" si="105"/>
        <v>380</v>
      </c>
      <c r="F1162" s="26"/>
      <c r="G1162" s="26"/>
      <c r="AC1162" s="301">
        <v>380</v>
      </c>
      <c r="AD1162" s="301">
        <v>380</v>
      </c>
      <c r="AE1162" s="301"/>
      <c r="AF1162" s="301"/>
      <c r="AG1162" s="301"/>
      <c r="AH1162" s="301"/>
      <c r="AI1162" s="301"/>
      <c r="AJ1162" s="301"/>
      <c r="AK1162" s="301"/>
      <c r="AL1162" s="301"/>
    </row>
    <row r="1163" spans="2:38">
      <c r="B1163" s="439" t="str">
        <f>IF($C$1="ENG","door hindge Prestige (1 unit)","завіса Prestige (1 шт)")</f>
        <v>завіса Prestige (1 шт)</v>
      </c>
      <c r="C1163" s="440"/>
      <c r="D1163" s="139">
        <f t="shared" si="104"/>
        <v>216.66666666666669</v>
      </c>
      <c r="E1163" s="97">
        <f t="shared" si="105"/>
        <v>260</v>
      </c>
      <c r="F1163" s="26"/>
      <c r="G1163" s="26"/>
      <c r="AC1163" s="301">
        <v>260</v>
      </c>
      <c r="AD1163" s="301">
        <v>260</v>
      </c>
      <c r="AE1163" s="301"/>
      <c r="AF1163" s="301"/>
      <c r="AG1163" s="301"/>
      <c r="AH1163" s="301"/>
      <c r="AI1163" s="301"/>
      <c r="AJ1163" s="301"/>
      <c r="AK1163" s="301"/>
      <c r="AL1163" s="301"/>
    </row>
    <row r="1164" spans="2:38">
      <c r="B1164" s="439" t="str">
        <f>IF($C$1="ENG","door hinge caps (1 set)","накладка на завіси (1 к-т)")</f>
        <v>накладка на завіси (1 к-т)</v>
      </c>
      <c r="C1164" s="440"/>
      <c r="D1164" s="139">
        <f t="shared" si="104"/>
        <v>66.666666666666671</v>
      </c>
      <c r="E1164" s="97">
        <f t="shared" si="105"/>
        <v>80</v>
      </c>
      <c r="F1164" s="26"/>
      <c r="G1164" s="26"/>
      <c r="AC1164" s="301">
        <v>80</v>
      </c>
      <c r="AD1164" s="301">
        <v>80</v>
      </c>
      <c r="AE1164" s="301"/>
      <c r="AF1164" s="301"/>
      <c r="AG1164" s="301"/>
      <c r="AH1164" s="301"/>
      <c r="AI1164" s="301"/>
      <c r="AJ1164" s="301"/>
      <c r="AK1164" s="301"/>
      <c r="AL1164" s="301"/>
    </row>
    <row r="1165" spans="2:38">
      <c r="B1165" s="439" t="str">
        <f>IF($C$1="ENG","door handle","дверна ручка")</f>
        <v>дверна ручка</v>
      </c>
      <c r="C1165" s="440"/>
      <c r="D1165" s="138" t="str">
        <f t="shared" si="104"/>
        <v/>
      </c>
      <c r="E1165" s="256" t="str">
        <f>IF($C$1="ENG","see Handles Price","див. Таблицю Ручки")</f>
        <v>див. Таблицю Ручки</v>
      </c>
      <c r="F1165" s="26"/>
      <c r="G1165" s="26"/>
      <c r="AC1165" s="301"/>
      <c r="AD1165" s="301"/>
      <c r="AE1165" s="301"/>
      <c r="AF1165" s="301"/>
      <c r="AG1165" s="301"/>
      <c r="AH1165" s="301"/>
      <c r="AI1165" s="301"/>
      <c r="AJ1165" s="301"/>
      <c r="AK1165" s="301"/>
      <c r="AL1165" s="301"/>
    </row>
    <row r="1166" spans="2:38" ht="14.25" customHeight="1">
      <c r="C1166" s="26"/>
      <c r="D1166" s="26"/>
      <c r="E1166" s="26"/>
      <c r="F1166" s="26"/>
      <c r="G1166" s="26"/>
      <c r="H1166" s="5"/>
      <c r="U1166" s="460" t="str">
        <f>IF($C$1="ENG",CONCATENATE("down to: ",B1216),CONCATENATE("вниз до: ",B1216))</f>
        <v>вниз до: Полотна збірні: ТІАНА</v>
      </c>
      <c r="V1166" s="460"/>
      <c r="W1166" s="460"/>
    </row>
    <row r="1167" spans="2:38" ht="14.25" customHeight="1">
      <c r="C1167" s="26"/>
      <c r="D1167" s="26"/>
      <c r="E1167" s="26"/>
      <c r="F1167" s="26"/>
      <c r="G1167" s="26"/>
      <c r="H1167" s="5"/>
    </row>
    <row r="1168" spans="2:38" ht="14.25" customHeight="1">
      <c r="C1168" s="26"/>
      <c r="D1168" s="26"/>
      <c r="E1168" s="26"/>
      <c r="F1168" s="26"/>
      <c r="G1168" s="26"/>
      <c r="H1168" s="5"/>
    </row>
    <row r="1169" spans="3:8" ht="14.25" customHeight="1">
      <c r="C1169" s="26"/>
      <c r="D1169" s="26"/>
      <c r="E1169" s="26"/>
      <c r="F1169" s="26"/>
      <c r="G1169" s="26"/>
      <c r="H1169" s="5"/>
    </row>
    <row r="1170" spans="3:8" ht="14.25" customHeight="1">
      <c r="C1170" s="26"/>
      <c r="D1170" s="26"/>
      <c r="E1170" s="26"/>
      <c r="F1170" s="26"/>
      <c r="G1170" s="26"/>
      <c r="H1170" s="5"/>
    </row>
    <row r="1171" spans="3:8" ht="14.25" customHeight="1">
      <c r="C1171" s="26"/>
      <c r="D1171" s="26"/>
      <c r="E1171" s="26"/>
      <c r="F1171" s="26"/>
      <c r="G1171" s="26"/>
      <c r="H1171" s="5"/>
    </row>
    <row r="1172" spans="3:8" ht="14.25" customHeight="1">
      <c r="C1172" s="26"/>
      <c r="D1172" s="26"/>
      <c r="E1172" s="26"/>
      <c r="F1172" s="26"/>
      <c r="G1172" s="26"/>
      <c r="H1172" s="5"/>
    </row>
    <row r="1173" spans="3:8" ht="14.25" customHeight="1">
      <c r="C1173" s="26"/>
      <c r="D1173" s="26"/>
      <c r="E1173" s="26"/>
      <c r="F1173" s="26"/>
      <c r="G1173" s="26"/>
      <c r="H1173" s="5"/>
    </row>
    <row r="1174" spans="3:8" ht="14.25" customHeight="1">
      <c r="C1174" s="26"/>
      <c r="D1174" s="26"/>
      <c r="E1174" s="26"/>
      <c r="F1174" s="26"/>
      <c r="G1174" s="26"/>
      <c r="H1174" s="5"/>
    </row>
    <row r="1175" spans="3:8" ht="14.25" customHeight="1">
      <c r="C1175" s="26"/>
      <c r="D1175" s="26"/>
      <c r="E1175" s="26"/>
      <c r="F1175" s="26"/>
      <c r="G1175" s="26"/>
      <c r="H1175" s="5"/>
    </row>
    <row r="1176" spans="3:8" ht="14.25" customHeight="1">
      <c r="C1176" s="26"/>
      <c r="D1176" s="26"/>
      <c r="E1176" s="26"/>
      <c r="F1176" s="26"/>
      <c r="G1176" s="26"/>
      <c r="H1176" s="5"/>
    </row>
    <row r="1177" spans="3:8" ht="14.25" customHeight="1">
      <c r="C1177" s="26"/>
      <c r="D1177" s="26"/>
      <c r="E1177" s="26"/>
      <c r="F1177" s="26"/>
      <c r="G1177" s="26"/>
      <c r="H1177" s="5"/>
    </row>
    <row r="1178" spans="3:8" ht="14.25" customHeight="1">
      <c r="C1178" s="26"/>
      <c r="D1178" s="26"/>
      <c r="E1178" s="26"/>
      <c r="F1178" s="26"/>
      <c r="G1178" s="26"/>
      <c r="H1178" s="5"/>
    </row>
    <row r="1179" spans="3:8" ht="14.25" customHeight="1">
      <c r="C1179" s="26"/>
      <c r="D1179" s="26"/>
      <c r="E1179" s="26"/>
      <c r="F1179" s="26"/>
      <c r="G1179" s="26"/>
      <c r="H1179" s="5"/>
    </row>
    <row r="1180" spans="3:8" ht="14.25" customHeight="1">
      <c r="C1180" s="26"/>
      <c r="D1180" s="26"/>
      <c r="E1180" s="26"/>
      <c r="F1180" s="26"/>
      <c r="G1180" s="26"/>
      <c r="H1180" s="5"/>
    </row>
    <row r="1181" spans="3:8" ht="14.25" customHeight="1">
      <c r="C1181" s="26"/>
      <c r="D1181" s="26"/>
      <c r="E1181" s="26"/>
      <c r="F1181" s="26"/>
      <c r="G1181" s="26"/>
      <c r="H1181" s="5"/>
    </row>
    <row r="1182" spans="3:8" ht="14.25" customHeight="1">
      <c r="C1182" s="26"/>
      <c r="D1182" s="26"/>
      <c r="E1182" s="26"/>
      <c r="F1182" s="26"/>
      <c r="G1182" s="26"/>
      <c r="H1182" s="5"/>
    </row>
    <row r="1183" spans="3:8" ht="14.25" customHeight="1">
      <c r="C1183" s="26"/>
      <c r="D1183" s="26"/>
      <c r="E1183" s="26"/>
      <c r="F1183" s="26"/>
      <c r="G1183" s="26"/>
      <c r="H1183" s="5"/>
    </row>
    <row r="1184" spans="3:8" ht="14.25" customHeight="1">
      <c r="C1184" s="26"/>
      <c r="D1184" s="26"/>
      <c r="E1184" s="26"/>
      <c r="F1184" s="26"/>
      <c r="G1184" s="26"/>
      <c r="H1184" s="5"/>
    </row>
    <row r="1185" spans="3:8" ht="14.25" customHeight="1">
      <c r="C1185" s="26"/>
      <c r="D1185" s="26"/>
      <c r="E1185" s="26"/>
      <c r="F1185" s="26"/>
      <c r="G1185" s="26"/>
      <c r="H1185" s="5"/>
    </row>
    <row r="1186" spans="3:8" ht="14.25" customHeight="1">
      <c r="C1186" s="26"/>
      <c r="D1186" s="26"/>
      <c r="E1186" s="26"/>
      <c r="F1186" s="26"/>
      <c r="G1186" s="26"/>
      <c r="H1186" s="5"/>
    </row>
    <row r="1187" spans="3:8" ht="14.25" customHeight="1">
      <c r="C1187" s="26"/>
      <c r="D1187" s="26"/>
      <c r="E1187" s="26"/>
      <c r="F1187" s="26"/>
      <c r="G1187" s="26"/>
      <c r="H1187" s="5"/>
    </row>
    <row r="1188" spans="3:8" ht="14.25" customHeight="1">
      <c r="C1188" s="26"/>
      <c r="D1188" s="26"/>
      <c r="E1188" s="26"/>
      <c r="F1188" s="26"/>
      <c r="G1188" s="26"/>
      <c r="H1188" s="5"/>
    </row>
    <row r="1189" spans="3:8" ht="14.25" customHeight="1">
      <c r="C1189" s="26"/>
      <c r="D1189" s="26"/>
      <c r="E1189" s="26"/>
      <c r="F1189" s="26"/>
      <c r="G1189" s="26"/>
      <c r="H1189" s="5"/>
    </row>
    <row r="1190" spans="3:8" ht="14.25" customHeight="1">
      <c r="C1190" s="26"/>
      <c r="D1190" s="26"/>
      <c r="E1190" s="26"/>
      <c r="F1190" s="26"/>
      <c r="G1190" s="26"/>
      <c r="H1190" s="5"/>
    </row>
    <row r="1191" spans="3:8" ht="14.25" customHeight="1">
      <c r="C1191" s="26"/>
      <c r="D1191" s="26"/>
      <c r="E1191" s="26"/>
      <c r="F1191" s="26"/>
      <c r="G1191" s="26"/>
      <c r="H1191" s="5"/>
    </row>
    <row r="1192" spans="3:8" ht="14.25" customHeight="1">
      <c r="C1192" s="26"/>
      <c r="D1192" s="26"/>
      <c r="E1192" s="26"/>
      <c r="F1192" s="26"/>
      <c r="G1192" s="26"/>
      <c r="H1192" s="5"/>
    </row>
    <row r="1193" spans="3:8" ht="14.25" customHeight="1">
      <c r="C1193" s="26"/>
      <c r="D1193" s="26"/>
      <c r="E1193" s="26"/>
      <c r="F1193" s="26"/>
      <c r="G1193" s="26"/>
      <c r="H1193" s="5"/>
    </row>
    <row r="1194" spans="3:8" ht="14.25" customHeight="1">
      <c r="C1194" s="26"/>
      <c r="D1194" s="26"/>
      <c r="E1194" s="26"/>
      <c r="F1194" s="26"/>
      <c r="G1194" s="26"/>
      <c r="H1194" s="5"/>
    </row>
    <row r="1195" spans="3:8" ht="14.25" customHeight="1">
      <c r="C1195" s="26"/>
      <c r="D1195" s="26"/>
      <c r="E1195" s="26"/>
      <c r="F1195" s="26"/>
      <c r="G1195" s="26"/>
      <c r="H1195" s="5"/>
    </row>
    <row r="1196" spans="3:8" ht="14.25" customHeight="1">
      <c r="C1196" s="26"/>
      <c r="D1196" s="26"/>
      <c r="E1196" s="26"/>
      <c r="F1196" s="26"/>
      <c r="G1196" s="26"/>
      <c r="H1196" s="5"/>
    </row>
    <row r="1197" spans="3:8" ht="14.25" customHeight="1">
      <c r="C1197" s="26"/>
      <c r="D1197" s="26"/>
      <c r="E1197" s="26"/>
      <c r="F1197" s="26"/>
      <c r="G1197" s="26"/>
      <c r="H1197" s="5"/>
    </row>
    <row r="1198" spans="3:8" ht="14.25" customHeight="1">
      <c r="C1198" s="26"/>
      <c r="D1198" s="26"/>
      <c r="E1198" s="26"/>
      <c r="F1198" s="26"/>
      <c r="G1198" s="26"/>
      <c r="H1198" s="5"/>
    </row>
    <row r="1199" spans="3:8" ht="14.25" customHeight="1">
      <c r="C1199" s="26"/>
      <c r="D1199" s="26"/>
      <c r="E1199" s="26"/>
      <c r="F1199" s="26"/>
      <c r="G1199" s="26"/>
      <c r="H1199" s="5"/>
    </row>
    <row r="1200" spans="3:8" ht="14.25" customHeight="1">
      <c r="C1200" s="26"/>
      <c r="D1200" s="26"/>
      <c r="E1200" s="26"/>
      <c r="F1200" s="26"/>
      <c r="G1200" s="26"/>
      <c r="H1200" s="5"/>
    </row>
    <row r="1201" spans="2:46" ht="14.25" customHeight="1">
      <c r="C1201" s="26"/>
      <c r="D1201" s="26"/>
      <c r="E1201" s="26"/>
      <c r="F1201" s="26"/>
      <c r="G1201" s="26"/>
      <c r="H1201" s="5"/>
    </row>
    <row r="1202" spans="2:46" ht="14.25" customHeight="1">
      <c r="C1202" s="26"/>
      <c r="D1202" s="26"/>
      <c r="E1202" s="26"/>
      <c r="F1202" s="26"/>
      <c r="G1202" s="26"/>
      <c r="H1202" s="5"/>
    </row>
    <row r="1203" spans="2:46" ht="14.25" customHeight="1">
      <c r="C1203" s="26"/>
      <c r="D1203" s="26"/>
      <c r="E1203" s="26"/>
      <c r="F1203" s="26"/>
      <c r="G1203" s="26"/>
      <c r="H1203" s="5"/>
    </row>
    <row r="1204" spans="2:46" ht="14.25" customHeight="1">
      <c r="C1204" s="26"/>
      <c r="D1204" s="26"/>
      <c r="E1204" s="26"/>
      <c r="F1204" s="26"/>
      <c r="G1204" s="26"/>
      <c r="H1204" s="5"/>
    </row>
    <row r="1205" spans="2:46" ht="14.25" customHeight="1">
      <c r="C1205" s="26"/>
      <c r="D1205" s="26"/>
      <c r="E1205" s="26"/>
      <c r="F1205" s="26"/>
      <c r="G1205" s="26"/>
      <c r="H1205" s="5"/>
    </row>
    <row r="1206" spans="2:46" ht="14.25" customHeight="1">
      <c r="C1206" s="26"/>
      <c r="D1206" s="26"/>
      <c r="E1206" s="26"/>
      <c r="F1206" s="26"/>
      <c r="G1206" s="26"/>
      <c r="H1206" s="5"/>
    </row>
    <row r="1207" spans="2:46" ht="14.25" customHeight="1">
      <c r="C1207" s="26"/>
      <c r="D1207" s="26"/>
      <c r="E1207" s="26"/>
      <c r="F1207" s="26"/>
      <c r="G1207" s="26"/>
      <c r="H1207" s="5"/>
    </row>
    <row r="1208" spans="2:46" ht="14.25" customHeight="1">
      <c r="C1208" s="26"/>
      <c r="D1208" s="26"/>
      <c r="E1208" s="26"/>
      <c r="F1208" s="26"/>
      <c r="G1208" s="26"/>
      <c r="H1208" s="5"/>
    </row>
    <row r="1209" spans="2:46" ht="14.25" customHeight="1">
      <c r="C1209" s="26"/>
      <c r="D1209" s="26"/>
      <c r="E1209" s="26"/>
      <c r="F1209" s="26"/>
      <c r="G1209" s="26"/>
      <c r="H1209" s="5"/>
    </row>
    <row r="1210" spans="2:46" ht="14.25" customHeight="1">
      <c r="C1210" s="26"/>
      <c r="D1210" s="26"/>
      <c r="E1210" s="26"/>
      <c r="F1210" s="26"/>
      <c r="G1210" s="26"/>
      <c r="H1210" s="5"/>
    </row>
    <row r="1211" spans="2:46" ht="14.25" customHeight="1">
      <c r="C1211" s="26"/>
      <c r="D1211" s="26"/>
      <c r="E1211" s="26"/>
      <c r="F1211" s="26"/>
      <c r="G1211" s="26"/>
      <c r="H1211" s="5"/>
    </row>
    <row r="1212" spans="2:46" ht="14.25" customHeight="1">
      <c r="C1212" s="26"/>
      <c r="D1212" s="26"/>
      <c r="E1212" s="26"/>
      <c r="F1212" s="26"/>
      <c r="G1212" s="26"/>
      <c r="H1212" s="5"/>
    </row>
    <row r="1213" spans="2:46" ht="14.25" customHeight="1">
      <c r="C1213" s="26"/>
      <c r="D1213" s="26"/>
      <c r="E1213" s="26"/>
      <c r="F1213" s="26"/>
      <c r="G1213" s="26"/>
      <c r="H1213" s="5"/>
    </row>
    <row r="1214" spans="2:46" ht="14.25" customHeight="1">
      <c r="C1214" s="26"/>
      <c r="D1214" s="26"/>
      <c r="E1214" s="26"/>
      <c r="F1214" s="26"/>
      <c r="G1214" s="26"/>
      <c r="H1214" s="5"/>
    </row>
    <row r="1215" spans="2:46" ht="14.25" customHeight="1">
      <c r="C1215" s="26"/>
      <c r="D1215" s="26"/>
      <c r="E1215" s="26"/>
      <c r="F1215" s="26"/>
      <c r="G1215" s="26"/>
      <c r="H1215" s="5"/>
    </row>
    <row r="1216" spans="2:46" s="8" customFormat="1">
      <c r="B1216" s="421" t="str">
        <f>TITLE!C24</f>
        <v>Полотна збірні: ТІАНА</v>
      </c>
      <c r="C1216" s="421"/>
      <c r="D1216" s="122"/>
      <c r="E1216" s="122"/>
      <c r="F1216" s="122"/>
      <c r="G1216" s="122"/>
      <c r="H1216" s="445"/>
      <c r="I1216" s="44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419" t="str">
        <f>IF($C$1="ENG",CONCATENATE("up to: ",B1146),CONCATENATE("вгору до: ",B1146))</f>
        <v>вгору до: Полотна збірні: ЛІНДА</v>
      </c>
      <c r="U1216" s="419"/>
      <c r="V1216" s="419"/>
      <c r="W1216" s="419"/>
      <c r="AN1216" s="291"/>
      <c r="AO1216" s="291"/>
      <c r="AP1216" s="291"/>
      <c r="AQ1216" s="291"/>
      <c r="AR1216" s="291"/>
      <c r="AS1216" s="291"/>
      <c r="AT1216" s="291"/>
    </row>
    <row r="1217" spans="1:46" s="8" customFormat="1" ht="5.0999999999999996" customHeight="1">
      <c r="B1217" s="121"/>
      <c r="C1217" s="121"/>
      <c r="D1217" s="9"/>
      <c r="E1217" s="9"/>
      <c r="F1217" s="9"/>
      <c r="G1217" s="9"/>
      <c r="H1217" s="124"/>
      <c r="I1217" s="124"/>
      <c r="T1217" s="119"/>
      <c r="U1217" s="119"/>
      <c r="V1217" s="119"/>
      <c r="W1217" s="119"/>
      <c r="AN1217" s="291"/>
      <c r="AO1217" s="291"/>
      <c r="AP1217" s="291"/>
      <c r="AQ1217" s="291"/>
      <c r="AR1217" s="291"/>
      <c r="AS1217" s="291"/>
      <c r="AT1217" s="291"/>
    </row>
    <row r="1218" spans="1:46" s="8" customFormat="1" ht="12.75" customHeight="1">
      <c r="B1218" s="448" t="str">
        <f>IF($C$1="ENG","model","модель")</f>
        <v>модель</v>
      </c>
      <c r="C1218" s="126" t="str">
        <f>IF($C$1="ENG","cover:","покриття:")</f>
        <v>покриття:</v>
      </c>
      <c r="D1218" s="430" t="str">
        <f>IF($C$1="ENG","Verto-CELL","Verto-CELL")</f>
        <v>Verto-CELL</v>
      </c>
      <c r="E1218" s="432"/>
      <c r="F1218" s="430" t="str">
        <f>IF($C$1="ENG","UNI-MAT","UNI-MAT")</f>
        <v>UNI-MAT</v>
      </c>
      <c r="G1218" s="432"/>
      <c r="H1218" s="430" t="str">
        <f>IF($C$1="ENG","RESIST","RESIST")</f>
        <v>RESIST</v>
      </c>
      <c r="I1218" s="432"/>
      <c r="J1218" s="430" t="str">
        <f>IF($C$1="ENG","Verto LINE-3D","Verto LINE-3D")</f>
        <v>Verto LINE-3D</v>
      </c>
      <c r="K1218" s="432"/>
      <c r="L1218" s="430" t="str">
        <f>IF($C$1="ENG","ECO Shpon","ЕКО Шпон")</f>
        <v>ЕКО Шпон</v>
      </c>
      <c r="M1218" s="432"/>
      <c r="P1218" s="1"/>
      <c r="Q1218" s="1"/>
      <c r="T1218" s="119"/>
      <c r="U1218" s="119"/>
      <c r="V1218" s="119"/>
      <c r="W1218" s="119"/>
      <c r="AN1218" s="291"/>
      <c r="AO1218" s="291"/>
      <c r="AP1218" s="291"/>
      <c r="AQ1218" s="291"/>
      <c r="AR1218" s="291"/>
      <c r="AS1218" s="291"/>
      <c r="AT1218" s="291"/>
    </row>
    <row r="1219" spans="1:46" s="8" customFormat="1" ht="24.75" customHeight="1">
      <c r="B1219" s="449"/>
      <c r="C1219" s="127" t="str">
        <f>IF($C$1="ENG","filling:","заповнення:")</f>
        <v>заповнення:</v>
      </c>
      <c r="D1219" s="441" t="str">
        <f>IF($C$1="ENG","softwood","клеєний сосновий брус")</f>
        <v>клеєний сосновий брус</v>
      </c>
      <c r="E1219" s="442"/>
      <c r="F1219" s="441" t="str">
        <f>IF($C$1="ENG","softwood","клеєний сосновий брус")</f>
        <v>клеєний сосновий брус</v>
      </c>
      <c r="G1219" s="442"/>
      <c r="H1219" s="441" t="str">
        <f>IF($C$1="ENG","softwood","клеєний сосновий брус")</f>
        <v>клеєний сосновий брус</v>
      </c>
      <c r="I1219" s="442"/>
      <c r="J1219" s="441" t="str">
        <f>IF($C$1="ENG","softwood","клеєний сосновий брус")</f>
        <v>клеєний сосновий брус</v>
      </c>
      <c r="K1219" s="442"/>
      <c r="L1219" s="441" t="str">
        <f>IF($C$1="ENG","softwood","клеєний сосновий брус")</f>
        <v>клеєний сосновий брус</v>
      </c>
      <c r="M1219" s="442"/>
      <c r="P1219" s="1"/>
      <c r="Q1219" s="1"/>
      <c r="T1219" s="119"/>
      <c r="U1219" s="119"/>
      <c r="V1219" s="119"/>
      <c r="W1219" s="119"/>
      <c r="AD1219" s="405">
        <f>AD1221/AC1221-1</f>
        <v>0.12812960235640647</v>
      </c>
      <c r="AE1219" s="405">
        <f>AE1221/AD1221-1</f>
        <v>3.0026109660574507E-2</v>
      </c>
      <c r="AF1219" s="405">
        <f>AF1221/AE1221-1</f>
        <v>7.3510773130545104E-2</v>
      </c>
      <c r="AG1219" s="405">
        <f>AG1221/AF1221-1</f>
        <v>4.7225501770956413E-2</v>
      </c>
      <c r="AH1219" s="8">
        <v>6060</v>
      </c>
      <c r="AI1219" s="8">
        <v>7040</v>
      </c>
      <c r="AJ1219" s="8">
        <v>7560</v>
      </c>
      <c r="AK1219" s="8">
        <v>7920</v>
      </c>
      <c r="AN1219" s="291"/>
      <c r="AO1219" s="291"/>
      <c r="AP1219" s="291"/>
      <c r="AQ1219" s="291"/>
      <c r="AR1219" s="291"/>
      <c r="AS1219" s="291"/>
      <c r="AT1219" s="291"/>
    </row>
    <row r="1220" spans="1:46" ht="12.75" customHeight="1">
      <c r="A1220" s="8"/>
      <c r="B1220" s="450"/>
      <c r="C1220" s="128" t="str">
        <f>IF($C$1="ENG","glazing:","скління:")</f>
        <v>скління:</v>
      </c>
      <c r="D1220" s="424" t="str">
        <f>IF($C$1="ENG","Satin","Сатин")</f>
        <v>Сатин</v>
      </c>
      <c r="E1220" s="434"/>
      <c r="F1220" s="424" t="str">
        <f>IF($C$1="ENG","Satin","Сатин")</f>
        <v>Сатин</v>
      </c>
      <c r="G1220" s="434"/>
      <c r="H1220" s="424" t="str">
        <f>IF($C$1="ENG","Satin","Сатин")</f>
        <v>Сатин</v>
      </c>
      <c r="I1220" s="434"/>
      <c r="J1220" s="424" t="str">
        <f>IF($C$1="ENG","Satin","Сатин")</f>
        <v>Сатин</v>
      </c>
      <c r="K1220" s="434"/>
      <c r="L1220" s="424" t="str">
        <f>IF($C$1="ENG","Satin","Сатин")</f>
        <v>Сатин</v>
      </c>
      <c r="M1220" s="434"/>
    </row>
    <row r="1221" spans="1:46" ht="35.1" customHeight="1">
      <c r="A1221" s="8"/>
      <c r="B1221" s="16" t="s">
        <v>50</v>
      </c>
      <c r="C1221" s="17"/>
      <c r="D1221" s="18">
        <f>IF(AC1221="","",(1-$W$2)*(AC1221/1.2))</f>
        <v>5658.3333333333339</v>
      </c>
      <c r="E1221" s="69">
        <f>IF($W$5=0.2,D1221*1.2,D1221)/$W$4</f>
        <v>6790.0000000000009</v>
      </c>
      <c r="F1221" s="18">
        <f>IF(AD1221="","",(1-$W$2)*(AD1221/1.2))</f>
        <v>6383.3333333333339</v>
      </c>
      <c r="G1221" s="69">
        <f>IF($W$5=0.2,F1221*1.2,F1221)/$W$4</f>
        <v>7660</v>
      </c>
      <c r="H1221" s="18">
        <f>IF(AE1221="","",(1-$W$2)*(AE1221/1.2))</f>
        <v>6575</v>
      </c>
      <c r="I1221" s="69">
        <f>IF($W$5=0.2,H1221*1.2,H1221)/$W$4</f>
        <v>7890</v>
      </c>
      <c r="J1221" s="18">
        <f>IF(AF1221="","",(1-$W$2)*(AF1221/1.2))</f>
        <v>7058.3333333333339</v>
      </c>
      <c r="K1221" s="69">
        <f>IF($W$5=0.2,J1221*1.2,J1221)/$W$4</f>
        <v>8470</v>
      </c>
      <c r="L1221" s="18">
        <f>IF(AG1221="","",(1-$W$2)*(AG1221/1.2))</f>
        <v>7391.666666666667</v>
      </c>
      <c r="M1221" s="69">
        <f>IF($W$5=0.2,L1221*1.2,L1221)/$W$4</f>
        <v>8870</v>
      </c>
      <c r="N1221" s="108"/>
      <c r="R1221" s="108"/>
      <c r="T1221" s="108"/>
      <c r="U1221" s="20"/>
      <c r="V1221" s="108"/>
      <c r="W1221" s="20"/>
      <c r="X1221" s="108"/>
      <c r="Y1221" s="108"/>
      <c r="Z1221" s="108"/>
      <c r="AA1221" s="108"/>
      <c r="AB1221" s="108"/>
      <c r="AC1221" s="346">
        <v>6790</v>
      </c>
      <c r="AD1221" s="413">
        <v>7660</v>
      </c>
      <c r="AE1221" s="346">
        <v>7890</v>
      </c>
      <c r="AF1221" s="346">
        <v>8470</v>
      </c>
      <c r="AG1221" s="346">
        <v>8870</v>
      </c>
      <c r="AH1221" s="301">
        <v>6790</v>
      </c>
      <c r="AI1221" s="301">
        <f>AH1221/AC1221-1</f>
        <v>0</v>
      </c>
      <c r="AJ1221" s="301">
        <v>7660</v>
      </c>
      <c r="AK1221" s="301">
        <f>AJ1221/AD1221-1</f>
        <v>0</v>
      </c>
      <c r="AL1221" s="301">
        <v>7890</v>
      </c>
      <c r="AM1221" s="301">
        <f>AL1221/AE1221-1</f>
        <v>0</v>
      </c>
      <c r="AN1221" s="301">
        <v>8470</v>
      </c>
      <c r="AO1221" s="301">
        <f>AN1221/AF1221-1</f>
        <v>0</v>
      </c>
      <c r="AP1221" s="301">
        <v>8870</v>
      </c>
      <c r="AQ1221" s="301">
        <f>AP1221/AG1221-1</f>
        <v>0</v>
      </c>
    </row>
    <row r="1222" spans="1:46" ht="35.1" customHeight="1">
      <c r="A1222" s="8"/>
      <c r="B1222" s="23" t="s">
        <v>51</v>
      </c>
      <c r="C1222" s="24"/>
      <c r="D1222" s="25">
        <f>IF(AC1222="","",(1-$W$2)*(AC1222/1.2))</f>
        <v>5658.3333333333339</v>
      </c>
      <c r="E1222" s="72">
        <f>IF($W$5=0.2,D1222*1.2,D1222)/$W$4</f>
        <v>6790.0000000000009</v>
      </c>
      <c r="F1222" s="25">
        <f>IF(AD1222="","",(1-$W$2)*(AD1222/1.2))</f>
        <v>6383.3333333333339</v>
      </c>
      <c r="G1222" s="72">
        <f>IF($W$5=0.2,F1222*1.2,F1222)/$W$4</f>
        <v>7660</v>
      </c>
      <c r="H1222" s="25">
        <f>IF(AE1222="","",(1-$W$2)*(AE1222/1.2))</f>
        <v>6575</v>
      </c>
      <c r="I1222" s="72">
        <f>IF($W$5=0.2,H1222*1.2,H1222)/$W$4</f>
        <v>7890</v>
      </c>
      <c r="J1222" s="25">
        <f>IF(AF1222="","",(1-$W$2)*(AF1222/1.2))</f>
        <v>7058.3333333333339</v>
      </c>
      <c r="K1222" s="72">
        <f>IF($W$5=0.2,J1222*1.2,J1222)/$W$4</f>
        <v>8470</v>
      </c>
      <c r="L1222" s="25">
        <f>IF(AG1222="","",(1-$W$2)*(AG1222/1.2))</f>
        <v>7391.666666666667</v>
      </c>
      <c r="M1222" s="72">
        <f>IF($W$5=0.2,L1222*1.2,L1222)/$W$4</f>
        <v>8870</v>
      </c>
      <c r="N1222" s="108"/>
      <c r="R1222" s="108"/>
      <c r="T1222" s="108"/>
      <c r="U1222" s="20"/>
      <c r="V1222" s="108"/>
      <c r="W1222" s="20"/>
      <c r="X1222" s="108"/>
      <c r="Y1222" s="108"/>
      <c r="Z1222" s="108"/>
      <c r="AA1222" s="108"/>
      <c r="AB1222" s="108"/>
      <c r="AC1222" s="346">
        <v>6790</v>
      </c>
      <c r="AD1222" s="413">
        <v>7660</v>
      </c>
      <c r="AE1222" s="346">
        <v>7890</v>
      </c>
      <c r="AF1222" s="346">
        <v>8470</v>
      </c>
      <c r="AG1222" s="346">
        <v>8870</v>
      </c>
      <c r="AH1222" s="301">
        <v>6790</v>
      </c>
      <c r="AI1222" s="301">
        <f>AH1222/AC1222-1</f>
        <v>0</v>
      </c>
      <c r="AJ1222" s="301">
        <v>7660</v>
      </c>
      <c r="AK1222" s="301">
        <f>AJ1222/AD1222-1</f>
        <v>0</v>
      </c>
      <c r="AL1222" s="301">
        <v>7890</v>
      </c>
      <c r="AM1222" s="301">
        <f>AL1222/AE1222-1</f>
        <v>0</v>
      </c>
      <c r="AN1222" s="301">
        <v>8470</v>
      </c>
      <c r="AO1222" s="301">
        <f>AN1222/AF1222-1</f>
        <v>0</v>
      </c>
      <c r="AP1222" s="301">
        <v>8870</v>
      </c>
      <c r="AQ1222" s="301">
        <f>AP1222/AG1222-1</f>
        <v>0</v>
      </c>
    </row>
    <row r="1223" spans="1:46">
      <c r="C1223" s="26"/>
      <c r="D1223" s="26"/>
      <c r="E1223" s="60"/>
      <c r="F1223" s="26"/>
      <c r="G1223" s="60"/>
      <c r="H1223" s="10"/>
      <c r="I1223" s="8"/>
      <c r="J1223" s="8"/>
      <c r="K1223" s="8"/>
    </row>
    <row r="1224" spans="1:46">
      <c r="B1224" s="220" t="str">
        <f>IF($C$1="ENG","For additonal charge:","Послуги за додаткову плату:")</f>
        <v>Послуги за додаткову плату:</v>
      </c>
      <c r="C1224" s="221"/>
      <c r="D1224" s="221"/>
      <c r="E1224" s="222"/>
      <c r="F1224" s="26"/>
      <c r="G1224" s="60"/>
      <c r="H1224" s="10"/>
      <c r="I1224" s="8"/>
      <c r="J1224" s="8"/>
      <c r="K1224" s="8"/>
    </row>
    <row r="1225" spans="1:46" ht="5.0999999999999996" customHeight="1">
      <c r="B1225" s="27"/>
      <c r="C1225" s="26"/>
      <c r="D1225" s="26"/>
      <c r="E1225" s="60"/>
      <c r="F1225" s="26"/>
      <c r="G1225" s="60"/>
      <c r="H1225" s="10"/>
      <c r="I1225" s="8"/>
      <c r="J1225" s="8"/>
      <c r="K1225" s="8"/>
    </row>
    <row r="1226" spans="1:46">
      <c r="B1226" s="446" t="str">
        <f>IF($C$1="ENG","door leaf with width 100","полотно розміром 100")</f>
        <v>полотно розміром 100</v>
      </c>
      <c r="C1226" s="447"/>
      <c r="D1226" s="136">
        <f t="shared" ref="D1226:D1235" si="106">IF(AC1226="","",(1-$W$2)*(AC1226/1.2))</f>
        <v>600</v>
      </c>
      <c r="E1226" s="96">
        <f t="shared" ref="E1226:E1234" si="107">IF($W$5=0.2,D1226*1.2,D1226)/$W$4</f>
        <v>720</v>
      </c>
      <c r="F1226" s="26"/>
      <c r="G1226" s="26"/>
      <c r="H1226" s="10"/>
      <c r="I1226" s="8"/>
      <c r="J1226" s="8"/>
      <c r="K1226" s="8"/>
      <c r="AC1226" s="301">
        <v>720</v>
      </c>
      <c r="AD1226" s="301">
        <v>720</v>
      </c>
      <c r="AE1226" s="301"/>
      <c r="AF1226" s="301"/>
      <c r="AG1226" s="301"/>
      <c r="AH1226" s="301"/>
      <c r="AI1226" s="301"/>
      <c r="AJ1226" s="301"/>
      <c r="AK1226" s="301"/>
      <c r="AL1226" s="301"/>
    </row>
    <row r="1227" spans="1:46">
      <c r="B1227" s="446" t="str">
        <f>IF($C$1="ENG","Ventilation cut","вентиляційний підріз")</f>
        <v>вентиляційний підріз</v>
      </c>
      <c r="C1227" s="447"/>
      <c r="D1227" s="137">
        <f t="shared" si="106"/>
        <v>141.66666666666669</v>
      </c>
      <c r="E1227" s="69">
        <f t="shared" si="107"/>
        <v>170.00000000000003</v>
      </c>
      <c r="F1227" s="26"/>
      <c r="G1227" s="26"/>
      <c r="I1227" s="62"/>
      <c r="J1227" s="28"/>
      <c r="AC1227" s="301">
        <v>170</v>
      </c>
      <c r="AD1227" s="301">
        <v>170</v>
      </c>
      <c r="AE1227" s="301"/>
      <c r="AF1227" s="301"/>
      <c r="AG1227" s="301"/>
      <c r="AH1227" s="301"/>
      <c r="AI1227" s="301"/>
      <c r="AJ1227" s="301"/>
      <c r="AK1227" s="301"/>
      <c r="AL1227" s="301"/>
    </row>
    <row r="1228" spans="1:46">
      <c r="B1228" s="439" t="str">
        <f>IF($C$1="ENG","glazing Graphite / Bronze","скло Графіт / Бронза")</f>
        <v>скло Графіт / Бронза</v>
      </c>
      <c r="C1228" s="440"/>
      <c r="D1228" s="106">
        <f t="shared" si="106"/>
        <v>458.33333333333337</v>
      </c>
      <c r="E1228" s="97">
        <f t="shared" si="107"/>
        <v>550</v>
      </c>
      <c r="F1228" s="26"/>
      <c r="G1228" s="26"/>
      <c r="H1228" s="5"/>
      <c r="AC1228" s="301">
        <v>550</v>
      </c>
      <c r="AD1228" s="301">
        <v>550</v>
      </c>
      <c r="AE1228" s="301"/>
      <c r="AF1228" s="301"/>
      <c r="AG1228" s="301"/>
      <c r="AH1228" s="301"/>
      <c r="AI1228" s="301"/>
      <c r="AJ1228" s="301"/>
      <c r="AK1228" s="301"/>
      <c r="AL1228" s="301"/>
    </row>
    <row r="1229" spans="1:46">
      <c r="B1229" s="439" t="str">
        <f>IF($C$1="ENG","door lock Soft","замок Soft")</f>
        <v>замок Soft</v>
      </c>
      <c r="C1229" s="440"/>
      <c r="D1229" s="106">
        <f t="shared" si="106"/>
        <v>458.33333333333337</v>
      </c>
      <c r="E1229" s="97">
        <f t="shared" si="107"/>
        <v>550</v>
      </c>
      <c r="F1229" s="26"/>
      <c r="G1229" s="26"/>
      <c r="H1229" s="5"/>
      <c r="AC1229" s="301">
        <v>550</v>
      </c>
      <c r="AD1229" s="301">
        <v>550</v>
      </c>
      <c r="AE1229" s="301"/>
      <c r="AF1229" s="301"/>
      <c r="AG1229" s="301"/>
      <c r="AH1229" s="301"/>
      <c r="AI1229" s="301"/>
      <c r="AJ1229" s="301"/>
      <c r="AK1229" s="301"/>
      <c r="AL1229" s="301"/>
    </row>
    <row r="1230" spans="1:46">
      <c r="B1230" s="439" t="str">
        <f>IF($C$1="ENG","door lock Magnet","замок Magnet")</f>
        <v>замок Magnet</v>
      </c>
      <c r="C1230" s="440"/>
      <c r="D1230" s="106">
        <f t="shared" si="106"/>
        <v>666.66666666666674</v>
      </c>
      <c r="E1230" s="97">
        <f t="shared" si="107"/>
        <v>800.00000000000011</v>
      </c>
      <c r="F1230" s="26"/>
      <c r="G1230" s="26"/>
      <c r="H1230" s="5"/>
      <c r="AC1230" s="301">
        <v>800</v>
      </c>
      <c r="AD1230" s="301">
        <v>800</v>
      </c>
      <c r="AE1230" s="301"/>
      <c r="AF1230" s="301"/>
      <c r="AG1230" s="301"/>
      <c r="AH1230" s="301"/>
      <c r="AI1230" s="301"/>
      <c r="AJ1230" s="301"/>
      <c r="AK1230" s="301"/>
      <c r="AL1230" s="301"/>
    </row>
    <row r="1231" spans="1:46">
      <c r="B1231" s="439" t="str">
        <f>IF($C$1="ENG","door handle-lock (for sliding doors)","ручка-замок (для дверей купе)")</f>
        <v>ручка-замок (для дверей купе)</v>
      </c>
      <c r="C1231" s="440"/>
      <c r="D1231" s="137">
        <f t="shared" si="106"/>
        <v>466.66666666666669</v>
      </c>
      <c r="E1231" s="97">
        <f t="shared" si="107"/>
        <v>560</v>
      </c>
      <c r="F1231" s="26"/>
      <c r="G1231" s="26"/>
      <c r="I1231" s="11"/>
      <c r="J1231" s="11"/>
      <c r="K1231" s="19"/>
      <c r="AC1231" s="301">
        <v>560</v>
      </c>
      <c r="AD1231" s="301">
        <v>560</v>
      </c>
      <c r="AE1231" s="301"/>
      <c r="AF1231" s="301"/>
      <c r="AG1231" s="301"/>
      <c r="AH1231" s="301"/>
      <c r="AI1231" s="301"/>
      <c r="AJ1231" s="301"/>
      <c r="AK1231" s="301"/>
      <c r="AL1231" s="301"/>
    </row>
    <row r="1232" spans="1:46">
      <c r="B1232" s="439" t="str">
        <f>IF($C$1="ENG","cylinder incert","циліндр несиметричний")</f>
        <v>циліндр несиметричний</v>
      </c>
      <c r="C1232" s="440"/>
      <c r="D1232" s="137">
        <f t="shared" si="106"/>
        <v>316.66666666666669</v>
      </c>
      <c r="E1232" s="97">
        <f t="shared" si="107"/>
        <v>380</v>
      </c>
      <c r="F1232" s="26"/>
      <c r="G1232" s="26"/>
      <c r="AC1232" s="301">
        <v>380</v>
      </c>
      <c r="AD1232" s="301">
        <v>380</v>
      </c>
      <c r="AE1232" s="301"/>
      <c r="AF1232" s="301"/>
      <c r="AG1232" s="301"/>
      <c r="AH1232" s="301"/>
      <c r="AI1232" s="301"/>
      <c r="AJ1232" s="301"/>
      <c r="AK1232" s="301"/>
      <c r="AL1232" s="301"/>
    </row>
    <row r="1233" spans="2:38">
      <c r="B1233" s="439" t="str">
        <f>IF($C$1="ENG","door hindge Prestige (1 unit)","завіса Prestige (1 шт)")</f>
        <v>завіса Prestige (1 шт)</v>
      </c>
      <c r="C1233" s="440"/>
      <c r="D1233" s="139">
        <f t="shared" si="106"/>
        <v>216.66666666666669</v>
      </c>
      <c r="E1233" s="97">
        <f t="shared" si="107"/>
        <v>260</v>
      </c>
      <c r="F1233" s="26"/>
      <c r="G1233" s="26"/>
      <c r="AC1233" s="301">
        <v>260</v>
      </c>
      <c r="AD1233" s="301">
        <v>260</v>
      </c>
      <c r="AE1233" s="301"/>
      <c r="AF1233" s="301"/>
      <c r="AG1233" s="301"/>
      <c r="AH1233" s="301"/>
      <c r="AI1233" s="301"/>
      <c r="AJ1233" s="301"/>
      <c r="AK1233" s="301"/>
      <c r="AL1233" s="301"/>
    </row>
    <row r="1234" spans="2:38">
      <c r="B1234" s="439" t="str">
        <f>IF($C$1="ENG","door hinge caps (1 set)","накладка на завіси (1 к-т)")</f>
        <v>накладка на завіси (1 к-т)</v>
      </c>
      <c r="C1234" s="440"/>
      <c r="D1234" s="139">
        <f t="shared" si="106"/>
        <v>66.666666666666671</v>
      </c>
      <c r="E1234" s="97">
        <f t="shared" si="107"/>
        <v>80</v>
      </c>
      <c r="F1234" s="26"/>
      <c r="G1234" s="26"/>
      <c r="AC1234" s="301">
        <v>80</v>
      </c>
      <c r="AD1234" s="301">
        <v>80</v>
      </c>
      <c r="AE1234" s="301"/>
      <c r="AF1234" s="301"/>
      <c r="AG1234" s="301"/>
      <c r="AH1234" s="301"/>
      <c r="AI1234" s="301"/>
      <c r="AJ1234" s="301"/>
      <c r="AK1234" s="301"/>
      <c r="AL1234" s="301"/>
    </row>
    <row r="1235" spans="2:38">
      <c r="B1235" s="439" t="str">
        <f>IF($C$1="ENG","door handle","дверна ручка")</f>
        <v>дверна ручка</v>
      </c>
      <c r="C1235" s="440"/>
      <c r="D1235" s="138" t="str">
        <f t="shared" si="106"/>
        <v/>
      </c>
      <c r="E1235" s="256" t="str">
        <f>IF($C$1="ENG","see Handles Price","див. Таблицю Ручки")</f>
        <v>див. Таблицю Ручки</v>
      </c>
      <c r="F1235" s="26"/>
      <c r="G1235" s="26"/>
      <c r="AC1235" s="301"/>
      <c r="AD1235" s="301"/>
      <c r="AE1235" s="301"/>
      <c r="AF1235" s="301"/>
      <c r="AG1235" s="301"/>
      <c r="AH1235" s="301"/>
      <c r="AI1235" s="301"/>
      <c r="AJ1235" s="301"/>
      <c r="AK1235" s="301"/>
      <c r="AL1235" s="301"/>
    </row>
    <row r="1236" spans="2:38" ht="14.25" customHeight="1">
      <c r="C1236" s="26"/>
      <c r="D1236" s="26"/>
      <c r="E1236" s="26"/>
      <c r="F1236" s="26"/>
      <c r="G1236" s="26"/>
      <c r="H1236" s="5"/>
      <c r="U1236" s="460" t="str">
        <f>IF($C$1="ENG",CONCATENATE("down to: ",B1286),CONCATENATE("вниз до: ",B1286))</f>
        <v>вниз до: Полотна збірні: ЄВА</v>
      </c>
      <c r="V1236" s="460"/>
      <c r="W1236" s="460"/>
      <c r="X1236" s="316"/>
      <c r="Y1236" s="316"/>
      <c r="Z1236" s="316"/>
      <c r="AA1236" s="316"/>
      <c r="AB1236" s="316"/>
    </row>
    <row r="1237" spans="2:38" ht="14.25" customHeight="1">
      <c r="C1237" s="26"/>
      <c r="D1237" s="26"/>
      <c r="E1237" s="26"/>
      <c r="F1237" s="26"/>
      <c r="G1237" s="26"/>
      <c r="H1237" s="5"/>
    </row>
    <row r="1238" spans="2:38" ht="14.25" customHeight="1">
      <c r="C1238" s="26"/>
      <c r="D1238" s="26"/>
      <c r="E1238" s="26"/>
      <c r="F1238" s="26"/>
      <c r="G1238" s="26"/>
      <c r="H1238" s="5"/>
    </row>
    <row r="1239" spans="2:38" ht="14.25" customHeight="1">
      <c r="C1239" s="26"/>
      <c r="D1239" s="26"/>
      <c r="E1239" s="26"/>
      <c r="F1239" s="26"/>
      <c r="G1239" s="26"/>
      <c r="H1239" s="5"/>
    </row>
    <row r="1240" spans="2:38" ht="14.25" customHeight="1">
      <c r="C1240" s="26"/>
      <c r="D1240" s="26"/>
      <c r="E1240" s="26"/>
      <c r="F1240" s="26"/>
      <c r="G1240" s="26"/>
      <c r="H1240" s="5"/>
    </row>
    <row r="1241" spans="2:38" ht="14.25" customHeight="1">
      <c r="C1241" s="26"/>
      <c r="D1241" s="26"/>
      <c r="E1241" s="26"/>
      <c r="F1241" s="26"/>
      <c r="G1241" s="26"/>
      <c r="H1241" s="5"/>
    </row>
    <row r="1242" spans="2:38" ht="14.25" customHeight="1">
      <c r="C1242" s="26"/>
      <c r="D1242" s="26"/>
      <c r="E1242" s="26"/>
      <c r="F1242" s="26"/>
      <c r="G1242" s="26"/>
      <c r="H1242" s="5"/>
    </row>
    <row r="1243" spans="2:38" ht="14.25" customHeight="1">
      <c r="C1243" s="26"/>
      <c r="D1243" s="26"/>
      <c r="E1243" s="26"/>
      <c r="F1243" s="26"/>
      <c r="G1243" s="26"/>
      <c r="H1243" s="5"/>
    </row>
    <row r="1244" spans="2:38" ht="14.25" customHeight="1">
      <c r="C1244" s="26"/>
      <c r="D1244" s="26"/>
      <c r="E1244" s="26"/>
      <c r="F1244" s="26"/>
      <c r="G1244" s="26"/>
      <c r="H1244" s="5"/>
    </row>
    <row r="1245" spans="2:38" ht="14.25" customHeight="1">
      <c r="C1245" s="26"/>
      <c r="D1245" s="26"/>
      <c r="E1245" s="26"/>
      <c r="F1245" s="26"/>
      <c r="G1245" s="26"/>
      <c r="H1245" s="5"/>
    </row>
    <row r="1246" spans="2:38" ht="14.25" customHeight="1">
      <c r="C1246" s="26"/>
      <c r="D1246" s="26"/>
      <c r="E1246" s="26"/>
      <c r="F1246" s="26"/>
      <c r="G1246" s="26"/>
      <c r="H1246" s="5"/>
    </row>
    <row r="1247" spans="2:38" ht="14.25" customHeight="1">
      <c r="C1247" s="26"/>
      <c r="D1247" s="26"/>
      <c r="E1247" s="26"/>
      <c r="F1247" s="26"/>
      <c r="G1247" s="26"/>
      <c r="H1247" s="5"/>
    </row>
    <row r="1248" spans="2:38" ht="14.25" customHeight="1">
      <c r="C1248" s="26"/>
      <c r="D1248" s="26"/>
      <c r="E1248" s="26"/>
      <c r="F1248" s="26"/>
      <c r="G1248" s="26"/>
      <c r="H1248" s="5"/>
    </row>
    <row r="1249" spans="3:8" ht="14.25" customHeight="1">
      <c r="C1249" s="26"/>
      <c r="D1249" s="26"/>
      <c r="E1249" s="26"/>
      <c r="F1249" s="26"/>
      <c r="G1249" s="26"/>
      <c r="H1249" s="5"/>
    </row>
    <row r="1250" spans="3:8" ht="14.25" customHeight="1">
      <c r="C1250" s="26"/>
      <c r="D1250" s="26"/>
      <c r="E1250" s="26"/>
      <c r="F1250" s="26"/>
      <c r="G1250" s="26"/>
      <c r="H1250" s="5"/>
    </row>
    <row r="1251" spans="3:8" ht="14.25" customHeight="1">
      <c r="C1251" s="26"/>
      <c r="D1251" s="26"/>
      <c r="E1251" s="26"/>
      <c r="F1251" s="26"/>
      <c r="G1251" s="26"/>
      <c r="H1251" s="5"/>
    </row>
    <row r="1252" spans="3:8" ht="14.25" customHeight="1">
      <c r="C1252" s="26"/>
      <c r="D1252" s="26"/>
      <c r="E1252" s="26"/>
      <c r="F1252" s="26"/>
      <c r="G1252" s="26"/>
      <c r="H1252" s="5"/>
    </row>
    <row r="1253" spans="3:8" ht="14.25" customHeight="1">
      <c r="C1253" s="26"/>
      <c r="D1253" s="26"/>
      <c r="E1253" s="26"/>
      <c r="F1253" s="26"/>
      <c r="G1253" s="26"/>
      <c r="H1253" s="5"/>
    </row>
    <row r="1254" spans="3:8" ht="14.25" customHeight="1">
      <c r="C1254" s="26"/>
      <c r="D1254" s="26"/>
      <c r="E1254" s="26"/>
      <c r="F1254" s="26"/>
      <c r="G1254" s="26"/>
      <c r="H1254" s="5"/>
    </row>
    <row r="1255" spans="3:8" ht="14.25" customHeight="1">
      <c r="C1255" s="26"/>
      <c r="D1255" s="26"/>
      <c r="E1255" s="26"/>
      <c r="F1255" s="26"/>
      <c r="G1255" s="26"/>
      <c r="H1255" s="5"/>
    </row>
    <row r="1256" spans="3:8" ht="14.25" customHeight="1">
      <c r="C1256" s="26"/>
      <c r="D1256" s="26"/>
      <c r="E1256" s="26"/>
      <c r="F1256" s="26"/>
      <c r="G1256" s="26"/>
      <c r="H1256" s="5"/>
    </row>
    <row r="1257" spans="3:8" ht="14.25" customHeight="1">
      <c r="C1257" s="26"/>
      <c r="D1257" s="26"/>
      <c r="E1257" s="26"/>
      <c r="F1257" s="26"/>
      <c r="G1257" s="26"/>
      <c r="H1257" s="5"/>
    </row>
    <row r="1258" spans="3:8" ht="14.25" customHeight="1">
      <c r="C1258" s="26"/>
      <c r="D1258" s="26"/>
      <c r="E1258" s="26"/>
      <c r="F1258" s="26"/>
      <c r="G1258" s="26"/>
      <c r="H1258" s="5"/>
    </row>
    <row r="1259" spans="3:8" ht="14.25" customHeight="1">
      <c r="C1259" s="26"/>
      <c r="D1259" s="26"/>
      <c r="E1259" s="26"/>
      <c r="F1259" s="26"/>
      <c r="G1259" s="26"/>
      <c r="H1259" s="5"/>
    </row>
    <row r="1260" spans="3:8" ht="14.25" customHeight="1">
      <c r="C1260" s="26"/>
      <c r="D1260" s="26"/>
      <c r="E1260" s="26"/>
      <c r="F1260" s="26"/>
      <c r="G1260" s="26"/>
      <c r="H1260" s="5"/>
    </row>
    <row r="1261" spans="3:8" ht="14.25" customHeight="1">
      <c r="C1261" s="26"/>
      <c r="D1261" s="26"/>
      <c r="E1261" s="26"/>
      <c r="F1261" s="26"/>
      <c r="G1261" s="26"/>
      <c r="H1261" s="5"/>
    </row>
    <row r="1262" spans="3:8" ht="14.25" customHeight="1">
      <c r="C1262" s="26"/>
      <c r="D1262" s="26"/>
      <c r="E1262" s="26"/>
      <c r="F1262" s="26"/>
      <c r="G1262" s="26"/>
      <c r="H1262" s="5"/>
    </row>
    <row r="1263" spans="3:8" ht="14.25" customHeight="1">
      <c r="C1263" s="26"/>
      <c r="D1263" s="26"/>
      <c r="E1263" s="26"/>
      <c r="F1263" s="26"/>
      <c r="G1263" s="26"/>
      <c r="H1263" s="5"/>
    </row>
    <row r="1264" spans="3:8" ht="14.25" customHeight="1">
      <c r="C1264" s="26"/>
      <c r="D1264" s="26"/>
      <c r="E1264" s="26"/>
      <c r="F1264" s="26"/>
      <c r="G1264" s="26"/>
      <c r="H1264" s="5"/>
    </row>
    <row r="1265" spans="3:8" ht="14.25" customHeight="1">
      <c r="C1265" s="26"/>
      <c r="D1265" s="26"/>
      <c r="E1265" s="26"/>
      <c r="F1265" s="26"/>
      <c r="G1265" s="26"/>
      <c r="H1265" s="5"/>
    </row>
    <row r="1266" spans="3:8" ht="14.25" customHeight="1">
      <c r="C1266" s="26"/>
      <c r="D1266" s="26"/>
      <c r="E1266" s="26"/>
      <c r="F1266" s="26"/>
      <c r="G1266" s="26"/>
      <c r="H1266" s="5"/>
    </row>
    <row r="1267" spans="3:8" ht="14.25" customHeight="1">
      <c r="C1267" s="26"/>
      <c r="D1267" s="26"/>
      <c r="E1267" s="26"/>
      <c r="F1267" s="26"/>
      <c r="G1267" s="26"/>
      <c r="H1267" s="5"/>
    </row>
    <row r="1268" spans="3:8" ht="14.25" customHeight="1">
      <c r="C1268" s="26"/>
      <c r="D1268" s="26"/>
      <c r="E1268" s="26"/>
      <c r="F1268" s="26"/>
      <c r="G1268" s="26"/>
      <c r="H1268" s="5"/>
    </row>
    <row r="1269" spans="3:8" ht="14.25" customHeight="1">
      <c r="C1269" s="26"/>
      <c r="D1269" s="26"/>
      <c r="E1269" s="26"/>
      <c r="F1269" s="26"/>
      <c r="G1269" s="26"/>
      <c r="H1269" s="5"/>
    </row>
    <row r="1270" spans="3:8" ht="14.25" customHeight="1">
      <c r="C1270" s="26"/>
      <c r="D1270" s="26"/>
      <c r="E1270" s="26"/>
      <c r="F1270" s="26"/>
      <c r="G1270" s="26"/>
      <c r="H1270" s="5"/>
    </row>
    <row r="1271" spans="3:8" ht="14.25" customHeight="1">
      <c r="C1271" s="26"/>
      <c r="D1271" s="26"/>
      <c r="E1271" s="26"/>
      <c r="F1271" s="26"/>
      <c r="G1271" s="26"/>
      <c r="H1271" s="5"/>
    </row>
    <row r="1272" spans="3:8" ht="14.25" customHeight="1">
      <c r="C1272" s="26"/>
      <c r="D1272" s="26"/>
      <c r="E1272" s="26"/>
      <c r="F1272" s="26"/>
      <c r="G1272" s="26"/>
      <c r="H1272" s="5"/>
    </row>
    <row r="1273" spans="3:8" ht="14.25" customHeight="1">
      <c r="C1273" s="26"/>
      <c r="D1273" s="26"/>
      <c r="E1273" s="26"/>
      <c r="F1273" s="26"/>
      <c r="G1273" s="26"/>
      <c r="H1273" s="5"/>
    </row>
    <row r="1274" spans="3:8" ht="14.25" customHeight="1">
      <c r="C1274" s="26"/>
      <c r="D1274" s="26"/>
      <c r="E1274" s="26"/>
      <c r="F1274" s="26"/>
      <c r="G1274" s="26"/>
      <c r="H1274" s="5"/>
    </row>
    <row r="1275" spans="3:8" ht="14.25" customHeight="1">
      <c r="C1275" s="26"/>
      <c r="D1275" s="26"/>
      <c r="E1275" s="26"/>
      <c r="F1275" s="26"/>
      <c r="G1275" s="26"/>
      <c r="H1275" s="5"/>
    </row>
    <row r="1276" spans="3:8" ht="14.25" customHeight="1">
      <c r="C1276" s="26"/>
      <c r="D1276" s="26"/>
      <c r="E1276" s="26"/>
      <c r="F1276" s="26"/>
      <c r="G1276" s="26"/>
      <c r="H1276" s="5"/>
    </row>
    <row r="1277" spans="3:8" ht="14.25" customHeight="1">
      <c r="C1277" s="26"/>
      <c r="D1277" s="26"/>
      <c r="E1277" s="26"/>
      <c r="F1277" s="26"/>
      <c r="G1277" s="26"/>
      <c r="H1277" s="5"/>
    </row>
    <row r="1278" spans="3:8" ht="14.25" customHeight="1">
      <c r="C1278" s="26"/>
      <c r="D1278" s="26"/>
      <c r="E1278" s="26"/>
      <c r="F1278" s="26"/>
      <c r="G1278" s="26"/>
      <c r="H1278" s="5"/>
    </row>
    <row r="1279" spans="3:8" ht="14.25" customHeight="1">
      <c r="C1279" s="26"/>
      <c r="D1279" s="26"/>
      <c r="E1279" s="26"/>
      <c r="F1279" s="26"/>
      <c r="G1279" s="26"/>
      <c r="H1279" s="5"/>
    </row>
    <row r="1280" spans="3:8" ht="14.25" customHeight="1">
      <c r="C1280" s="26"/>
      <c r="D1280" s="26"/>
      <c r="E1280" s="26"/>
      <c r="F1280" s="26"/>
      <c r="G1280" s="26"/>
      <c r="H1280" s="5"/>
    </row>
    <row r="1281" spans="1:46" ht="14.25" customHeight="1">
      <c r="C1281" s="26"/>
      <c r="D1281" s="26"/>
      <c r="E1281" s="26"/>
      <c r="F1281" s="26"/>
      <c r="G1281" s="26"/>
      <c r="H1281" s="5"/>
      <c r="AG1281" s="301">
        <f>AB1281/100*12+AB1281</f>
        <v>0</v>
      </c>
      <c r="AH1281" s="301" t="e">
        <f>AG1281/AB1281-1</f>
        <v>#DIV/0!</v>
      </c>
    </row>
    <row r="1282" spans="1:46" ht="14.25" customHeight="1">
      <c r="C1282" s="26"/>
      <c r="D1282" s="26"/>
      <c r="E1282" s="26"/>
      <c r="F1282" s="26"/>
      <c r="G1282" s="26"/>
      <c r="H1282" s="5"/>
    </row>
    <row r="1283" spans="1:46" ht="14.25" customHeight="1">
      <c r="C1283" s="26"/>
      <c r="D1283" s="26"/>
      <c r="E1283" s="26"/>
      <c r="F1283" s="26"/>
      <c r="G1283" s="26"/>
      <c r="H1283" s="5"/>
    </row>
    <row r="1284" spans="1:46" ht="14.25" customHeight="1">
      <c r="C1284" s="26"/>
      <c r="D1284" s="26"/>
      <c r="E1284" s="26"/>
      <c r="F1284" s="26"/>
      <c r="G1284" s="26"/>
      <c r="H1284" s="5"/>
    </row>
    <row r="1285" spans="1:46" ht="14.25" customHeight="1">
      <c r="C1285" s="26"/>
      <c r="D1285" s="26"/>
      <c r="E1285" s="26"/>
      <c r="F1285" s="26"/>
      <c r="G1285" s="26"/>
      <c r="H1285" s="5"/>
    </row>
    <row r="1286" spans="1:46" s="8" customFormat="1">
      <c r="B1286" s="421" t="str">
        <f>TITLE!C25</f>
        <v>Полотна збірні: ЄВА</v>
      </c>
      <c r="C1286" s="421"/>
      <c r="D1286" s="122"/>
      <c r="E1286" s="122"/>
      <c r="F1286" s="122"/>
      <c r="G1286" s="122"/>
      <c r="H1286" s="445"/>
      <c r="I1286" s="44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419" t="str">
        <f>IF($C$1="ENG",CONCATENATE("up to: ",B1216),CONCATENATE("вгору до: ",B1216))</f>
        <v>вгору до: Полотна збірні: ТІАНА</v>
      </c>
      <c r="U1286" s="419"/>
      <c r="V1286" s="419"/>
      <c r="W1286" s="419"/>
      <c r="AN1286" s="291"/>
      <c r="AO1286" s="291"/>
      <c r="AP1286" s="291"/>
      <c r="AQ1286" s="291"/>
      <c r="AR1286" s="291"/>
      <c r="AS1286" s="291"/>
      <c r="AT1286" s="291"/>
    </row>
    <row r="1287" spans="1:46" s="8" customFormat="1" ht="5.0999999999999996" customHeight="1">
      <c r="B1287" s="121"/>
      <c r="C1287" s="121"/>
      <c r="D1287" s="9"/>
      <c r="E1287" s="9"/>
      <c r="F1287" s="9"/>
      <c r="G1287" s="9"/>
      <c r="H1287" s="124"/>
      <c r="I1287" s="124"/>
      <c r="T1287" s="119"/>
      <c r="U1287" s="119"/>
      <c r="V1287" s="119"/>
      <c r="W1287" s="119"/>
      <c r="AN1287" s="291"/>
      <c r="AO1287" s="291"/>
      <c r="AP1287" s="291"/>
      <c r="AQ1287" s="291"/>
      <c r="AR1287" s="291"/>
      <c r="AS1287" s="291"/>
      <c r="AT1287" s="291"/>
    </row>
    <row r="1288" spans="1:46" s="8" customFormat="1" ht="12.75" customHeight="1">
      <c r="B1288" s="448" t="str">
        <f>IF($C$1="ENG","model","модель")</f>
        <v>модель</v>
      </c>
      <c r="C1288" s="126" t="str">
        <f>IF($C$1="ENG","cover:","покриття:")</f>
        <v>покриття:</v>
      </c>
      <c r="D1288" s="430" t="str">
        <f>IF($C$1="ENG","Verto-CELL","Verto-CELL")</f>
        <v>Verto-CELL</v>
      </c>
      <c r="E1288" s="432"/>
      <c r="F1288" s="430" t="str">
        <f>IF($C$1="ENG","UNI-MAT","UNI-MAT")</f>
        <v>UNI-MAT</v>
      </c>
      <c r="G1288" s="432"/>
      <c r="H1288" s="430" t="str">
        <f>IF($C$1="ENG","RESIST","RESIST")</f>
        <v>RESIST</v>
      </c>
      <c r="I1288" s="432"/>
      <c r="J1288" s="430" t="str">
        <f>IF($C$1="ENG","Verto LINE-3D","Verto LINE-3D")</f>
        <v>Verto LINE-3D</v>
      </c>
      <c r="K1288" s="432"/>
      <c r="L1288" s="430" t="str">
        <f>IF($C$1="ENG","ECO Shpon","ЕКО Шпон")</f>
        <v>ЕКО Шпон</v>
      </c>
      <c r="M1288" s="432"/>
      <c r="P1288" s="1"/>
      <c r="Q1288" s="1"/>
      <c r="T1288" s="119"/>
      <c r="U1288" s="119"/>
      <c r="V1288" s="119"/>
      <c r="W1288" s="119"/>
      <c r="AN1288" s="291"/>
      <c r="AO1288" s="291"/>
      <c r="AP1288" s="291"/>
      <c r="AQ1288" s="291"/>
      <c r="AR1288" s="291"/>
      <c r="AS1288" s="291"/>
      <c r="AT1288" s="291"/>
    </row>
    <row r="1289" spans="1:46" s="8" customFormat="1" ht="24" customHeight="1">
      <c r="B1289" s="449"/>
      <c r="C1289" s="127" t="str">
        <f>IF($C$1="ENG","filling:","заповнення:")</f>
        <v>заповнення:</v>
      </c>
      <c r="D1289" s="441" t="str">
        <f>IF($C$1="ENG","softwood","клеєний сосновий брус")</f>
        <v>клеєний сосновий брус</v>
      </c>
      <c r="E1289" s="442"/>
      <c r="F1289" s="441" t="str">
        <f>IF($C$1="ENG","softwood","клеєний сосновий брус")</f>
        <v>клеєний сосновий брус</v>
      </c>
      <c r="G1289" s="442"/>
      <c r="H1289" s="441" t="str">
        <f>IF($C$1="ENG","softwood","клеєний сосновий брус")</f>
        <v>клеєний сосновий брус</v>
      </c>
      <c r="I1289" s="442"/>
      <c r="J1289" s="441" t="str">
        <f>IF($C$1="ENG","softwood","клеєний сосновий брус")</f>
        <v>клеєний сосновий брус</v>
      </c>
      <c r="K1289" s="442"/>
      <c r="L1289" s="441" t="str">
        <f>IF($C$1="ENG","softwood","клеєний сосновий брус")</f>
        <v>клеєний сосновий брус</v>
      </c>
      <c r="M1289" s="442"/>
      <c r="P1289" s="1"/>
      <c r="Q1289" s="1"/>
      <c r="T1289" s="119"/>
      <c r="U1289" s="119"/>
      <c r="V1289" s="119"/>
      <c r="W1289" s="119"/>
      <c r="AD1289" s="405">
        <f>AD1291/AC1291-1</f>
        <v>0.13945578231292521</v>
      </c>
      <c r="AE1289" s="405">
        <f>AE1291/AD1291-1</f>
        <v>4.6268656716417889E-2</v>
      </c>
      <c r="AF1289" s="405">
        <f>AF1291/AE1291-1</f>
        <v>9.5577746077032844E-2</v>
      </c>
      <c r="AG1289" s="405">
        <f>AG1291/AF1291-1</f>
        <v>4.8177083333333259E-2</v>
      </c>
      <c r="AH1289" s="8">
        <v>5250</v>
      </c>
      <c r="AI1289" s="8">
        <v>6260</v>
      </c>
      <c r="AJ1289" s="8">
        <v>6860</v>
      </c>
      <c r="AK1289" s="8">
        <v>7190</v>
      </c>
      <c r="AN1289" s="291"/>
      <c r="AO1289" s="291"/>
      <c r="AP1289" s="291"/>
      <c r="AQ1289" s="291"/>
      <c r="AR1289" s="291"/>
      <c r="AS1289" s="291"/>
      <c r="AT1289" s="291"/>
    </row>
    <row r="1290" spans="1:46" ht="12.75" customHeight="1">
      <c r="A1290" s="8"/>
      <c r="B1290" s="450"/>
      <c r="C1290" s="128" t="str">
        <f>IF($C$1="ENG","glazing:","скління:")</f>
        <v>скління:</v>
      </c>
      <c r="D1290" s="424" t="str">
        <f>IF($C$1="ENG","Satin","Сатин")</f>
        <v>Сатин</v>
      </c>
      <c r="E1290" s="434"/>
      <c r="F1290" s="424" t="str">
        <f>IF($C$1="ENG","Satin","Сатин")</f>
        <v>Сатин</v>
      </c>
      <c r="G1290" s="434"/>
      <c r="H1290" s="424" t="str">
        <f>IF($C$1="ENG","Satin","Сатин")</f>
        <v>Сатин</v>
      </c>
      <c r="I1290" s="434"/>
      <c r="J1290" s="424" t="str">
        <f>IF($C$1="ENG","Satin","Сатин")</f>
        <v>Сатин</v>
      </c>
      <c r="K1290" s="434"/>
      <c r="L1290" s="424" t="str">
        <f>IF($C$1="ENG","Satin","Сатин")</f>
        <v>Сатин</v>
      </c>
      <c r="M1290" s="434"/>
    </row>
    <row r="1291" spans="1:46" ht="35.1" customHeight="1">
      <c r="A1291" s="8"/>
      <c r="B1291" s="16" t="s">
        <v>28</v>
      </c>
      <c r="C1291" s="17"/>
      <c r="D1291" s="18">
        <f>IF(AC1291="","",(1-$W$2)*(AC1291/1.2))</f>
        <v>4900</v>
      </c>
      <c r="E1291" s="69">
        <f>IF($W$5=0.2,D1291*1.2,D1291)/$W$4</f>
        <v>5880</v>
      </c>
      <c r="F1291" s="18">
        <f>IF(AD1291="","",(1-$W$2)*(AD1291/1.2))</f>
        <v>5583.3333333333339</v>
      </c>
      <c r="G1291" s="69">
        <f>IF($W$5=0.2,F1291*1.2,F1291)/$W$4</f>
        <v>6700.0000000000009</v>
      </c>
      <c r="H1291" s="18">
        <f>IF(AE1291="","",(1-$W$2)*(AE1291/1.2))</f>
        <v>5841.666666666667</v>
      </c>
      <c r="I1291" s="69">
        <f>IF($W$5=0.2,H1291*1.2,H1291)/$W$4</f>
        <v>7010</v>
      </c>
      <c r="J1291" s="18">
        <f>IF(AF1291="","",(1-$W$2)*(AF1291/1.2))</f>
        <v>6400</v>
      </c>
      <c r="K1291" s="69">
        <f>IF($W$5=0.2,J1291*1.2,J1291)/$W$4</f>
        <v>7680</v>
      </c>
      <c r="L1291" s="18">
        <f>IF(AG1291="","",(1-$W$2)*(AG1291/1.2))</f>
        <v>6708.3333333333339</v>
      </c>
      <c r="M1291" s="69">
        <f>IF($W$5=0.2,L1291*1.2,L1291)/$W$4</f>
        <v>8050</v>
      </c>
      <c r="N1291" s="108"/>
      <c r="R1291" s="108"/>
      <c r="T1291" s="108"/>
      <c r="U1291" s="20"/>
      <c r="V1291" s="108"/>
      <c r="W1291" s="20"/>
      <c r="X1291" s="108"/>
      <c r="Y1291" s="108"/>
      <c r="Z1291" s="108"/>
      <c r="AA1291" s="108"/>
      <c r="AB1291" s="108"/>
      <c r="AC1291" s="346">
        <v>5880</v>
      </c>
      <c r="AD1291" s="413">
        <v>6700</v>
      </c>
      <c r="AE1291" s="346">
        <v>7010</v>
      </c>
      <c r="AF1291" s="346">
        <v>7680</v>
      </c>
      <c r="AG1291" s="346">
        <v>8050</v>
      </c>
      <c r="AH1291" s="301">
        <v>5880</v>
      </c>
      <c r="AI1291" s="301">
        <f>AH1291/AC1291-1</f>
        <v>0</v>
      </c>
      <c r="AJ1291" s="301">
        <v>6700</v>
      </c>
      <c r="AK1291" s="301">
        <f>AJ1291/AD1291-1</f>
        <v>0</v>
      </c>
      <c r="AL1291" s="301">
        <v>7010</v>
      </c>
      <c r="AM1291" s="301">
        <f>AL1291/AE1291-1</f>
        <v>0</v>
      </c>
      <c r="AN1291" s="301">
        <v>7680</v>
      </c>
      <c r="AO1291" s="301">
        <f>AN1291/AF1291-1</f>
        <v>0</v>
      </c>
      <c r="AP1291" s="301">
        <v>8050</v>
      </c>
      <c r="AQ1291" s="301">
        <f>AP1291/AG1291-1</f>
        <v>0</v>
      </c>
    </row>
    <row r="1292" spans="1:46" ht="35.1" customHeight="1">
      <c r="A1292" s="8"/>
      <c r="B1292" s="111" t="s">
        <v>23</v>
      </c>
      <c r="C1292" s="336"/>
      <c r="D1292" s="18">
        <f>IF(AC1292="","",(1-$W$2)*(AC1292/1.2))</f>
        <v>4900</v>
      </c>
      <c r="E1292" s="69">
        <f>IF($W$5=0.2,D1292*1.2,D1292)/$W$4</f>
        <v>5880</v>
      </c>
      <c r="F1292" s="18">
        <f>IF(AD1292="","",(1-$W$2)*(AD1292/1.2))</f>
        <v>5583.3333333333339</v>
      </c>
      <c r="G1292" s="69">
        <f>IF($W$5=0.2,F1292*1.2,F1292)/$W$4</f>
        <v>6700.0000000000009</v>
      </c>
      <c r="H1292" s="18">
        <f>IF(AE1292="","",(1-$W$2)*(AE1292/1.2))</f>
        <v>5841.666666666667</v>
      </c>
      <c r="I1292" s="69">
        <f>IF($W$5=0.2,H1292*1.2,H1292)/$W$4</f>
        <v>7010</v>
      </c>
      <c r="J1292" s="18">
        <f>IF(AF1292="","",(1-$W$2)*(AF1292/1.2))</f>
        <v>6400</v>
      </c>
      <c r="K1292" s="69">
        <f>IF($W$5=0.2,J1292*1.2,J1292)/$W$4</f>
        <v>7680</v>
      </c>
      <c r="L1292" s="18">
        <f>IF(AG1292="","",(1-$W$2)*(AG1292/1.2))</f>
        <v>6708.3333333333339</v>
      </c>
      <c r="M1292" s="69">
        <f>IF($W$5=0.2,L1292*1.2,L1292)/$W$4</f>
        <v>8050</v>
      </c>
      <c r="N1292" s="108"/>
      <c r="R1292" s="108"/>
      <c r="T1292" s="108"/>
      <c r="U1292" s="20"/>
      <c r="V1292" s="108"/>
      <c r="W1292" s="20"/>
      <c r="X1292" s="108"/>
      <c r="Y1292" s="108"/>
      <c r="Z1292" s="108"/>
      <c r="AA1292" s="108"/>
      <c r="AB1292" s="108"/>
      <c r="AC1292" s="346">
        <v>5880</v>
      </c>
      <c r="AD1292" s="413">
        <v>6700</v>
      </c>
      <c r="AE1292" s="346">
        <v>7010</v>
      </c>
      <c r="AF1292" s="346">
        <v>7680</v>
      </c>
      <c r="AG1292" s="346">
        <v>8050</v>
      </c>
      <c r="AH1292" s="301">
        <v>5880</v>
      </c>
      <c r="AI1292" s="301">
        <f t="shared" ref="AI1292:AI1293" si="108">AH1292/AC1292-1</f>
        <v>0</v>
      </c>
      <c r="AJ1292" s="301">
        <v>6700</v>
      </c>
      <c r="AK1292" s="301">
        <f t="shared" ref="AK1292:AK1293" si="109">AJ1292/AD1292-1</f>
        <v>0</v>
      </c>
      <c r="AL1292" s="301">
        <v>7010</v>
      </c>
      <c r="AM1292" s="301">
        <f t="shared" ref="AM1292:AM1293" si="110">AL1292/AE1292-1</f>
        <v>0</v>
      </c>
      <c r="AN1292" s="301">
        <v>7680</v>
      </c>
      <c r="AO1292" s="301">
        <f t="shared" ref="AO1292:AO1293" si="111">AN1292/AF1292-1</f>
        <v>0</v>
      </c>
      <c r="AP1292" s="301">
        <v>8050</v>
      </c>
      <c r="AQ1292" s="301">
        <f t="shared" ref="AQ1292:AQ1293" si="112">AP1292/AG1292-1</f>
        <v>0</v>
      </c>
    </row>
    <row r="1293" spans="1:46" ht="35.1" customHeight="1">
      <c r="A1293" s="8"/>
      <c r="B1293" s="23" t="s">
        <v>52</v>
      </c>
      <c r="C1293" s="24"/>
      <c r="D1293" s="25">
        <f>IF(AC1293="","",(1-$W$2)*(AC1293/1.2))</f>
        <v>4900</v>
      </c>
      <c r="E1293" s="72">
        <f>IF($W$5=0.2,D1293*1.2,D1293)/$W$4</f>
        <v>5880</v>
      </c>
      <c r="F1293" s="25">
        <f>IF(AD1293="","",(1-$W$2)*(AD1293/1.2))</f>
        <v>5583.3333333333339</v>
      </c>
      <c r="G1293" s="72">
        <f>IF($W$5=0.2,F1293*1.2,F1293)/$W$4</f>
        <v>6700.0000000000009</v>
      </c>
      <c r="H1293" s="25">
        <f>IF(AE1293="","",(1-$W$2)*(AE1293/1.2))</f>
        <v>5841.666666666667</v>
      </c>
      <c r="I1293" s="72">
        <f>IF($W$5=0.2,H1293*1.2,H1293)/$W$4</f>
        <v>7010</v>
      </c>
      <c r="J1293" s="25">
        <f>IF(AF1293="","",(1-$W$2)*(AF1293/1.2))</f>
        <v>6400</v>
      </c>
      <c r="K1293" s="72">
        <f>IF($W$5=0.2,J1293*1.2,J1293)/$W$4</f>
        <v>7680</v>
      </c>
      <c r="L1293" s="25">
        <f>IF(AG1293="","",(1-$W$2)*(AG1293/1.2))</f>
        <v>6708.3333333333339</v>
      </c>
      <c r="M1293" s="72">
        <f>IF($W$5=0.2,L1293*1.2,L1293)/$W$4</f>
        <v>8050</v>
      </c>
      <c r="N1293" s="108"/>
      <c r="R1293" s="108"/>
      <c r="T1293" s="108"/>
      <c r="U1293" s="20"/>
      <c r="V1293" s="108"/>
      <c r="W1293" s="20"/>
      <c r="X1293" s="108"/>
      <c r="Y1293" s="108"/>
      <c r="Z1293" s="108"/>
      <c r="AA1293" s="108"/>
      <c r="AB1293" s="108"/>
      <c r="AC1293" s="346">
        <v>5880</v>
      </c>
      <c r="AD1293" s="413">
        <v>6700</v>
      </c>
      <c r="AE1293" s="346">
        <v>7010</v>
      </c>
      <c r="AF1293" s="346">
        <v>7680</v>
      </c>
      <c r="AG1293" s="346">
        <v>8050</v>
      </c>
      <c r="AH1293" s="301">
        <v>5880</v>
      </c>
      <c r="AI1293" s="301">
        <f t="shared" si="108"/>
        <v>0</v>
      </c>
      <c r="AJ1293" s="301">
        <v>6700</v>
      </c>
      <c r="AK1293" s="301">
        <f t="shared" si="109"/>
        <v>0</v>
      </c>
      <c r="AL1293" s="301">
        <v>7010</v>
      </c>
      <c r="AM1293" s="301">
        <f t="shared" si="110"/>
        <v>0</v>
      </c>
      <c r="AN1293" s="301">
        <v>7680</v>
      </c>
      <c r="AO1293" s="301">
        <f t="shared" si="111"/>
        <v>0</v>
      </c>
      <c r="AP1293" s="301">
        <v>8050</v>
      </c>
      <c r="AQ1293" s="301">
        <f t="shared" si="112"/>
        <v>0</v>
      </c>
    </row>
    <row r="1294" spans="1:46">
      <c r="C1294" s="26"/>
      <c r="D1294" s="26"/>
      <c r="E1294" s="60"/>
      <c r="F1294" s="26"/>
      <c r="G1294" s="60"/>
      <c r="H1294" s="10"/>
      <c r="I1294" s="8"/>
      <c r="J1294" s="8"/>
      <c r="K1294" s="8"/>
    </row>
    <row r="1295" spans="1:46">
      <c r="B1295" s="220" t="str">
        <f>IF($C$1="ENG","For additonal charge:","Послуги за додаткову плату:")</f>
        <v>Послуги за додаткову плату:</v>
      </c>
      <c r="C1295" s="221"/>
      <c r="D1295" s="221"/>
      <c r="E1295" s="222"/>
      <c r="F1295" s="26"/>
      <c r="G1295" s="60"/>
      <c r="H1295" s="10"/>
      <c r="I1295" s="8"/>
      <c r="J1295" s="8"/>
      <c r="K1295" s="8"/>
    </row>
    <row r="1296" spans="1:46" ht="5.0999999999999996" customHeight="1">
      <c r="B1296" s="27"/>
      <c r="C1296" s="26"/>
      <c r="D1296" s="26"/>
      <c r="E1296" s="60"/>
      <c r="F1296" s="26"/>
      <c r="G1296" s="60"/>
      <c r="H1296" s="10"/>
      <c r="I1296" s="8"/>
      <c r="J1296" s="8"/>
      <c r="K1296" s="8"/>
    </row>
    <row r="1297" spans="2:38">
      <c r="B1297" s="446" t="str">
        <f>IF($C$1="ENG","door leaf with width 100","полотно розміром 100")</f>
        <v>полотно розміром 100</v>
      </c>
      <c r="C1297" s="447"/>
      <c r="D1297" s="136">
        <f t="shared" ref="D1297:D1306" si="113">IF(AC1297="","",(1-$W$2)*(AC1297/1.2))</f>
        <v>600</v>
      </c>
      <c r="E1297" s="96">
        <f t="shared" ref="E1297:E1305" si="114">IF($W$5=0.2,D1297*1.2,D1297)/$W$4</f>
        <v>720</v>
      </c>
      <c r="F1297" s="26"/>
      <c r="G1297" s="26"/>
      <c r="H1297" s="10"/>
      <c r="I1297" s="8"/>
      <c r="J1297" s="8"/>
      <c r="K1297" s="8"/>
      <c r="AC1297" s="301">
        <v>720</v>
      </c>
      <c r="AD1297" s="301">
        <v>720</v>
      </c>
      <c r="AE1297" s="301"/>
      <c r="AF1297" s="301"/>
      <c r="AG1297" s="301"/>
      <c r="AH1297" s="301"/>
      <c r="AI1297" s="301"/>
      <c r="AJ1297" s="301"/>
      <c r="AK1297" s="301"/>
      <c r="AL1297" s="301"/>
    </row>
    <row r="1298" spans="2:38">
      <c r="B1298" s="446" t="str">
        <f>IF($C$1="ENG","Ventilation cut","вентиляційний підріз")</f>
        <v>вентиляційний підріз</v>
      </c>
      <c r="C1298" s="447"/>
      <c r="D1298" s="137">
        <f t="shared" si="113"/>
        <v>141.66666666666669</v>
      </c>
      <c r="E1298" s="69">
        <f t="shared" si="114"/>
        <v>170.00000000000003</v>
      </c>
      <c r="F1298" s="26"/>
      <c r="G1298" s="26"/>
      <c r="I1298" s="62"/>
      <c r="J1298" s="28"/>
      <c r="AC1298" s="301">
        <v>170</v>
      </c>
      <c r="AD1298" s="301">
        <v>170</v>
      </c>
      <c r="AE1298" s="301"/>
      <c r="AF1298" s="301"/>
      <c r="AG1298" s="301"/>
      <c r="AH1298" s="301"/>
      <c r="AI1298" s="301"/>
      <c r="AJ1298" s="301"/>
      <c r="AK1298" s="301"/>
      <c r="AL1298" s="301"/>
    </row>
    <row r="1299" spans="2:38">
      <c r="B1299" s="439" t="str">
        <f>IF($C$1="ENG","glazing Graphite / Bronze","скло Графіт / Бронза")</f>
        <v>скло Графіт / Бронза</v>
      </c>
      <c r="C1299" s="440"/>
      <c r="D1299" s="106">
        <f t="shared" si="113"/>
        <v>458.33333333333337</v>
      </c>
      <c r="E1299" s="97">
        <f t="shared" si="114"/>
        <v>550</v>
      </c>
      <c r="F1299" s="26"/>
      <c r="G1299" s="26"/>
      <c r="H1299" s="5"/>
      <c r="AC1299" s="301">
        <v>550</v>
      </c>
      <c r="AD1299" s="301">
        <v>550</v>
      </c>
      <c r="AE1299" s="301"/>
      <c r="AF1299" s="301"/>
      <c r="AG1299" s="301"/>
      <c r="AH1299" s="301"/>
      <c r="AI1299" s="301"/>
      <c r="AJ1299" s="301"/>
      <c r="AK1299" s="301"/>
      <c r="AL1299" s="301"/>
    </row>
    <row r="1300" spans="2:38">
      <c r="B1300" s="439" t="str">
        <f>IF($C$1="ENG","door lock Soft","замок Soft")</f>
        <v>замок Soft</v>
      </c>
      <c r="C1300" s="440"/>
      <c r="D1300" s="106">
        <f t="shared" si="113"/>
        <v>458.33333333333337</v>
      </c>
      <c r="E1300" s="97">
        <f t="shared" si="114"/>
        <v>550</v>
      </c>
      <c r="F1300" s="26"/>
      <c r="G1300" s="26"/>
      <c r="H1300" s="5"/>
      <c r="AC1300" s="301">
        <v>550</v>
      </c>
      <c r="AD1300" s="301">
        <v>550</v>
      </c>
      <c r="AE1300" s="301"/>
      <c r="AF1300" s="301"/>
      <c r="AG1300" s="301"/>
      <c r="AH1300" s="301"/>
      <c r="AI1300" s="301"/>
      <c r="AJ1300" s="301"/>
      <c r="AK1300" s="301"/>
      <c r="AL1300" s="301"/>
    </row>
    <row r="1301" spans="2:38">
      <c r="B1301" s="439" t="str">
        <f>IF($C$1="ENG","door lock Magnet","замок Magnet")</f>
        <v>замок Magnet</v>
      </c>
      <c r="C1301" s="440"/>
      <c r="D1301" s="106">
        <f t="shared" si="113"/>
        <v>666.66666666666674</v>
      </c>
      <c r="E1301" s="97">
        <f t="shared" si="114"/>
        <v>800.00000000000011</v>
      </c>
      <c r="F1301" s="26"/>
      <c r="G1301" s="26"/>
      <c r="H1301" s="5"/>
      <c r="AC1301" s="301">
        <v>800</v>
      </c>
      <c r="AD1301" s="301">
        <v>800</v>
      </c>
      <c r="AE1301" s="301"/>
      <c r="AF1301" s="301"/>
      <c r="AG1301" s="301"/>
      <c r="AH1301" s="301"/>
      <c r="AI1301" s="301"/>
      <c r="AJ1301" s="301"/>
      <c r="AK1301" s="301"/>
      <c r="AL1301" s="301"/>
    </row>
    <row r="1302" spans="2:38">
      <c r="B1302" s="439" t="str">
        <f>IF($C$1="ENG","door handle-lock (for sliding doors)","ручка-замок (для дверей купе)")</f>
        <v>ручка-замок (для дверей купе)</v>
      </c>
      <c r="C1302" s="440"/>
      <c r="D1302" s="137">
        <f t="shared" si="113"/>
        <v>466.66666666666669</v>
      </c>
      <c r="E1302" s="97">
        <f t="shared" si="114"/>
        <v>560</v>
      </c>
      <c r="F1302" s="26"/>
      <c r="G1302" s="26"/>
      <c r="I1302" s="11"/>
      <c r="J1302" s="11"/>
      <c r="K1302" s="19"/>
      <c r="AC1302" s="301">
        <v>560</v>
      </c>
      <c r="AD1302" s="301">
        <v>560</v>
      </c>
      <c r="AE1302" s="301"/>
      <c r="AF1302" s="301"/>
      <c r="AG1302" s="301"/>
      <c r="AH1302" s="301"/>
      <c r="AI1302" s="301"/>
      <c r="AJ1302" s="301"/>
      <c r="AK1302" s="301"/>
      <c r="AL1302" s="301"/>
    </row>
    <row r="1303" spans="2:38">
      <c r="B1303" s="439" t="str">
        <f>IF($C$1="ENG","cylinder incert","циліндр несиметричний")</f>
        <v>циліндр несиметричний</v>
      </c>
      <c r="C1303" s="440"/>
      <c r="D1303" s="137">
        <f t="shared" si="113"/>
        <v>316.66666666666669</v>
      </c>
      <c r="E1303" s="97">
        <f t="shared" si="114"/>
        <v>380</v>
      </c>
      <c r="F1303" s="26"/>
      <c r="G1303" s="26"/>
      <c r="AC1303" s="301">
        <v>380</v>
      </c>
      <c r="AD1303" s="301">
        <v>380</v>
      </c>
      <c r="AE1303" s="301"/>
      <c r="AF1303" s="301"/>
      <c r="AG1303" s="301"/>
      <c r="AH1303" s="301"/>
      <c r="AI1303" s="301"/>
      <c r="AJ1303" s="301"/>
      <c r="AK1303" s="301"/>
      <c r="AL1303" s="301"/>
    </row>
    <row r="1304" spans="2:38">
      <c r="B1304" s="439" t="str">
        <f>IF($C$1="ENG","door hindge Prestige (1 unit)","завіса Prestige (1 шт)")</f>
        <v>завіса Prestige (1 шт)</v>
      </c>
      <c r="C1304" s="440"/>
      <c r="D1304" s="139">
        <f t="shared" si="113"/>
        <v>216.66666666666669</v>
      </c>
      <c r="E1304" s="97">
        <f t="shared" si="114"/>
        <v>260</v>
      </c>
      <c r="F1304" s="26"/>
      <c r="G1304" s="26"/>
      <c r="AC1304" s="301">
        <v>260</v>
      </c>
      <c r="AD1304" s="301">
        <v>260</v>
      </c>
      <c r="AE1304" s="301"/>
      <c r="AF1304" s="301"/>
      <c r="AG1304" s="301"/>
      <c r="AH1304" s="301"/>
      <c r="AI1304" s="301"/>
      <c r="AJ1304" s="301"/>
      <c r="AK1304" s="301"/>
      <c r="AL1304" s="301"/>
    </row>
    <row r="1305" spans="2:38">
      <c r="B1305" s="439" t="str">
        <f>IF($C$1="ENG","door hinge caps (1 set)","накладка на завіси (1 к-т)")</f>
        <v>накладка на завіси (1 к-т)</v>
      </c>
      <c r="C1305" s="440"/>
      <c r="D1305" s="139">
        <f t="shared" si="113"/>
        <v>66.666666666666671</v>
      </c>
      <c r="E1305" s="97">
        <f t="shared" si="114"/>
        <v>80</v>
      </c>
      <c r="F1305" s="26"/>
      <c r="G1305" s="26"/>
      <c r="AC1305" s="301">
        <v>80</v>
      </c>
      <c r="AD1305" s="301">
        <v>80</v>
      </c>
      <c r="AE1305" s="301"/>
      <c r="AF1305" s="301"/>
      <c r="AG1305" s="301"/>
      <c r="AH1305" s="301"/>
      <c r="AI1305" s="301"/>
      <c r="AJ1305" s="301"/>
      <c r="AK1305" s="301"/>
      <c r="AL1305" s="301"/>
    </row>
    <row r="1306" spans="2:38">
      <c r="B1306" s="439" t="str">
        <f>IF($C$1="ENG","door handle","дверна ручка")</f>
        <v>дверна ручка</v>
      </c>
      <c r="C1306" s="440"/>
      <c r="D1306" s="138" t="str">
        <f t="shared" si="113"/>
        <v/>
      </c>
      <c r="E1306" s="256" t="str">
        <f>IF($C$1="ENG","see Handles Price","див. Таблицю Ручки")</f>
        <v>див. Таблицю Ручки</v>
      </c>
      <c r="F1306" s="26"/>
      <c r="G1306" s="26"/>
      <c r="AC1306" s="301"/>
      <c r="AD1306" s="301"/>
      <c r="AE1306" s="301"/>
      <c r="AF1306" s="301"/>
      <c r="AG1306" s="301"/>
      <c r="AH1306" s="301"/>
      <c r="AI1306" s="301"/>
      <c r="AJ1306" s="301"/>
      <c r="AK1306" s="301"/>
      <c r="AL1306" s="301"/>
    </row>
    <row r="1307" spans="2:38" ht="14.25" customHeight="1">
      <c r="C1307" s="26"/>
      <c r="D1307" s="26"/>
      <c r="E1307" s="26"/>
      <c r="F1307" s="26"/>
      <c r="G1307" s="26"/>
      <c r="H1307" s="5"/>
      <c r="U1307" s="460" t="str">
        <f>IF($C$1="ENG",CONCATENATE("down to: ",B1357),CONCATENATE("вниз до: ",B1357))</f>
        <v>вниз до: Полотна збірні: ТРЕНД</v>
      </c>
      <c r="V1307" s="460"/>
      <c r="W1307" s="460"/>
      <c r="X1307" s="337"/>
      <c r="Y1307" s="337"/>
      <c r="Z1307" s="337"/>
      <c r="AA1307" s="337"/>
      <c r="AB1307" s="337"/>
    </row>
    <row r="1308" spans="2:38" ht="14.25" customHeight="1">
      <c r="C1308" s="26"/>
      <c r="D1308" s="26"/>
      <c r="E1308" s="26"/>
      <c r="F1308" s="26"/>
      <c r="G1308" s="26"/>
      <c r="H1308" s="5"/>
    </row>
    <row r="1309" spans="2:38" ht="14.25" customHeight="1">
      <c r="C1309" s="26"/>
      <c r="D1309" s="26"/>
      <c r="E1309" s="26"/>
      <c r="F1309" s="26"/>
      <c r="G1309" s="26"/>
      <c r="H1309" s="5"/>
    </row>
    <row r="1310" spans="2:38" ht="14.25" customHeight="1">
      <c r="C1310" s="26"/>
      <c r="D1310" s="26"/>
      <c r="E1310" s="26"/>
      <c r="F1310" s="26"/>
      <c r="G1310" s="26"/>
      <c r="H1310" s="5"/>
    </row>
    <row r="1311" spans="2:38" ht="14.25" customHeight="1">
      <c r="C1311" s="26"/>
      <c r="D1311" s="26"/>
      <c r="E1311" s="26"/>
      <c r="F1311" s="26"/>
      <c r="G1311" s="26"/>
      <c r="H1311" s="5"/>
    </row>
    <row r="1312" spans="2:38" ht="14.25" customHeight="1">
      <c r="C1312" s="26"/>
      <c r="D1312" s="26"/>
      <c r="E1312" s="26"/>
      <c r="F1312" s="26"/>
      <c r="G1312" s="26"/>
      <c r="H1312" s="5"/>
    </row>
    <row r="1313" spans="3:8" ht="14.25" customHeight="1">
      <c r="C1313" s="26"/>
      <c r="D1313" s="26"/>
      <c r="E1313" s="26"/>
      <c r="F1313" s="26"/>
      <c r="G1313" s="26"/>
      <c r="H1313" s="5"/>
    </row>
    <row r="1314" spans="3:8" ht="14.25" customHeight="1">
      <c r="C1314" s="26"/>
      <c r="D1314" s="26"/>
      <c r="E1314" s="26"/>
      <c r="F1314" s="26"/>
      <c r="G1314" s="26"/>
      <c r="H1314" s="5"/>
    </row>
    <row r="1315" spans="3:8" ht="14.25" customHeight="1">
      <c r="C1315" s="26"/>
      <c r="D1315" s="26"/>
      <c r="E1315" s="26"/>
      <c r="F1315" s="26"/>
      <c r="G1315" s="26"/>
      <c r="H1315" s="5"/>
    </row>
    <row r="1316" spans="3:8" ht="14.25" customHeight="1">
      <c r="C1316" s="26"/>
      <c r="D1316" s="26"/>
      <c r="E1316" s="26"/>
      <c r="F1316" s="26"/>
      <c r="G1316" s="26"/>
      <c r="H1316" s="5"/>
    </row>
    <row r="1317" spans="3:8" ht="14.25" customHeight="1">
      <c r="C1317" s="26"/>
      <c r="D1317" s="26"/>
      <c r="E1317" s="26"/>
      <c r="F1317" s="26"/>
      <c r="G1317" s="26"/>
      <c r="H1317" s="5"/>
    </row>
    <row r="1318" spans="3:8" ht="14.25" customHeight="1">
      <c r="C1318" s="26"/>
      <c r="D1318" s="26"/>
      <c r="E1318" s="26"/>
      <c r="F1318" s="26"/>
      <c r="G1318" s="26"/>
      <c r="H1318" s="5"/>
    </row>
    <row r="1319" spans="3:8" ht="14.25" customHeight="1">
      <c r="C1319" s="26"/>
      <c r="D1319" s="26"/>
      <c r="E1319" s="26"/>
      <c r="F1319" s="26"/>
      <c r="G1319" s="26"/>
      <c r="H1319" s="5"/>
    </row>
    <row r="1320" spans="3:8" ht="14.25" customHeight="1">
      <c r="C1320" s="26"/>
      <c r="D1320" s="26"/>
      <c r="E1320" s="26"/>
      <c r="F1320" s="26"/>
      <c r="G1320" s="26"/>
      <c r="H1320" s="5"/>
    </row>
    <row r="1321" spans="3:8" ht="14.25" customHeight="1">
      <c r="C1321" s="26"/>
      <c r="D1321" s="26"/>
      <c r="E1321" s="26"/>
      <c r="F1321" s="26"/>
      <c r="G1321" s="26"/>
      <c r="H1321" s="5"/>
    </row>
    <row r="1322" spans="3:8" ht="14.25" customHeight="1">
      <c r="C1322" s="26"/>
      <c r="D1322" s="26"/>
      <c r="E1322" s="26"/>
      <c r="F1322" s="26"/>
      <c r="G1322" s="26"/>
      <c r="H1322" s="5"/>
    </row>
    <row r="1323" spans="3:8" ht="14.25" customHeight="1">
      <c r="C1323" s="26"/>
      <c r="D1323" s="26"/>
      <c r="E1323" s="26"/>
      <c r="F1323" s="26"/>
      <c r="G1323" s="26"/>
      <c r="H1323" s="5"/>
    </row>
    <row r="1324" spans="3:8" ht="14.25" customHeight="1">
      <c r="C1324" s="26"/>
      <c r="D1324" s="26"/>
      <c r="E1324" s="26"/>
      <c r="F1324" s="26"/>
      <c r="G1324" s="26"/>
      <c r="H1324" s="5"/>
    </row>
    <row r="1325" spans="3:8" ht="14.25" customHeight="1">
      <c r="C1325" s="26"/>
      <c r="D1325" s="26"/>
      <c r="E1325" s="26"/>
      <c r="F1325" s="26"/>
      <c r="G1325" s="26"/>
      <c r="H1325" s="5"/>
    </row>
    <row r="1326" spans="3:8" ht="14.25" customHeight="1">
      <c r="C1326" s="26"/>
      <c r="D1326" s="26"/>
      <c r="E1326" s="26"/>
      <c r="F1326" s="26"/>
      <c r="G1326" s="26"/>
      <c r="H1326" s="5"/>
    </row>
    <row r="1327" spans="3:8" ht="14.25" customHeight="1">
      <c r="C1327" s="26"/>
      <c r="D1327" s="26"/>
      <c r="E1327" s="26"/>
      <c r="F1327" s="26"/>
      <c r="G1327" s="26"/>
      <c r="H1327" s="5"/>
    </row>
    <row r="1328" spans="3:8" ht="14.25" customHeight="1">
      <c r="C1328" s="26"/>
      <c r="D1328" s="26"/>
      <c r="E1328" s="26"/>
      <c r="F1328" s="26"/>
      <c r="G1328" s="26"/>
      <c r="H1328" s="5"/>
    </row>
    <row r="1329" spans="3:8" ht="14.25" customHeight="1">
      <c r="C1329" s="26"/>
      <c r="D1329" s="26"/>
      <c r="E1329" s="26"/>
      <c r="F1329" s="26"/>
      <c r="G1329" s="26"/>
      <c r="H1329" s="5"/>
    </row>
    <row r="1330" spans="3:8" ht="14.25" customHeight="1">
      <c r="C1330" s="26"/>
      <c r="D1330" s="26"/>
      <c r="E1330" s="26"/>
      <c r="F1330" s="26"/>
      <c r="G1330" s="26"/>
      <c r="H1330" s="5"/>
    </row>
    <row r="1331" spans="3:8" ht="14.25" customHeight="1">
      <c r="C1331" s="26"/>
      <c r="D1331" s="26"/>
      <c r="E1331" s="26"/>
      <c r="F1331" s="26"/>
      <c r="G1331" s="26"/>
      <c r="H1331" s="5"/>
    </row>
    <row r="1332" spans="3:8" ht="14.25" customHeight="1">
      <c r="C1332" s="26"/>
      <c r="D1332" s="26"/>
      <c r="E1332" s="26"/>
      <c r="F1332" s="26"/>
      <c r="G1332" s="26"/>
      <c r="H1332" s="5"/>
    </row>
    <row r="1333" spans="3:8" ht="14.25" customHeight="1">
      <c r="C1333" s="26"/>
      <c r="D1333" s="26"/>
      <c r="E1333" s="26"/>
      <c r="F1333" s="26"/>
      <c r="G1333" s="26"/>
      <c r="H1333" s="5"/>
    </row>
    <row r="1334" spans="3:8" ht="14.25" customHeight="1">
      <c r="C1334" s="26"/>
      <c r="D1334" s="26"/>
      <c r="E1334" s="26"/>
      <c r="F1334" s="26"/>
      <c r="G1334" s="26"/>
      <c r="H1334" s="5"/>
    </row>
    <row r="1335" spans="3:8" ht="14.25" customHeight="1">
      <c r="C1335" s="26"/>
      <c r="D1335" s="26"/>
      <c r="E1335" s="26"/>
      <c r="F1335" s="26"/>
      <c r="G1335" s="26"/>
      <c r="H1335" s="5"/>
    </row>
    <row r="1336" spans="3:8" ht="14.25" customHeight="1">
      <c r="C1336" s="26"/>
      <c r="D1336" s="26"/>
      <c r="E1336" s="26"/>
      <c r="F1336" s="26"/>
      <c r="G1336" s="26"/>
      <c r="H1336" s="5"/>
    </row>
    <row r="1337" spans="3:8" ht="14.25" customHeight="1">
      <c r="C1337" s="26"/>
      <c r="D1337" s="26"/>
      <c r="E1337" s="26"/>
      <c r="F1337" s="26"/>
      <c r="G1337" s="26"/>
      <c r="H1337" s="5"/>
    </row>
    <row r="1338" spans="3:8" ht="14.25" customHeight="1">
      <c r="C1338" s="26"/>
      <c r="D1338" s="26"/>
      <c r="E1338" s="26"/>
      <c r="F1338" s="26"/>
      <c r="G1338" s="26"/>
      <c r="H1338" s="5"/>
    </row>
    <row r="1339" spans="3:8" ht="14.25" customHeight="1">
      <c r="C1339" s="26"/>
      <c r="D1339" s="26"/>
      <c r="E1339" s="26"/>
      <c r="F1339" s="26"/>
      <c r="G1339" s="26"/>
      <c r="H1339" s="5"/>
    </row>
    <row r="1340" spans="3:8" ht="14.25" customHeight="1">
      <c r="C1340" s="26"/>
      <c r="D1340" s="26"/>
      <c r="E1340" s="26"/>
      <c r="F1340" s="26"/>
      <c r="G1340" s="26"/>
      <c r="H1340" s="5"/>
    </row>
    <row r="1341" spans="3:8" ht="14.25" customHeight="1">
      <c r="C1341" s="26"/>
      <c r="D1341" s="26"/>
      <c r="E1341" s="26"/>
      <c r="F1341" s="26"/>
      <c r="G1341" s="26"/>
      <c r="H1341" s="5"/>
    </row>
    <row r="1342" spans="3:8" ht="14.25" customHeight="1">
      <c r="C1342" s="26"/>
      <c r="D1342" s="26"/>
      <c r="E1342" s="26"/>
      <c r="F1342" s="26"/>
      <c r="G1342" s="26"/>
      <c r="H1342" s="5"/>
    </row>
    <row r="1343" spans="3:8" ht="14.25" customHeight="1">
      <c r="C1343" s="26"/>
      <c r="D1343" s="26"/>
      <c r="E1343" s="26"/>
      <c r="F1343" s="26"/>
      <c r="G1343" s="26"/>
      <c r="H1343" s="5"/>
    </row>
    <row r="1344" spans="3:8" ht="14.25" customHeight="1">
      <c r="C1344" s="26"/>
      <c r="D1344" s="26"/>
      <c r="E1344" s="26"/>
      <c r="F1344" s="26"/>
      <c r="G1344" s="26"/>
      <c r="H1344" s="5"/>
    </row>
    <row r="1345" spans="2:38" ht="14.25" customHeight="1">
      <c r="C1345" s="26"/>
      <c r="D1345" s="26"/>
      <c r="E1345" s="26"/>
      <c r="F1345" s="26"/>
      <c r="G1345" s="26"/>
      <c r="H1345" s="5"/>
    </row>
    <row r="1346" spans="2:38" ht="14.25" customHeight="1">
      <c r="C1346" s="26"/>
      <c r="D1346" s="26"/>
      <c r="E1346" s="26"/>
      <c r="F1346" s="26"/>
      <c r="G1346" s="26"/>
      <c r="H1346" s="5"/>
    </row>
    <row r="1347" spans="2:38" ht="14.25" customHeight="1">
      <c r="C1347" s="26"/>
      <c r="D1347" s="26"/>
      <c r="E1347" s="26"/>
      <c r="F1347" s="26"/>
      <c r="G1347" s="26"/>
      <c r="H1347" s="5"/>
    </row>
    <row r="1348" spans="2:38" ht="14.25" customHeight="1">
      <c r="C1348" s="26"/>
      <c r="D1348" s="26"/>
      <c r="E1348" s="26"/>
      <c r="F1348" s="26"/>
      <c r="G1348" s="26"/>
      <c r="H1348" s="5"/>
    </row>
    <row r="1349" spans="2:38" ht="14.25" customHeight="1">
      <c r="C1349" s="26"/>
      <c r="D1349" s="26"/>
      <c r="E1349" s="26"/>
      <c r="F1349" s="26"/>
      <c r="G1349" s="26"/>
      <c r="H1349" s="5"/>
    </row>
    <row r="1350" spans="2:38" ht="14.25" customHeight="1">
      <c r="C1350" s="26"/>
      <c r="D1350" s="26"/>
      <c r="E1350" s="26"/>
      <c r="F1350" s="26"/>
      <c r="G1350" s="26"/>
      <c r="H1350" s="5"/>
    </row>
    <row r="1351" spans="2:38" ht="14.25" customHeight="1">
      <c r="C1351" s="26"/>
      <c r="D1351" s="26"/>
      <c r="E1351" s="26"/>
      <c r="F1351" s="26"/>
      <c r="G1351" s="26"/>
      <c r="H1351" s="5"/>
    </row>
    <row r="1352" spans="2:38" ht="14.25" customHeight="1">
      <c r="C1352" s="26"/>
      <c r="D1352" s="26"/>
      <c r="E1352" s="26"/>
      <c r="F1352" s="26"/>
      <c r="G1352" s="26"/>
      <c r="H1352" s="5"/>
    </row>
    <row r="1353" spans="2:38" ht="14.25" customHeight="1">
      <c r="C1353" s="26"/>
      <c r="D1353" s="26"/>
      <c r="E1353" s="26"/>
      <c r="F1353" s="26"/>
      <c r="G1353" s="26"/>
      <c r="H1353" s="5"/>
    </row>
    <row r="1354" spans="2:38" ht="14.25" customHeight="1">
      <c r="C1354" s="26"/>
      <c r="D1354" s="26"/>
      <c r="E1354" s="26"/>
      <c r="F1354" s="26"/>
      <c r="G1354" s="26"/>
      <c r="H1354" s="5"/>
    </row>
    <row r="1355" spans="2:38" ht="14.25" customHeight="1">
      <c r="C1355" s="26"/>
      <c r="D1355" s="26"/>
      <c r="E1355" s="26"/>
      <c r="F1355" s="26"/>
      <c r="G1355" s="26"/>
      <c r="H1355" s="5"/>
    </row>
    <row r="1356" spans="2:38" ht="14.25" customHeight="1">
      <c r="C1356" s="26"/>
      <c r="D1356" s="26"/>
      <c r="E1356" s="26"/>
      <c r="F1356" s="26"/>
      <c r="G1356" s="26"/>
      <c r="H1356" s="5"/>
    </row>
    <row r="1357" spans="2:38" ht="14.25" customHeight="1">
      <c r="B1357" s="421" t="str">
        <f>TITLE!C26</f>
        <v>Полотна збірні: ТРЕНД</v>
      </c>
      <c r="C1357" s="421"/>
      <c r="D1357" s="122"/>
      <c r="E1357" s="122"/>
      <c r="F1357" s="122"/>
      <c r="G1357" s="122"/>
      <c r="H1357" s="445"/>
      <c r="I1357" s="44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419" t="str">
        <f>IF($C$1="ENG",CONCATENATE("up to: ",B1286),CONCATENATE("вгору до: ",B1286))</f>
        <v>вгору до: Полотна збірні: ЄВА</v>
      </c>
      <c r="U1357" s="419"/>
      <c r="V1357" s="419"/>
      <c r="W1357" s="419"/>
      <c r="X1357" s="8"/>
      <c r="Y1357" s="8"/>
      <c r="Z1357" s="8"/>
      <c r="AA1357" s="8"/>
      <c r="AB1357" s="8"/>
      <c r="AC1357" s="8"/>
      <c r="AD1357" s="8"/>
      <c r="AE1357" s="8"/>
      <c r="AF1357" s="8"/>
      <c r="AG1357" s="301">
        <f>AB1357/100*12+AB1357</f>
        <v>0</v>
      </c>
      <c r="AH1357" s="301" t="e">
        <f>AG1357/AB1357-1</f>
        <v>#DIV/0!</v>
      </c>
      <c r="AI1357" s="8"/>
      <c r="AJ1357" s="8"/>
      <c r="AK1357" s="8"/>
      <c r="AL1357" s="8"/>
    </row>
    <row r="1358" spans="2:38" ht="4.5" customHeight="1">
      <c r="B1358" s="121"/>
      <c r="C1358" s="121"/>
      <c r="D1358" s="9"/>
      <c r="E1358" s="9"/>
      <c r="F1358" s="9"/>
      <c r="G1358" s="9"/>
      <c r="H1358" s="124"/>
      <c r="I1358" s="124"/>
      <c r="L1358" s="8"/>
      <c r="M1358" s="8"/>
      <c r="N1358" s="8"/>
      <c r="O1358" s="8"/>
      <c r="P1358" s="8"/>
      <c r="Q1358" s="8"/>
      <c r="R1358" s="8"/>
      <c r="S1358" s="8"/>
      <c r="T1358" s="119"/>
      <c r="U1358" s="119"/>
      <c r="V1358" s="119"/>
      <c r="W1358" s="119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</row>
    <row r="1359" spans="2:38" ht="14.25" customHeight="1">
      <c r="B1359" s="448" t="str">
        <f>IF($C$1="ENG","model","модель")</f>
        <v>модель</v>
      </c>
      <c r="C1359" s="126" t="str">
        <f>IF($C$1="ENG","cover:","покриття:")</f>
        <v>покриття:</v>
      </c>
      <c r="D1359" s="430" t="str">
        <f>IF($C$1="ENG","Verto-CELL","Verto-CELL")</f>
        <v>Verto-CELL</v>
      </c>
      <c r="E1359" s="432"/>
      <c r="F1359" s="430" t="str">
        <f>IF($C$1="ENG","UNI-MAT","UNI-MAT")</f>
        <v>UNI-MAT</v>
      </c>
      <c r="G1359" s="432"/>
      <c r="H1359" s="430" t="str">
        <f>IF($C$1="ENG","RESIST","RESIST")</f>
        <v>RESIST</v>
      </c>
      <c r="I1359" s="432"/>
      <c r="J1359" s="430" t="str">
        <f>IF($C$1="ENG","Verto LINE-3D","Verto LINE-3D")</f>
        <v>Verto LINE-3D</v>
      </c>
      <c r="K1359" s="432"/>
      <c r="L1359" s="430" t="str">
        <f>IF($C$1="ENG","ECO Shpon","ЕКО Шпон")</f>
        <v>ЕКО Шпон</v>
      </c>
      <c r="M1359" s="432"/>
      <c r="N1359" s="8"/>
      <c r="O1359" s="8"/>
      <c r="P1359" s="20"/>
      <c r="Q1359" s="20"/>
      <c r="R1359" s="8"/>
      <c r="S1359" s="8"/>
      <c r="T1359" s="119"/>
      <c r="U1359" s="119"/>
      <c r="V1359" s="119"/>
      <c r="W1359" s="119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</row>
    <row r="1360" spans="2:38" ht="27.75" customHeight="1">
      <c r="B1360" s="449"/>
      <c r="C1360" s="127" t="str">
        <f>IF($C$1="ENG","filling:","заповнення:")</f>
        <v>заповнення:</v>
      </c>
      <c r="D1360" s="441" t="str">
        <f>IF($C$1="ENG","softwood","клеєний сосновий брус")</f>
        <v>клеєний сосновий брус</v>
      </c>
      <c r="E1360" s="442"/>
      <c r="F1360" s="441" t="str">
        <f>IF($C$1="ENG","softwood","клеєний сосновий брус")</f>
        <v>клеєний сосновий брус</v>
      </c>
      <c r="G1360" s="442"/>
      <c r="H1360" s="441" t="str">
        <f>IF($C$1="ENG","softwood","клеєний сосновий брус")</f>
        <v>клеєний сосновий брус</v>
      </c>
      <c r="I1360" s="442"/>
      <c r="J1360" s="441" t="str">
        <f>IF($C$1="ENG","softwood","клеєний сосновий брус")</f>
        <v>клеєний сосновий брус</v>
      </c>
      <c r="K1360" s="442"/>
      <c r="L1360" s="441" t="str">
        <f>IF($C$1="ENG","softwood","клеєний сосновий брус")</f>
        <v>клеєний сосновий брус</v>
      </c>
      <c r="M1360" s="442"/>
      <c r="N1360" s="8"/>
      <c r="O1360" s="8"/>
      <c r="P1360" s="20"/>
      <c r="Q1360" s="20"/>
      <c r="R1360" s="8"/>
      <c r="S1360" s="8"/>
      <c r="T1360" s="119"/>
      <c r="U1360" s="119"/>
      <c r="V1360" s="119"/>
      <c r="W1360" s="119"/>
      <c r="X1360" s="8"/>
      <c r="Y1360" s="8"/>
      <c r="Z1360" s="8"/>
      <c r="AA1360" s="8"/>
      <c r="AB1360" s="8"/>
      <c r="AC1360" s="8"/>
      <c r="AD1360" s="405">
        <f>AD1362/AC1362-1</f>
        <v>0.1102257636122177</v>
      </c>
      <c r="AE1360" s="405">
        <f>AE1362/AD1362-1</f>
        <v>3.3492822966507241E-2</v>
      </c>
      <c r="AF1360" s="405">
        <f>AF1362/AE1362-1</f>
        <v>4.513888888888884E-2</v>
      </c>
      <c r="AG1360" s="405">
        <f>AG1362/AF1362-1</f>
        <v>4.6511627906976827E-2</v>
      </c>
      <c r="AH1360" s="8"/>
      <c r="AI1360" s="8"/>
      <c r="AJ1360" s="8"/>
      <c r="AK1360" s="8"/>
      <c r="AL1360" s="8"/>
    </row>
    <row r="1361" spans="2:43" ht="14.25" customHeight="1">
      <c r="B1361" s="450"/>
      <c r="C1361" s="128" t="str">
        <f>IF($C$1="ENG","glazing:","скління:")</f>
        <v>скління:</v>
      </c>
      <c r="D1361" s="424" t="str">
        <f>IF($C$1="ENG","Satin","Сатин")</f>
        <v>Сатин</v>
      </c>
      <c r="E1361" s="434"/>
      <c r="F1361" s="424" t="str">
        <f>IF($C$1="ENG","Satin","Сатин")</f>
        <v>Сатин</v>
      </c>
      <c r="G1361" s="434"/>
      <c r="H1361" s="424" t="str">
        <f>IF($C$1="ENG","Satin","Сатин")</f>
        <v>Сатин</v>
      </c>
      <c r="I1361" s="434"/>
      <c r="J1361" s="424" t="str">
        <f>IF($C$1="ENG","Satin","Сатин")</f>
        <v>Сатин</v>
      </c>
      <c r="K1361" s="434"/>
      <c r="L1361" s="424" t="str">
        <f>IF($C$1="ENG","Satin","Сатин")</f>
        <v>Сатин</v>
      </c>
      <c r="M1361" s="434"/>
      <c r="N1361" s="11"/>
      <c r="O1361" s="11"/>
      <c r="P1361" s="20"/>
      <c r="Q1361" s="20"/>
      <c r="R1361" s="11"/>
      <c r="S1361" s="11"/>
      <c r="T1361" s="11"/>
    </row>
    <row r="1362" spans="2:43" ht="34.5" customHeight="1">
      <c r="B1362" s="13" t="s">
        <v>24</v>
      </c>
      <c r="C1362" s="14"/>
      <c r="D1362" s="15">
        <f>IF(AC1362="","",(1-$W$2)*(AC1362/1.2))</f>
        <v>6275</v>
      </c>
      <c r="E1362" s="67">
        <f>IF($W$5=0.2,D1362*1.2,D1362)/$W$4</f>
        <v>7530</v>
      </c>
      <c r="F1362" s="15">
        <f>IF(AD1362="","",(1-$W$2)*(AD1362/1.2))</f>
        <v>6966.666666666667</v>
      </c>
      <c r="G1362" s="67">
        <f>IF($W$5=0.2,F1362*1.2,F1362)/$W$4</f>
        <v>8360</v>
      </c>
      <c r="H1362" s="15">
        <f>IF(AE1362="","",(1-$W$2)*(AE1362/1.2))</f>
        <v>7200</v>
      </c>
      <c r="I1362" s="67">
        <f>IF($W$5=0.2,H1362*1.2,H1362)/$W$4</f>
        <v>8640</v>
      </c>
      <c r="J1362" s="15">
        <f>IF(AF1362="","",(1-$W$2)*(AF1362/1.2))</f>
        <v>7525</v>
      </c>
      <c r="K1362" s="67">
        <f>IF($W$5=0.2,J1362*1.2,J1362)/$W$4</f>
        <v>9030</v>
      </c>
      <c r="L1362" s="15">
        <f>IF(AG1362="","",(1-$W$2)*(AG1362/1.2))</f>
        <v>7875</v>
      </c>
      <c r="M1362" s="67">
        <f>IF($W$5=0.2,L1362*1.2,L1362)/$W$4</f>
        <v>9450</v>
      </c>
      <c r="N1362" s="108"/>
      <c r="O1362" s="20"/>
      <c r="P1362" s="20"/>
      <c r="Q1362" s="20"/>
      <c r="R1362" s="108"/>
      <c r="S1362" s="20"/>
      <c r="T1362" s="108"/>
      <c r="U1362" s="20"/>
      <c r="V1362" s="108"/>
      <c r="W1362" s="20"/>
      <c r="X1362" s="22"/>
      <c r="Y1362" s="22"/>
      <c r="Z1362" s="22"/>
      <c r="AA1362" s="22"/>
      <c r="AB1362" s="22"/>
      <c r="AC1362" s="346">
        <v>7530</v>
      </c>
      <c r="AD1362" s="413">
        <v>8360</v>
      </c>
      <c r="AE1362" s="346">
        <v>8640</v>
      </c>
      <c r="AF1362" s="346">
        <v>9030</v>
      </c>
      <c r="AG1362" s="346">
        <v>9450</v>
      </c>
      <c r="AH1362" s="301">
        <v>7530</v>
      </c>
      <c r="AI1362" s="301">
        <f>AH1362/AC1362-1</f>
        <v>0</v>
      </c>
      <c r="AJ1362" s="301">
        <v>8360</v>
      </c>
      <c r="AK1362" s="301">
        <f>AJ1362/AD1362-1</f>
        <v>0</v>
      </c>
      <c r="AL1362" s="301">
        <v>8640</v>
      </c>
      <c r="AM1362" s="301">
        <f>AL1362/AE1362-1</f>
        <v>0</v>
      </c>
      <c r="AN1362" s="301">
        <v>9030</v>
      </c>
      <c r="AO1362" s="301">
        <f>AN1362/AF1362-1</f>
        <v>0</v>
      </c>
      <c r="AP1362" s="301">
        <v>9450</v>
      </c>
      <c r="AQ1362" s="301">
        <f>AP1362/AG1362-1</f>
        <v>0</v>
      </c>
    </row>
    <row r="1363" spans="2:43" ht="34.5" customHeight="1">
      <c r="B1363" s="16" t="s">
        <v>36</v>
      </c>
      <c r="C1363" s="17"/>
      <c r="D1363" s="18">
        <f>IF(AC1363="","",(1-$W$2)*(AC1363/1.2))</f>
        <v>6275</v>
      </c>
      <c r="E1363" s="69">
        <f>IF($W$5=0.2,D1363*1.2,D1363)/$W$4</f>
        <v>7530</v>
      </c>
      <c r="F1363" s="18">
        <f>IF(AD1363="","",(1-$W$2)*(AD1363/1.2))</f>
        <v>6966.666666666667</v>
      </c>
      <c r="G1363" s="69">
        <f>IF($W$5=0.2,F1363*1.2,F1363)/$W$4</f>
        <v>8360</v>
      </c>
      <c r="H1363" s="18">
        <f>IF(AE1363="","",(1-$W$2)*(AE1363/1.2))</f>
        <v>7200</v>
      </c>
      <c r="I1363" s="69">
        <f>IF($W$5=0.2,H1363*1.2,H1363)/$W$4</f>
        <v>8640</v>
      </c>
      <c r="J1363" s="18">
        <f>IF(AF1363="","",(1-$W$2)*(AF1363/1.2))</f>
        <v>7525</v>
      </c>
      <c r="K1363" s="69">
        <f>IF($W$5=0.2,J1363*1.2,J1363)/$W$4</f>
        <v>9030</v>
      </c>
      <c r="L1363" s="18">
        <f>IF(AG1363="","",(1-$W$2)*(AG1363/1.2))</f>
        <v>7875</v>
      </c>
      <c r="M1363" s="69">
        <f>IF($W$5=0.2,L1363*1.2,L1363)/$W$4</f>
        <v>9450</v>
      </c>
      <c r="N1363" s="108"/>
      <c r="O1363" s="20"/>
      <c r="P1363" s="20"/>
      <c r="Q1363" s="20"/>
      <c r="R1363" s="108"/>
      <c r="S1363" s="20"/>
      <c r="T1363" s="108"/>
      <c r="U1363" s="20"/>
      <c r="V1363" s="108"/>
      <c r="W1363" s="20"/>
      <c r="X1363" s="22"/>
      <c r="Y1363" s="22"/>
      <c r="Z1363" s="22"/>
      <c r="AA1363" s="22"/>
      <c r="AB1363" s="22"/>
      <c r="AC1363" s="346">
        <v>7530</v>
      </c>
      <c r="AD1363" s="413">
        <v>8360</v>
      </c>
      <c r="AE1363" s="346">
        <v>8640</v>
      </c>
      <c r="AF1363" s="346">
        <v>9030</v>
      </c>
      <c r="AG1363" s="346">
        <v>9450</v>
      </c>
      <c r="AH1363" s="301">
        <v>7530</v>
      </c>
      <c r="AI1363" s="301">
        <f t="shared" ref="AI1363:AI1364" si="115">AH1363/AC1363-1</f>
        <v>0</v>
      </c>
      <c r="AJ1363" s="301">
        <v>8360</v>
      </c>
      <c r="AK1363" s="301">
        <f t="shared" ref="AK1363:AK1364" si="116">AJ1363/AD1363-1</f>
        <v>0</v>
      </c>
      <c r="AL1363" s="301">
        <v>8640</v>
      </c>
      <c r="AM1363" s="301">
        <f t="shared" ref="AM1363:AM1364" si="117">AL1363/AE1363-1</f>
        <v>0</v>
      </c>
      <c r="AN1363" s="301">
        <v>9030</v>
      </c>
      <c r="AO1363" s="301">
        <f t="shared" ref="AO1363:AO1364" si="118">AN1363/AF1363-1</f>
        <v>0</v>
      </c>
      <c r="AP1363" s="301">
        <v>9450</v>
      </c>
      <c r="AQ1363" s="301">
        <f t="shared" ref="AQ1363:AQ1364" si="119">AP1363/AG1363-1</f>
        <v>0</v>
      </c>
    </row>
    <row r="1364" spans="2:43" ht="34.5" customHeight="1">
      <c r="B1364" s="23" t="s">
        <v>37</v>
      </c>
      <c r="C1364" s="24"/>
      <c r="D1364" s="25">
        <f>IF(AC1364="","",(1-$W$2)*(AC1364/1.2))</f>
        <v>6275</v>
      </c>
      <c r="E1364" s="72">
        <f>IF($W$5=0.2,D1364*1.2,D1364)/$W$4</f>
        <v>7530</v>
      </c>
      <c r="F1364" s="25">
        <f>IF(AD1364="","",(1-$W$2)*(AD1364/1.2))</f>
        <v>6966.666666666667</v>
      </c>
      <c r="G1364" s="72">
        <f>IF($W$5=0.2,F1364*1.2,F1364)/$W$4</f>
        <v>8360</v>
      </c>
      <c r="H1364" s="25">
        <f>IF(AE1364="","",(1-$W$2)*(AE1364/1.2))</f>
        <v>7200</v>
      </c>
      <c r="I1364" s="72">
        <f>IF($W$5=0.2,H1364*1.2,H1364)/$W$4</f>
        <v>8640</v>
      </c>
      <c r="J1364" s="25">
        <f>IF(AF1364="","",(1-$W$2)*(AF1364/1.2))</f>
        <v>7525</v>
      </c>
      <c r="K1364" s="72">
        <f>IF($W$5=0.2,J1364*1.2,J1364)/$W$4</f>
        <v>9030</v>
      </c>
      <c r="L1364" s="25">
        <f>IF(AG1364="","",(1-$W$2)*(AG1364/1.2))</f>
        <v>7875</v>
      </c>
      <c r="M1364" s="72">
        <f>IF($W$5=0.2,L1364*1.2,L1364)/$W$4</f>
        <v>9450</v>
      </c>
      <c r="N1364" s="108"/>
      <c r="O1364" s="20"/>
      <c r="P1364" s="20"/>
      <c r="Q1364" s="20"/>
      <c r="R1364" s="108"/>
      <c r="S1364" s="20"/>
      <c r="T1364" s="108"/>
      <c r="U1364" s="20"/>
      <c r="V1364" s="108"/>
      <c r="W1364" s="20"/>
      <c r="X1364" s="22"/>
      <c r="Y1364" s="22"/>
      <c r="Z1364" s="22"/>
      <c r="AA1364" s="22"/>
      <c r="AB1364" s="22"/>
      <c r="AC1364" s="346">
        <v>7530</v>
      </c>
      <c r="AD1364" s="413">
        <v>8360</v>
      </c>
      <c r="AE1364" s="346">
        <v>8640</v>
      </c>
      <c r="AF1364" s="346">
        <v>9030</v>
      </c>
      <c r="AG1364" s="346">
        <v>9450</v>
      </c>
      <c r="AH1364" s="301">
        <v>7530</v>
      </c>
      <c r="AI1364" s="301">
        <f t="shared" si="115"/>
        <v>0</v>
      </c>
      <c r="AJ1364" s="301">
        <v>8360</v>
      </c>
      <c r="AK1364" s="301">
        <f t="shared" si="116"/>
        <v>0</v>
      </c>
      <c r="AL1364" s="301">
        <v>8640</v>
      </c>
      <c r="AM1364" s="301">
        <f t="shared" si="117"/>
        <v>0</v>
      </c>
      <c r="AN1364" s="301">
        <v>9030</v>
      </c>
      <c r="AO1364" s="301">
        <f t="shared" si="118"/>
        <v>0</v>
      </c>
      <c r="AP1364" s="301">
        <v>9450</v>
      </c>
      <c r="AQ1364" s="301">
        <f t="shared" si="119"/>
        <v>0</v>
      </c>
    </row>
    <row r="1365" spans="2:43" ht="12.75" customHeight="1">
      <c r="C1365" s="26"/>
      <c r="D1365" s="26"/>
      <c r="E1365" s="60"/>
      <c r="F1365" s="26"/>
      <c r="G1365" s="60"/>
      <c r="H1365" s="5"/>
      <c r="P1365" s="20"/>
      <c r="Q1365" s="20"/>
    </row>
    <row r="1366" spans="2:43" ht="12.75" customHeight="1">
      <c r="B1366" s="220" t="str">
        <f>IF($C$1="ENG","For additonal charge:","Послуги за додаткову плату:")</f>
        <v>Послуги за додаткову плату:</v>
      </c>
      <c r="C1366" s="221"/>
      <c r="D1366" s="221"/>
      <c r="E1366" s="222"/>
      <c r="F1366" s="26"/>
      <c r="G1366" s="60"/>
      <c r="H1366" s="10"/>
      <c r="I1366" s="8"/>
      <c r="J1366" s="8"/>
      <c r="K1366" s="8"/>
    </row>
    <row r="1367" spans="2:43" ht="4.5" customHeight="1">
      <c r="B1367" s="27"/>
      <c r="C1367" s="26"/>
      <c r="D1367" s="26"/>
      <c r="E1367" s="60"/>
      <c r="F1367" s="26"/>
      <c r="G1367" s="26"/>
      <c r="H1367" s="10"/>
      <c r="I1367" s="8"/>
      <c r="J1367" s="8"/>
      <c r="K1367" s="8"/>
    </row>
    <row r="1368" spans="2:43" ht="12.75" customHeight="1">
      <c r="B1368" s="446" t="str">
        <f>IF($C$1="ENG","door leaf with width 100","полотно розміром 100")</f>
        <v>полотно розміром 100</v>
      </c>
      <c r="C1368" s="447"/>
      <c r="D1368" s="136">
        <f t="shared" ref="D1368:D1378" si="120">IF(AC1368="","",(1-$W$2)*(AC1368/1.2))</f>
        <v>600</v>
      </c>
      <c r="E1368" s="96">
        <f t="shared" ref="E1368:E1377" si="121">IF($W$5=0.2,D1368*1.2,D1368)/$W$4</f>
        <v>720</v>
      </c>
      <c r="F1368" s="26"/>
      <c r="G1368" s="26"/>
      <c r="H1368" s="10"/>
      <c r="I1368" s="8"/>
      <c r="J1368" s="8"/>
      <c r="K1368" s="8"/>
      <c r="AC1368" s="301">
        <v>720</v>
      </c>
      <c r="AD1368" s="301">
        <v>720</v>
      </c>
      <c r="AE1368" s="301"/>
      <c r="AF1368" s="301"/>
      <c r="AG1368" s="301"/>
      <c r="AH1368" s="301"/>
      <c r="AI1368" s="301"/>
      <c r="AJ1368" s="301"/>
      <c r="AK1368" s="301"/>
      <c r="AL1368" s="301"/>
    </row>
    <row r="1369" spans="2:43" ht="12.75" customHeight="1">
      <c r="B1369" s="439" t="str">
        <f>IF($C$1="ENG","Ventilation sleeves (1 row)","вентиляційні віддушини (1ряд)")</f>
        <v>вентиляційні віддушини (1ряд)</v>
      </c>
      <c r="C1369" s="440"/>
      <c r="D1369" s="137">
        <f t="shared" si="120"/>
        <v>208.33333333333334</v>
      </c>
      <c r="E1369" s="97">
        <f t="shared" si="121"/>
        <v>250</v>
      </c>
      <c r="F1369" s="26"/>
      <c r="G1369" s="26"/>
      <c r="I1369" s="11"/>
      <c r="J1369" s="11"/>
      <c r="K1369" s="11"/>
      <c r="AC1369" s="301">
        <v>250</v>
      </c>
      <c r="AD1369" s="301">
        <v>250</v>
      </c>
      <c r="AE1369" s="301"/>
      <c r="AF1369" s="301"/>
      <c r="AG1369" s="301"/>
      <c r="AH1369" s="301"/>
      <c r="AI1369" s="301"/>
      <c r="AJ1369" s="301"/>
      <c r="AK1369" s="301"/>
      <c r="AL1369" s="301"/>
    </row>
    <row r="1370" spans="2:43" ht="12.75" customHeight="1">
      <c r="B1370" s="446" t="str">
        <f>IF($C$1="ENG","Ventilation cut","вентиляційний підріз")</f>
        <v>вентиляційний підріз</v>
      </c>
      <c r="C1370" s="447"/>
      <c r="D1370" s="137">
        <f t="shared" si="120"/>
        <v>141.66666666666669</v>
      </c>
      <c r="E1370" s="69">
        <f t="shared" si="121"/>
        <v>170.00000000000003</v>
      </c>
      <c r="F1370" s="26"/>
      <c r="G1370" s="26"/>
      <c r="I1370" s="62"/>
      <c r="J1370" s="28"/>
      <c r="AC1370" s="301">
        <v>170</v>
      </c>
      <c r="AD1370" s="301">
        <v>170</v>
      </c>
      <c r="AE1370" s="301"/>
      <c r="AF1370" s="301"/>
      <c r="AG1370" s="301"/>
      <c r="AH1370" s="301"/>
      <c r="AI1370" s="301"/>
      <c r="AJ1370" s="301"/>
      <c r="AK1370" s="301"/>
      <c r="AL1370" s="301"/>
    </row>
    <row r="1371" spans="2:43" ht="12.75" customHeight="1">
      <c r="B1371" s="439" t="str">
        <f>IF($C$1="ENG","glazing Graphite / Bronze","скло Графіт / Бронза")</f>
        <v>скло Графіт / Бронза</v>
      </c>
      <c r="C1371" s="440"/>
      <c r="D1371" s="106">
        <f t="shared" si="120"/>
        <v>458.33333333333337</v>
      </c>
      <c r="E1371" s="97">
        <f t="shared" si="121"/>
        <v>550</v>
      </c>
      <c r="F1371" s="26"/>
      <c r="G1371" s="26"/>
      <c r="H1371" s="5"/>
      <c r="AC1371" s="301">
        <v>550</v>
      </c>
      <c r="AD1371" s="301">
        <v>550</v>
      </c>
      <c r="AE1371" s="301"/>
      <c r="AF1371" s="301"/>
      <c r="AG1371" s="301"/>
      <c r="AH1371" s="301"/>
      <c r="AI1371" s="301"/>
      <c r="AJ1371" s="301"/>
      <c r="AK1371" s="301"/>
      <c r="AL1371" s="301"/>
    </row>
    <row r="1372" spans="2:43" ht="12.75" customHeight="1">
      <c r="B1372" s="439" t="str">
        <f>IF($C$1="ENG","door lock Soft","замок Soft")</f>
        <v>замок Soft</v>
      </c>
      <c r="C1372" s="440"/>
      <c r="D1372" s="106">
        <f t="shared" si="120"/>
        <v>458.33333333333337</v>
      </c>
      <c r="E1372" s="97">
        <f t="shared" si="121"/>
        <v>550</v>
      </c>
      <c r="F1372" s="26"/>
      <c r="G1372" s="26"/>
      <c r="H1372" s="5"/>
      <c r="AC1372" s="301">
        <v>550</v>
      </c>
      <c r="AD1372" s="301">
        <v>550</v>
      </c>
      <c r="AE1372" s="301"/>
      <c r="AF1372" s="301"/>
      <c r="AG1372" s="301"/>
      <c r="AH1372" s="301"/>
      <c r="AI1372" s="301"/>
      <c r="AJ1372" s="301"/>
      <c r="AK1372" s="301"/>
      <c r="AL1372" s="301"/>
    </row>
    <row r="1373" spans="2:43" ht="12.75" customHeight="1">
      <c r="B1373" s="439" t="str">
        <f>IF($C$1="ENG","door lock Magnet","замок Magnet")</f>
        <v>замок Magnet</v>
      </c>
      <c r="C1373" s="440"/>
      <c r="D1373" s="106">
        <f t="shared" si="120"/>
        <v>666.66666666666674</v>
      </c>
      <c r="E1373" s="97">
        <f t="shared" si="121"/>
        <v>800.00000000000011</v>
      </c>
      <c r="F1373" s="26"/>
      <c r="G1373" s="26"/>
      <c r="H1373" s="5"/>
      <c r="AC1373" s="301">
        <v>800</v>
      </c>
      <c r="AD1373" s="301">
        <v>800</v>
      </c>
      <c r="AE1373" s="301"/>
      <c r="AF1373" s="301"/>
      <c r="AG1373" s="301"/>
      <c r="AH1373" s="301"/>
      <c r="AI1373" s="301"/>
      <c r="AJ1373" s="301"/>
      <c r="AK1373" s="301"/>
      <c r="AL1373" s="301"/>
    </row>
    <row r="1374" spans="2:43" ht="12.75" customHeight="1">
      <c r="B1374" s="439" t="str">
        <f>IF($C$1="ENG","door handle-lock (for sliding doors)","ручка-замок (для дверей купе)")</f>
        <v>ручка-замок (для дверей купе)</v>
      </c>
      <c r="C1374" s="440"/>
      <c r="D1374" s="137">
        <f t="shared" si="120"/>
        <v>466.66666666666669</v>
      </c>
      <c r="E1374" s="97">
        <f t="shared" si="121"/>
        <v>560</v>
      </c>
      <c r="F1374" s="26"/>
      <c r="G1374" s="26"/>
      <c r="I1374" s="11"/>
      <c r="J1374" s="11"/>
      <c r="K1374" s="19"/>
      <c r="AC1374" s="301">
        <v>560</v>
      </c>
      <c r="AD1374" s="301">
        <v>560</v>
      </c>
      <c r="AE1374" s="301"/>
      <c r="AF1374" s="301"/>
      <c r="AG1374" s="301"/>
      <c r="AH1374" s="301"/>
      <c r="AI1374" s="301"/>
      <c r="AJ1374" s="301"/>
      <c r="AK1374" s="301"/>
      <c r="AL1374" s="301"/>
    </row>
    <row r="1375" spans="2:43" ht="12.75" customHeight="1">
      <c r="B1375" s="439" t="str">
        <f>IF($C$1="ENG","cylinder incert","циліндр несиметричний")</f>
        <v>циліндр несиметричний</v>
      </c>
      <c r="C1375" s="440"/>
      <c r="D1375" s="137">
        <f t="shared" si="120"/>
        <v>316.66666666666669</v>
      </c>
      <c r="E1375" s="97">
        <f t="shared" si="121"/>
        <v>380</v>
      </c>
      <c r="F1375" s="26"/>
      <c r="G1375" s="26"/>
      <c r="I1375" s="20"/>
      <c r="AC1375" s="301">
        <v>380</v>
      </c>
      <c r="AD1375" s="301">
        <v>380</v>
      </c>
      <c r="AE1375" s="301"/>
      <c r="AF1375" s="301"/>
      <c r="AG1375" s="301"/>
      <c r="AH1375" s="301"/>
      <c r="AI1375" s="301"/>
      <c r="AJ1375" s="301"/>
      <c r="AK1375" s="301"/>
      <c r="AL1375" s="301"/>
    </row>
    <row r="1376" spans="2:43" ht="12.75" customHeight="1">
      <c r="B1376" s="439" t="str">
        <f>IF($C$1="ENG","door hindge Prestige (1 unit)","завіса Prestige (1 шт)")</f>
        <v>завіса Prestige (1 шт)</v>
      </c>
      <c r="C1376" s="440"/>
      <c r="D1376" s="139">
        <f t="shared" si="120"/>
        <v>216.66666666666669</v>
      </c>
      <c r="E1376" s="97">
        <f t="shared" si="121"/>
        <v>260</v>
      </c>
      <c r="F1376" s="26"/>
      <c r="G1376" s="26"/>
      <c r="AC1376" s="301">
        <v>260</v>
      </c>
      <c r="AD1376" s="301">
        <v>260</v>
      </c>
      <c r="AE1376" s="301"/>
      <c r="AF1376" s="301"/>
      <c r="AG1376" s="301"/>
      <c r="AH1376" s="301"/>
      <c r="AI1376" s="301"/>
      <c r="AJ1376" s="301"/>
      <c r="AK1376" s="301"/>
      <c r="AL1376" s="301"/>
    </row>
    <row r="1377" spans="2:38" ht="12.75" customHeight="1">
      <c r="B1377" s="439" t="str">
        <f>IF($C$1="ENG","door hinge caps (1 set)","накладка на завіси (1 к-т)")</f>
        <v>накладка на завіси (1 к-т)</v>
      </c>
      <c r="C1377" s="440"/>
      <c r="D1377" s="139">
        <f t="shared" si="120"/>
        <v>66.666666666666671</v>
      </c>
      <c r="E1377" s="97">
        <f t="shared" si="121"/>
        <v>80</v>
      </c>
      <c r="F1377" s="26"/>
      <c r="G1377" s="26"/>
      <c r="AC1377" s="301">
        <v>80</v>
      </c>
      <c r="AD1377" s="301">
        <v>80</v>
      </c>
      <c r="AE1377" s="301"/>
      <c r="AF1377" s="301"/>
      <c r="AG1377" s="301"/>
      <c r="AH1377" s="301"/>
      <c r="AI1377" s="301"/>
      <c r="AJ1377" s="301"/>
      <c r="AK1377" s="301"/>
      <c r="AL1377" s="301"/>
    </row>
    <row r="1378" spans="2:38" ht="12.75" customHeight="1">
      <c r="B1378" s="439" t="str">
        <f>IF($C$1="ENG","door handle","дверна ручка")</f>
        <v>дверна ручка</v>
      </c>
      <c r="C1378" s="440"/>
      <c r="D1378" s="138" t="str">
        <f t="shared" si="120"/>
        <v/>
      </c>
      <c r="E1378" s="256" t="str">
        <f>IF($C$1="ENG","see Handles Price","див. Таблицю Ручки")</f>
        <v>див. Таблицю Ручки</v>
      </c>
      <c r="F1378" s="26"/>
      <c r="G1378" s="26"/>
      <c r="AC1378" s="301"/>
      <c r="AD1378" s="301"/>
      <c r="AE1378" s="301"/>
      <c r="AF1378" s="301"/>
      <c r="AG1378" s="301"/>
      <c r="AH1378" s="301"/>
      <c r="AI1378" s="301"/>
      <c r="AJ1378" s="301"/>
      <c r="AK1378" s="301"/>
      <c r="AL1378" s="301"/>
    </row>
    <row r="1379" spans="2:38" ht="14.25" customHeight="1">
      <c r="C1379" s="26"/>
      <c r="D1379" s="26"/>
      <c r="E1379" s="26"/>
      <c r="F1379" s="26"/>
      <c r="G1379" s="26"/>
      <c r="H1379" s="5"/>
      <c r="T1379" s="460" t="str">
        <f>IF($C$1="ENG",CONCATENATE("down to: ",B1429),CONCATENATE("вниз до: ",B1429))</f>
        <v>вниз до: Полотна збірні: МОДЕРН</v>
      </c>
      <c r="U1379" s="460"/>
      <c r="V1379" s="460"/>
      <c r="W1379" s="460"/>
    </row>
    <row r="1380" spans="2:38" ht="14.25" customHeight="1">
      <c r="C1380" s="26"/>
      <c r="D1380" s="26"/>
      <c r="E1380" s="26"/>
      <c r="F1380" s="26"/>
      <c r="G1380" s="26"/>
      <c r="H1380" s="5"/>
      <c r="T1380" s="119"/>
      <c r="U1380" s="119"/>
      <c r="V1380" s="119"/>
      <c r="W1380" s="119"/>
    </row>
    <row r="1381" spans="2:38" ht="14.25" customHeight="1">
      <c r="C1381" s="26"/>
      <c r="D1381" s="26"/>
      <c r="E1381" s="26"/>
      <c r="F1381" s="26"/>
      <c r="G1381" s="26"/>
      <c r="H1381" s="5"/>
      <c r="T1381" s="119"/>
      <c r="U1381" s="119"/>
      <c r="V1381" s="119"/>
      <c r="W1381" s="119"/>
    </row>
    <row r="1382" spans="2:38" ht="14.25" customHeight="1">
      <c r="C1382" s="26"/>
      <c r="D1382" s="26"/>
      <c r="E1382" s="26"/>
      <c r="F1382" s="26"/>
      <c r="G1382" s="26"/>
      <c r="H1382" s="5"/>
      <c r="T1382" s="119"/>
      <c r="U1382" s="119"/>
      <c r="V1382" s="119"/>
      <c r="W1382" s="119"/>
    </row>
    <row r="1383" spans="2:38" ht="14.25" customHeight="1">
      <c r="C1383" s="26"/>
      <c r="D1383" s="26"/>
      <c r="E1383" s="26"/>
      <c r="F1383" s="26"/>
      <c r="G1383" s="26"/>
      <c r="H1383" s="5"/>
      <c r="T1383" s="119"/>
      <c r="U1383" s="119"/>
      <c r="V1383" s="119"/>
      <c r="W1383" s="119"/>
    </row>
    <row r="1384" spans="2:38" ht="14.25" customHeight="1">
      <c r="C1384" s="26"/>
      <c r="D1384" s="26"/>
      <c r="E1384" s="26"/>
      <c r="F1384" s="26"/>
      <c r="G1384" s="26"/>
      <c r="H1384" s="5"/>
      <c r="T1384" s="119"/>
      <c r="U1384" s="119"/>
      <c r="V1384" s="119"/>
      <c r="W1384" s="119"/>
    </row>
    <row r="1385" spans="2:38" ht="14.25" customHeight="1">
      <c r="C1385" s="26"/>
      <c r="D1385" s="26"/>
      <c r="E1385" s="26"/>
      <c r="F1385" s="26"/>
      <c r="G1385" s="26"/>
      <c r="H1385" s="5"/>
      <c r="T1385" s="119"/>
      <c r="U1385" s="119"/>
      <c r="V1385" s="119"/>
      <c r="W1385" s="119"/>
    </row>
    <row r="1386" spans="2:38" ht="14.25" customHeight="1">
      <c r="C1386" s="26"/>
      <c r="D1386" s="26"/>
      <c r="E1386" s="26"/>
      <c r="F1386" s="26"/>
      <c r="G1386" s="26"/>
      <c r="H1386" s="5"/>
      <c r="T1386" s="119"/>
      <c r="U1386" s="119"/>
      <c r="V1386" s="119"/>
      <c r="W1386" s="119"/>
    </row>
    <row r="1387" spans="2:38" ht="14.25" customHeight="1">
      <c r="C1387" s="26"/>
      <c r="D1387" s="26"/>
      <c r="E1387" s="26"/>
      <c r="F1387" s="26"/>
      <c r="G1387" s="26"/>
      <c r="H1387" s="5"/>
      <c r="T1387" s="119"/>
      <c r="U1387" s="119"/>
      <c r="V1387" s="119"/>
      <c r="W1387" s="119"/>
    </row>
    <row r="1388" spans="2:38" ht="14.25" customHeight="1">
      <c r="C1388" s="26"/>
      <c r="D1388" s="26"/>
      <c r="E1388" s="26"/>
      <c r="F1388" s="26"/>
      <c r="G1388" s="26"/>
      <c r="H1388" s="5"/>
      <c r="T1388" s="119"/>
      <c r="U1388" s="119"/>
      <c r="V1388" s="119"/>
      <c r="W1388" s="119"/>
    </row>
    <row r="1389" spans="2:38" ht="14.25" customHeight="1">
      <c r="C1389" s="26"/>
      <c r="D1389" s="26"/>
      <c r="E1389" s="26"/>
      <c r="F1389" s="26"/>
      <c r="G1389" s="26"/>
      <c r="H1389" s="5"/>
      <c r="T1389" s="119"/>
      <c r="U1389" s="119"/>
      <c r="V1389" s="119"/>
      <c r="W1389" s="119"/>
    </row>
    <row r="1390" spans="2:38" ht="14.25" customHeight="1">
      <c r="C1390" s="26"/>
      <c r="D1390" s="26"/>
      <c r="E1390" s="26"/>
      <c r="F1390" s="26"/>
      <c r="G1390" s="26"/>
      <c r="H1390" s="5"/>
      <c r="T1390" s="119"/>
      <c r="U1390" s="119"/>
      <c r="V1390" s="119"/>
      <c r="W1390" s="119"/>
    </row>
    <row r="1391" spans="2:38" ht="14.25" customHeight="1">
      <c r="C1391" s="26"/>
      <c r="D1391" s="26"/>
      <c r="E1391" s="26"/>
      <c r="F1391" s="26"/>
      <c r="G1391" s="26"/>
      <c r="H1391" s="5"/>
      <c r="T1391" s="119"/>
      <c r="U1391" s="119"/>
      <c r="V1391" s="119"/>
      <c r="W1391" s="119"/>
    </row>
    <row r="1392" spans="2:38" ht="14.25" customHeight="1">
      <c r="C1392" s="26"/>
      <c r="D1392" s="26"/>
      <c r="E1392" s="26"/>
      <c r="F1392" s="26"/>
      <c r="G1392" s="26"/>
      <c r="H1392" s="5"/>
      <c r="T1392" s="119"/>
      <c r="U1392" s="119"/>
      <c r="V1392" s="119"/>
      <c r="W1392" s="119"/>
    </row>
    <row r="1393" spans="3:23" ht="14.25" customHeight="1">
      <c r="C1393" s="26"/>
      <c r="D1393" s="26"/>
      <c r="E1393" s="26"/>
      <c r="F1393" s="26"/>
      <c r="G1393" s="26"/>
      <c r="H1393" s="5"/>
      <c r="T1393" s="119"/>
      <c r="U1393" s="119"/>
      <c r="V1393" s="119"/>
      <c r="W1393" s="119"/>
    </row>
    <row r="1394" spans="3:23" ht="14.25" customHeight="1">
      <c r="C1394" s="26"/>
      <c r="D1394" s="26"/>
      <c r="E1394" s="26"/>
      <c r="F1394" s="26"/>
      <c r="G1394" s="26"/>
      <c r="H1394" s="5"/>
      <c r="T1394" s="119"/>
      <c r="U1394" s="119"/>
      <c r="V1394" s="119"/>
      <c r="W1394" s="119"/>
    </row>
    <row r="1395" spans="3:23" ht="14.25" customHeight="1">
      <c r="C1395" s="26"/>
      <c r="D1395" s="26"/>
      <c r="E1395" s="26"/>
      <c r="F1395" s="26"/>
      <c r="G1395" s="26"/>
      <c r="H1395" s="5"/>
      <c r="T1395" s="119"/>
      <c r="U1395" s="119"/>
      <c r="V1395" s="119"/>
      <c r="W1395" s="119"/>
    </row>
    <row r="1396" spans="3:23" ht="14.25" customHeight="1">
      <c r="C1396" s="26"/>
      <c r="D1396" s="26"/>
      <c r="E1396" s="26"/>
      <c r="F1396" s="26"/>
      <c r="G1396" s="26"/>
      <c r="H1396" s="5"/>
      <c r="T1396" s="119"/>
      <c r="U1396" s="119"/>
      <c r="V1396" s="119"/>
      <c r="W1396" s="119"/>
    </row>
    <row r="1397" spans="3:23" ht="14.25" customHeight="1">
      <c r="C1397" s="26"/>
      <c r="D1397" s="26"/>
      <c r="E1397" s="26"/>
      <c r="F1397" s="26"/>
      <c r="G1397" s="26"/>
      <c r="H1397" s="5"/>
      <c r="T1397" s="119"/>
      <c r="U1397" s="119"/>
      <c r="V1397" s="119"/>
      <c r="W1397" s="119"/>
    </row>
    <row r="1398" spans="3:23" ht="14.25" customHeight="1">
      <c r="C1398" s="26"/>
      <c r="D1398" s="26"/>
      <c r="E1398" s="26"/>
      <c r="F1398" s="26"/>
      <c r="G1398" s="26"/>
      <c r="H1398" s="5"/>
      <c r="T1398" s="119"/>
      <c r="U1398" s="119"/>
      <c r="V1398" s="119"/>
      <c r="W1398" s="119"/>
    </row>
    <row r="1399" spans="3:23" ht="14.25" customHeight="1">
      <c r="C1399" s="26"/>
      <c r="D1399" s="26"/>
      <c r="E1399" s="26"/>
      <c r="F1399" s="26"/>
      <c r="G1399" s="26"/>
      <c r="H1399" s="5"/>
      <c r="T1399" s="119"/>
      <c r="U1399" s="119"/>
      <c r="V1399" s="119"/>
      <c r="W1399" s="119"/>
    </row>
    <row r="1400" spans="3:23" ht="14.25" customHeight="1">
      <c r="C1400" s="26"/>
      <c r="D1400" s="26"/>
      <c r="E1400" s="26"/>
      <c r="F1400" s="26"/>
      <c r="G1400" s="26"/>
      <c r="H1400" s="5"/>
      <c r="T1400" s="119"/>
      <c r="U1400" s="119"/>
      <c r="V1400" s="119"/>
      <c r="W1400" s="119"/>
    </row>
    <row r="1401" spans="3:23" ht="14.25" customHeight="1">
      <c r="C1401" s="26"/>
      <c r="D1401" s="26"/>
      <c r="E1401" s="26"/>
      <c r="F1401" s="26"/>
      <c r="G1401" s="26"/>
      <c r="H1401" s="5"/>
      <c r="T1401" s="119"/>
      <c r="U1401" s="119"/>
      <c r="V1401" s="119"/>
      <c r="W1401" s="119"/>
    </row>
    <row r="1402" spans="3:23" ht="14.25" customHeight="1">
      <c r="C1402" s="26"/>
      <c r="D1402" s="26"/>
      <c r="E1402" s="26"/>
      <c r="F1402" s="26"/>
      <c r="G1402" s="26"/>
      <c r="H1402" s="5"/>
      <c r="T1402" s="119"/>
      <c r="U1402" s="119"/>
      <c r="V1402" s="119"/>
      <c r="W1402" s="119"/>
    </row>
    <row r="1403" spans="3:23" ht="14.25" customHeight="1">
      <c r="C1403" s="26"/>
      <c r="D1403" s="26"/>
      <c r="E1403" s="26"/>
      <c r="F1403" s="26"/>
      <c r="G1403" s="26"/>
      <c r="H1403" s="5"/>
      <c r="T1403" s="119"/>
      <c r="U1403" s="119"/>
      <c r="V1403" s="119"/>
      <c r="W1403" s="119"/>
    </row>
    <row r="1404" spans="3:23" ht="14.25" customHeight="1">
      <c r="C1404" s="26"/>
      <c r="D1404" s="26"/>
      <c r="E1404" s="26"/>
      <c r="F1404" s="26"/>
      <c r="G1404" s="26"/>
      <c r="H1404" s="5"/>
      <c r="T1404" s="119"/>
      <c r="U1404" s="119"/>
      <c r="V1404" s="119"/>
      <c r="W1404" s="119"/>
    </row>
    <row r="1405" spans="3:23" ht="14.25" customHeight="1">
      <c r="C1405" s="26"/>
      <c r="D1405" s="26"/>
      <c r="E1405" s="26"/>
      <c r="F1405" s="26"/>
      <c r="G1405" s="26"/>
      <c r="H1405" s="5"/>
      <c r="T1405" s="119"/>
      <c r="U1405" s="119"/>
      <c r="V1405" s="119"/>
      <c r="W1405" s="119"/>
    </row>
    <row r="1406" spans="3:23" ht="14.25" customHeight="1">
      <c r="C1406" s="26"/>
      <c r="D1406" s="26"/>
      <c r="E1406" s="26"/>
      <c r="F1406" s="26"/>
      <c r="G1406" s="26"/>
      <c r="H1406" s="5"/>
      <c r="T1406" s="119"/>
      <c r="U1406" s="119"/>
      <c r="V1406" s="119"/>
      <c r="W1406" s="119"/>
    </row>
    <row r="1407" spans="3:23" ht="14.25" customHeight="1">
      <c r="C1407" s="26"/>
      <c r="D1407" s="26"/>
      <c r="E1407" s="26"/>
      <c r="F1407" s="26"/>
      <c r="G1407" s="26"/>
      <c r="H1407" s="5"/>
      <c r="T1407" s="119"/>
      <c r="U1407" s="119"/>
      <c r="V1407" s="119"/>
      <c r="W1407" s="119"/>
    </row>
    <row r="1408" spans="3:23" ht="14.25" customHeight="1">
      <c r="C1408" s="26"/>
      <c r="D1408" s="26"/>
      <c r="E1408" s="26"/>
      <c r="F1408" s="26"/>
      <c r="G1408" s="26"/>
      <c r="H1408" s="5"/>
      <c r="T1408" s="119"/>
      <c r="U1408" s="119"/>
      <c r="V1408" s="119"/>
      <c r="W1408" s="119"/>
    </row>
    <row r="1409" spans="3:23" ht="14.25" customHeight="1">
      <c r="C1409" s="26"/>
      <c r="D1409" s="26"/>
      <c r="E1409" s="26"/>
      <c r="F1409" s="26"/>
      <c r="G1409" s="26"/>
      <c r="H1409" s="5"/>
      <c r="T1409" s="119"/>
      <c r="U1409" s="119"/>
      <c r="V1409" s="119"/>
      <c r="W1409" s="119"/>
    </row>
    <row r="1410" spans="3:23" ht="14.25" customHeight="1">
      <c r="C1410" s="26"/>
      <c r="D1410" s="26"/>
      <c r="E1410" s="26"/>
      <c r="F1410" s="26"/>
      <c r="G1410" s="26"/>
      <c r="H1410" s="5"/>
      <c r="T1410" s="119"/>
      <c r="U1410" s="119"/>
      <c r="V1410" s="119"/>
      <c r="W1410" s="119"/>
    </row>
    <row r="1411" spans="3:23" ht="14.25" customHeight="1">
      <c r="C1411" s="26"/>
      <c r="D1411" s="26"/>
      <c r="E1411" s="26"/>
      <c r="F1411" s="26"/>
      <c r="G1411" s="26"/>
      <c r="H1411" s="5"/>
      <c r="T1411" s="119"/>
      <c r="U1411" s="119"/>
      <c r="V1411" s="119"/>
      <c r="W1411" s="119"/>
    </row>
    <row r="1412" spans="3:23" ht="14.25" customHeight="1">
      <c r="C1412" s="26"/>
      <c r="D1412" s="26"/>
      <c r="E1412" s="26"/>
      <c r="F1412" s="26"/>
      <c r="G1412" s="26"/>
      <c r="H1412" s="5"/>
      <c r="T1412" s="119"/>
      <c r="U1412" s="119"/>
      <c r="V1412" s="119"/>
      <c r="W1412" s="119"/>
    </row>
    <row r="1413" spans="3:23" ht="14.25" customHeight="1">
      <c r="C1413" s="26"/>
      <c r="D1413" s="26"/>
      <c r="E1413" s="26"/>
      <c r="F1413" s="26"/>
      <c r="G1413" s="26"/>
      <c r="H1413" s="5"/>
      <c r="T1413" s="119"/>
      <c r="U1413" s="119"/>
      <c r="V1413" s="119"/>
      <c r="W1413" s="119"/>
    </row>
    <row r="1414" spans="3:23" ht="14.25" customHeight="1">
      <c r="C1414" s="26"/>
      <c r="D1414" s="26"/>
      <c r="E1414" s="26"/>
      <c r="F1414" s="26"/>
      <c r="G1414" s="26"/>
      <c r="H1414" s="5"/>
      <c r="T1414" s="119"/>
      <c r="U1414" s="119"/>
      <c r="V1414" s="119"/>
      <c r="W1414" s="119"/>
    </row>
    <row r="1415" spans="3:23" ht="14.25" customHeight="1">
      <c r="C1415" s="26"/>
      <c r="D1415" s="26"/>
      <c r="E1415" s="26"/>
      <c r="F1415" s="26"/>
      <c r="G1415" s="26"/>
      <c r="H1415" s="5"/>
      <c r="T1415" s="119"/>
      <c r="U1415" s="119"/>
      <c r="V1415" s="119"/>
      <c r="W1415" s="119"/>
    </row>
    <row r="1416" spans="3:23" ht="14.25" customHeight="1">
      <c r="C1416" s="26"/>
      <c r="D1416" s="26"/>
      <c r="E1416" s="26"/>
      <c r="F1416" s="26"/>
      <c r="G1416" s="26"/>
      <c r="H1416" s="5"/>
      <c r="T1416" s="119"/>
      <c r="U1416" s="119"/>
      <c r="V1416" s="119"/>
      <c r="W1416" s="119"/>
    </row>
    <row r="1417" spans="3:23" ht="14.25" customHeight="1">
      <c r="C1417" s="26"/>
      <c r="D1417" s="26"/>
      <c r="E1417" s="26"/>
      <c r="F1417" s="26"/>
      <c r="G1417" s="26"/>
      <c r="H1417" s="5"/>
      <c r="T1417" s="119"/>
      <c r="U1417" s="119"/>
      <c r="V1417" s="119"/>
      <c r="W1417" s="119"/>
    </row>
    <row r="1418" spans="3:23" ht="14.25" customHeight="1">
      <c r="C1418" s="26"/>
      <c r="D1418" s="26"/>
      <c r="E1418" s="26"/>
      <c r="F1418" s="26"/>
      <c r="G1418" s="26"/>
      <c r="H1418" s="5"/>
      <c r="T1418" s="119"/>
      <c r="U1418" s="119"/>
      <c r="V1418" s="119"/>
      <c r="W1418" s="119"/>
    </row>
    <row r="1419" spans="3:23" ht="14.25" customHeight="1">
      <c r="C1419" s="26"/>
      <c r="D1419" s="26"/>
      <c r="E1419" s="26"/>
      <c r="F1419" s="26"/>
      <c r="G1419" s="26"/>
      <c r="H1419" s="5"/>
      <c r="T1419" s="119"/>
      <c r="U1419" s="119"/>
      <c r="V1419" s="119"/>
      <c r="W1419" s="119"/>
    </row>
    <row r="1420" spans="3:23" ht="14.25" customHeight="1">
      <c r="C1420" s="26"/>
      <c r="D1420" s="26"/>
      <c r="E1420" s="26"/>
      <c r="F1420" s="26"/>
      <c r="G1420" s="26"/>
      <c r="H1420" s="5"/>
      <c r="T1420" s="119"/>
      <c r="U1420" s="119"/>
      <c r="V1420" s="119"/>
      <c r="W1420" s="119"/>
    </row>
    <row r="1421" spans="3:23" ht="14.25" customHeight="1">
      <c r="C1421" s="26"/>
      <c r="D1421" s="26"/>
      <c r="E1421" s="26"/>
      <c r="F1421" s="26"/>
      <c r="G1421" s="26"/>
      <c r="H1421" s="5"/>
      <c r="T1421" s="119"/>
      <c r="U1421" s="119"/>
      <c r="V1421" s="119"/>
      <c r="W1421" s="119"/>
    </row>
    <row r="1422" spans="3:23" ht="14.25" customHeight="1">
      <c r="C1422" s="26"/>
      <c r="D1422" s="26"/>
      <c r="E1422" s="26"/>
      <c r="F1422" s="26"/>
      <c r="G1422" s="26"/>
      <c r="H1422" s="5"/>
      <c r="T1422" s="119"/>
      <c r="U1422" s="119"/>
      <c r="V1422" s="119"/>
      <c r="W1422" s="119"/>
    </row>
    <row r="1423" spans="3:23" ht="14.25" customHeight="1">
      <c r="C1423" s="26"/>
      <c r="D1423" s="26"/>
      <c r="E1423" s="26"/>
      <c r="F1423" s="26"/>
      <c r="G1423" s="26"/>
      <c r="H1423" s="5"/>
      <c r="T1423" s="119"/>
      <c r="U1423" s="119"/>
      <c r="V1423" s="119"/>
      <c r="W1423" s="119"/>
    </row>
    <row r="1424" spans="3:23" ht="14.25" customHeight="1">
      <c r="C1424" s="26"/>
      <c r="D1424" s="26"/>
      <c r="E1424" s="26"/>
      <c r="F1424" s="26"/>
      <c r="G1424" s="26"/>
      <c r="H1424" s="5"/>
      <c r="T1424" s="119"/>
      <c r="U1424" s="119"/>
      <c r="V1424" s="119"/>
      <c r="W1424" s="119"/>
    </row>
    <row r="1425" spans="2:43" ht="14.25" customHeight="1">
      <c r="C1425" s="26"/>
      <c r="D1425" s="26"/>
      <c r="E1425" s="26"/>
      <c r="F1425" s="26"/>
      <c r="G1425" s="26"/>
      <c r="H1425" s="5"/>
      <c r="T1425" s="119"/>
      <c r="U1425" s="119"/>
      <c r="V1425" s="119"/>
      <c r="W1425" s="119"/>
    </row>
    <row r="1426" spans="2:43" ht="14.25" customHeight="1">
      <c r="C1426" s="26"/>
      <c r="D1426" s="26"/>
      <c r="E1426" s="26"/>
      <c r="F1426" s="26"/>
      <c r="G1426" s="26"/>
      <c r="H1426" s="5"/>
      <c r="T1426" s="119"/>
      <c r="U1426" s="119"/>
      <c r="V1426" s="119"/>
      <c r="W1426" s="119"/>
    </row>
    <row r="1427" spans="2:43" ht="14.25" customHeight="1">
      <c r="C1427" s="26"/>
      <c r="D1427" s="26"/>
      <c r="E1427" s="26"/>
      <c r="F1427" s="26"/>
      <c r="G1427" s="26"/>
      <c r="H1427" s="5"/>
      <c r="T1427" s="119"/>
      <c r="U1427" s="119"/>
      <c r="V1427" s="119"/>
      <c r="W1427" s="119"/>
    </row>
    <row r="1428" spans="2:43" ht="14.25" customHeight="1">
      <c r="C1428" s="26"/>
      <c r="D1428" s="26"/>
      <c r="E1428" s="26"/>
      <c r="F1428" s="26"/>
      <c r="G1428" s="26"/>
      <c r="H1428" s="5"/>
      <c r="T1428" s="119"/>
      <c r="U1428" s="119"/>
      <c r="V1428" s="119"/>
      <c r="W1428" s="119"/>
    </row>
    <row r="1429" spans="2:43" ht="14.25" customHeight="1">
      <c r="B1429" s="421" t="str">
        <f>TITLE!C27</f>
        <v>Полотна збірні: МОДЕРН</v>
      </c>
      <c r="C1429" s="421"/>
      <c r="D1429" s="122"/>
      <c r="E1429" s="122"/>
      <c r="F1429" s="122"/>
      <c r="G1429" s="122"/>
      <c r="H1429" s="445"/>
      <c r="I1429" s="44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419" t="str">
        <f>IF($C$1="ENG",CONCATENATE("up to: ",B1357),CONCATENATE("вгору до: ",B1357))</f>
        <v>вгору до: Полотна збірні: ТРЕНД</v>
      </c>
      <c r="U1429" s="419"/>
      <c r="V1429" s="419"/>
      <c r="W1429" s="419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</row>
    <row r="1430" spans="2:43" ht="4.5" customHeight="1">
      <c r="B1430" s="121"/>
      <c r="C1430" s="121"/>
      <c r="D1430" s="9"/>
      <c r="E1430" s="9"/>
      <c r="F1430" s="9"/>
      <c r="G1430" s="9"/>
      <c r="H1430" s="124"/>
      <c r="I1430" s="124"/>
      <c r="L1430" s="8"/>
      <c r="M1430" s="8"/>
      <c r="N1430" s="8"/>
      <c r="O1430" s="8"/>
      <c r="P1430" s="8"/>
      <c r="Q1430" s="8"/>
      <c r="R1430" s="8"/>
      <c r="S1430" s="8"/>
      <c r="T1430" s="119"/>
      <c r="U1430" s="119"/>
      <c r="V1430" s="119"/>
      <c r="W1430" s="119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</row>
    <row r="1431" spans="2:43" ht="13.5" customHeight="1">
      <c r="B1431" s="448" t="str">
        <f>IF($C$1="ENG","model","модель")</f>
        <v>модель</v>
      </c>
      <c r="C1431" s="126" t="str">
        <f>IF($C$1="ENG","cover:","покриття:")</f>
        <v>покриття:</v>
      </c>
      <c r="D1431" s="430" t="str">
        <f>IF($C$1="ENG","VERTO-CELL","VERTO-CELL")</f>
        <v>VERTO-CELL</v>
      </c>
      <c r="E1431" s="432"/>
      <c r="F1431" s="430" t="str">
        <f>IF($C$1="ENG","UNI-MAT","UNI-MAT")</f>
        <v>UNI-MAT</v>
      </c>
      <c r="G1431" s="432"/>
      <c r="H1431" s="430" t="str">
        <f>IF($C$1="ENG","RESIST","RESIST")</f>
        <v>RESIST</v>
      </c>
      <c r="I1431" s="432"/>
      <c r="J1431" s="430" t="str">
        <f>IF($C$1="ENG","Verto LINE-3D","Verto LINE-3D")</f>
        <v>Verto LINE-3D</v>
      </c>
      <c r="K1431" s="432"/>
      <c r="L1431" s="430" t="str">
        <f>IF($C$1="ENG","ECO Shpon","ЕКО Шпон")</f>
        <v>ЕКО Шпон</v>
      </c>
      <c r="M1431" s="432"/>
      <c r="N1431" s="8"/>
      <c r="O1431" s="8"/>
      <c r="P1431" s="20"/>
      <c r="Q1431" s="20"/>
      <c r="R1431" s="8"/>
      <c r="S1431" s="8"/>
      <c r="T1431" s="119"/>
      <c r="U1431" s="119"/>
      <c r="V1431" s="119"/>
      <c r="W1431" s="119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</row>
    <row r="1432" spans="2:43" ht="24.75" customHeight="1">
      <c r="B1432" s="449"/>
      <c r="C1432" s="127" t="str">
        <f>IF($C$1="ENG","filling:","заповнення:")</f>
        <v>заповнення:</v>
      </c>
      <c r="D1432" s="441" t="str">
        <f>IF($C$1="ENG","softwood","клеєний сосновий брус")</f>
        <v>клеєний сосновий брус</v>
      </c>
      <c r="E1432" s="442"/>
      <c r="F1432" s="441" t="str">
        <f>IF($C$1="ENG","softwood","клеєний сосновий брус")</f>
        <v>клеєний сосновий брус</v>
      </c>
      <c r="G1432" s="442"/>
      <c r="H1432" s="441" t="str">
        <f>IF($C$1="ENG","softwood","клеєний сосновий брус")</f>
        <v>клеєний сосновий брус</v>
      </c>
      <c r="I1432" s="442"/>
      <c r="J1432" s="441" t="str">
        <f>IF($C$1="ENG","softwood","клеєний сосновий брус")</f>
        <v>клеєний сосновий брус</v>
      </c>
      <c r="K1432" s="442"/>
      <c r="L1432" s="441" t="str">
        <f>IF($C$1="ENG","softwood","клеєний сосновий брус")</f>
        <v>клеєний сосновий брус</v>
      </c>
      <c r="M1432" s="442"/>
      <c r="N1432" s="8"/>
      <c r="O1432" s="8"/>
      <c r="P1432" s="20"/>
      <c r="Q1432" s="20"/>
      <c r="R1432" s="8"/>
      <c r="S1432" s="8"/>
      <c r="T1432" s="119"/>
      <c r="U1432" s="119"/>
      <c r="V1432" s="119"/>
      <c r="W1432" s="119"/>
      <c r="X1432" s="8"/>
      <c r="Y1432" s="8"/>
      <c r="Z1432" s="8"/>
      <c r="AA1432" s="8"/>
      <c r="AB1432" s="8"/>
      <c r="AC1432" s="8"/>
      <c r="AD1432" s="405">
        <f>AD1434/AC1434-1</f>
        <v>0.120253164556962</v>
      </c>
      <c r="AE1432" s="405">
        <f>AE1434/AD1434-1</f>
        <v>4.2372881355932313E-2</v>
      </c>
      <c r="AF1432" s="405">
        <f>AF1434/AE1434-1</f>
        <v>7.3170731707317138E-2</v>
      </c>
      <c r="AG1432" s="405">
        <f>AG1434/AF1434-1</f>
        <v>4.7979797979798011E-2</v>
      </c>
      <c r="AH1432" s="8"/>
      <c r="AI1432" s="8"/>
      <c r="AJ1432" s="8"/>
      <c r="AK1432" s="8"/>
      <c r="AL1432" s="8"/>
    </row>
    <row r="1433" spans="2:43" ht="13.5" customHeight="1">
      <c r="B1433" s="450"/>
      <c r="C1433" s="128" t="str">
        <f>IF($C$1="ENG","glazing:","скління:")</f>
        <v>скління:</v>
      </c>
      <c r="D1433" s="424" t="str">
        <f>IF($C$1="ENG","Satin","Сатин")</f>
        <v>Сатин</v>
      </c>
      <c r="E1433" s="434"/>
      <c r="F1433" s="424" t="str">
        <f>IF($C$1="ENG","Satin","Сатин")</f>
        <v>Сатин</v>
      </c>
      <c r="G1433" s="434"/>
      <c r="H1433" s="424" t="str">
        <f>IF($C$1="ENG","Satin","Сатин")</f>
        <v>Сатин</v>
      </c>
      <c r="I1433" s="434"/>
      <c r="J1433" s="424" t="str">
        <f>IF($C$1="ENG","Satin","Сатин")</f>
        <v>Сатин</v>
      </c>
      <c r="K1433" s="434"/>
      <c r="L1433" s="424" t="str">
        <f>IF($C$1="ENG","Satin","Сатин")</f>
        <v>Сатин</v>
      </c>
      <c r="M1433" s="434"/>
      <c r="N1433" s="11"/>
      <c r="O1433" s="11"/>
      <c r="P1433" s="20"/>
      <c r="Q1433" s="20"/>
      <c r="R1433" s="11"/>
      <c r="S1433" s="11"/>
      <c r="T1433" s="11"/>
    </row>
    <row r="1434" spans="2:43" ht="34.5" customHeight="1">
      <c r="B1434" s="13" t="s">
        <v>19</v>
      </c>
      <c r="C1434" s="14"/>
      <c r="D1434" s="15">
        <f>IF(AC1434="","",(1-$W$2)*(AC1434/1.2))</f>
        <v>5266.666666666667</v>
      </c>
      <c r="E1434" s="67">
        <f>IF($W$5=0.2,D1434*1.2,D1434)/$W$4</f>
        <v>6320</v>
      </c>
      <c r="F1434" s="15">
        <f>IF(AD1434="","",(1-$W$2)*(AD1434/1.2))</f>
        <v>5900</v>
      </c>
      <c r="G1434" s="67">
        <f>IF($W$5=0.2,F1434*1.2,F1434)/$W$4</f>
        <v>7080</v>
      </c>
      <c r="H1434" s="15">
        <f>IF(AE1434="","",(1-$W$2)*(AE1434/1.2))</f>
        <v>6150</v>
      </c>
      <c r="I1434" s="67">
        <f>IF($W$5=0.2,H1434*1.2,H1434)/$W$4</f>
        <v>7380</v>
      </c>
      <c r="J1434" s="15">
        <f>IF(AF1434="","",(1-$W$2)*(AF1434/1.2))</f>
        <v>6600</v>
      </c>
      <c r="K1434" s="67">
        <f>IF($W$5=0.2,J1434*1.2,J1434)/$W$4</f>
        <v>7920</v>
      </c>
      <c r="L1434" s="15">
        <f>IF(AG1434="","",(1-$W$2)*(AG1434/1.2))</f>
        <v>6916.666666666667</v>
      </c>
      <c r="M1434" s="67">
        <f>IF($W$5=0.2,L1434*1.2,L1434)/$W$4</f>
        <v>8300</v>
      </c>
      <c r="N1434" s="108"/>
      <c r="O1434" s="20"/>
      <c r="P1434" s="20"/>
      <c r="Q1434" s="20"/>
      <c r="R1434" s="108"/>
      <c r="S1434" s="20"/>
      <c r="T1434" s="108"/>
      <c r="U1434" s="20"/>
      <c r="V1434" s="108"/>
      <c r="W1434" s="20"/>
      <c r="X1434" s="22"/>
      <c r="Y1434" s="22"/>
      <c r="Z1434" s="22"/>
      <c r="AA1434" s="22"/>
      <c r="AB1434" s="22"/>
      <c r="AC1434" s="346">
        <v>6320</v>
      </c>
      <c r="AD1434" s="413">
        <v>7080</v>
      </c>
      <c r="AE1434" s="346">
        <v>7380</v>
      </c>
      <c r="AF1434" s="346">
        <v>7920</v>
      </c>
      <c r="AG1434" s="346">
        <v>8300</v>
      </c>
      <c r="AH1434" s="301">
        <v>6320</v>
      </c>
      <c r="AI1434" s="301">
        <f>AH1434/AC1434-1</f>
        <v>0</v>
      </c>
      <c r="AJ1434" s="301">
        <v>7080</v>
      </c>
      <c r="AK1434" s="301">
        <f>AJ1434/AD1434-1</f>
        <v>0</v>
      </c>
      <c r="AL1434" s="301">
        <v>7380</v>
      </c>
      <c r="AM1434" s="301">
        <f>AL1434/AE1434-1</f>
        <v>0</v>
      </c>
      <c r="AN1434" s="301">
        <v>7920</v>
      </c>
      <c r="AO1434" s="301">
        <f>AN1434/AF1434-1</f>
        <v>0</v>
      </c>
      <c r="AP1434" s="301">
        <v>8300</v>
      </c>
      <c r="AQ1434" s="301">
        <f>AP1434/AG1434-1</f>
        <v>0</v>
      </c>
    </row>
    <row r="1435" spans="2:43" ht="34.5" customHeight="1">
      <c r="B1435" s="16" t="s">
        <v>22</v>
      </c>
      <c r="C1435" s="17"/>
      <c r="D1435" s="18">
        <f>IF(AC1435="","",(1-$W$2)*(AC1435/1.2))</f>
        <v>6200</v>
      </c>
      <c r="E1435" s="69">
        <f>IF($W$5=0.2,D1435*1.2,D1435)/$W$4</f>
        <v>7440</v>
      </c>
      <c r="F1435" s="18">
        <f>IF(AD1435="","",(1-$W$2)*(AD1435/1.2))</f>
        <v>6950</v>
      </c>
      <c r="G1435" s="69">
        <f>IF($W$5=0.2,F1435*1.2,F1435)/$W$4</f>
        <v>8340</v>
      </c>
      <c r="H1435" s="18">
        <f>IF(AE1435="","",(1-$W$2)*(AE1435/1.2))</f>
        <v>7250</v>
      </c>
      <c r="I1435" s="69">
        <f>IF($W$5=0.2,H1435*1.2,H1435)/$W$4</f>
        <v>8700</v>
      </c>
      <c r="J1435" s="18">
        <f>IF(AF1435="","",(1-$W$2)*(AF1435/1.2))</f>
        <v>7708.3333333333339</v>
      </c>
      <c r="K1435" s="69">
        <f>IF($W$5=0.2,J1435*1.2,J1435)/$W$4</f>
        <v>9250</v>
      </c>
      <c r="L1435" s="18">
        <f>IF(AG1435="","",(1-$W$2)*(AG1435/1.2))</f>
        <v>8075</v>
      </c>
      <c r="M1435" s="69">
        <f>IF($W$5=0.2,L1435*1.2,L1435)/$W$4</f>
        <v>9690</v>
      </c>
      <c r="N1435" s="108"/>
      <c r="O1435" s="20"/>
      <c r="P1435" s="20"/>
      <c r="Q1435" s="20"/>
      <c r="R1435" s="108"/>
      <c r="S1435" s="20"/>
      <c r="T1435" s="108"/>
      <c r="U1435" s="20"/>
      <c r="V1435" s="108"/>
      <c r="W1435" s="20"/>
      <c r="X1435" s="22"/>
      <c r="Y1435" s="22"/>
      <c r="Z1435" s="22"/>
      <c r="AA1435" s="22"/>
      <c r="AB1435" s="22"/>
      <c r="AC1435" s="346">
        <v>7440</v>
      </c>
      <c r="AD1435" s="413">
        <v>8340</v>
      </c>
      <c r="AE1435" s="346">
        <v>8700</v>
      </c>
      <c r="AF1435" s="346">
        <v>9250</v>
      </c>
      <c r="AG1435" s="346">
        <v>9690</v>
      </c>
      <c r="AH1435" s="301">
        <v>7440</v>
      </c>
      <c r="AI1435" s="301">
        <f t="shared" ref="AI1435:AI1436" si="122">AH1435/AC1435-1</f>
        <v>0</v>
      </c>
      <c r="AJ1435" s="301">
        <v>8340</v>
      </c>
      <c r="AK1435" s="301">
        <f t="shared" ref="AK1435:AK1436" si="123">AJ1435/AD1435-1</f>
        <v>0</v>
      </c>
      <c r="AL1435" s="301">
        <v>8700</v>
      </c>
      <c r="AM1435" s="301">
        <f t="shared" ref="AM1435:AM1436" si="124">AL1435/AE1435-1</f>
        <v>0</v>
      </c>
      <c r="AN1435" s="301">
        <v>9250</v>
      </c>
      <c r="AO1435" s="301">
        <f t="shared" ref="AO1435:AO1436" si="125">AN1435/AF1435-1</f>
        <v>0</v>
      </c>
      <c r="AP1435" s="301">
        <v>9690</v>
      </c>
      <c r="AQ1435" s="301">
        <f t="shared" ref="AQ1435:AQ1436" si="126">AP1435/AG1435-1</f>
        <v>0</v>
      </c>
    </row>
    <row r="1436" spans="2:43" ht="34.5" customHeight="1">
      <c r="B1436" s="23" t="s">
        <v>38</v>
      </c>
      <c r="C1436" s="24"/>
      <c r="D1436" s="25">
        <f>IF(AC1436="","",(1-$W$2)*(AC1436/1.2))</f>
        <v>6200</v>
      </c>
      <c r="E1436" s="72">
        <f>IF($W$5=0.2,D1436*1.2,D1436)/$W$4</f>
        <v>7440</v>
      </c>
      <c r="F1436" s="25">
        <f>IF(AD1436="","",(1-$W$2)*(AD1436/1.2))</f>
        <v>6950</v>
      </c>
      <c r="G1436" s="72">
        <f>IF($W$5=0.2,F1436*1.2,F1436)/$W$4</f>
        <v>8340</v>
      </c>
      <c r="H1436" s="25">
        <f>IF(AE1436="","",(1-$W$2)*(AE1436/1.2))</f>
        <v>7250</v>
      </c>
      <c r="I1436" s="72">
        <f>IF($W$5=0.2,H1436*1.2,H1436)/$W$4</f>
        <v>8700</v>
      </c>
      <c r="J1436" s="25">
        <f>IF(AF1436="","",(1-$W$2)*(AF1436/1.2))</f>
        <v>7708.3333333333339</v>
      </c>
      <c r="K1436" s="72">
        <f>IF($W$5=0.2,J1436*1.2,J1436)/$W$4</f>
        <v>9250</v>
      </c>
      <c r="L1436" s="25">
        <f>IF(AG1436="","",(1-$W$2)*(AG1436/1.2))</f>
        <v>8075</v>
      </c>
      <c r="M1436" s="72">
        <f>IF($W$5=0.2,L1436*1.2,L1436)/$W$4</f>
        <v>9690</v>
      </c>
      <c r="P1436" s="20"/>
      <c r="Q1436" s="20"/>
      <c r="AC1436" s="346">
        <v>7440</v>
      </c>
      <c r="AD1436" s="413">
        <v>8340</v>
      </c>
      <c r="AE1436" s="346">
        <v>8700</v>
      </c>
      <c r="AF1436" s="346">
        <v>9250</v>
      </c>
      <c r="AG1436" s="346">
        <v>9690</v>
      </c>
      <c r="AH1436" s="301">
        <v>7440</v>
      </c>
      <c r="AI1436" s="301">
        <f t="shared" si="122"/>
        <v>0</v>
      </c>
      <c r="AJ1436" s="301">
        <v>8340</v>
      </c>
      <c r="AK1436" s="301">
        <f t="shared" si="123"/>
        <v>0</v>
      </c>
      <c r="AL1436" s="301">
        <v>8700</v>
      </c>
      <c r="AM1436" s="301">
        <f t="shared" si="124"/>
        <v>0</v>
      </c>
      <c r="AN1436" s="301">
        <v>9250</v>
      </c>
      <c r="AO1436" s="301">
        <f t="shared" si="125"/>
        <v>0</v>
      </c>
      <c r="AP1436" s="301">
        <v>9690</v>
      </c>
      <c r="AQ1436" s="301">
        <f t="shared" si="126"/>
        <v>0</v>
      </c>
    </row>
    <row r="1437" spans="2:43" ht="12.75" customHeight="1">
      <c r="C1437" s="26"/>
      <c r="D1437" s="26"/>
      <c r="E1437" s="60"/>
      <c r="F1437" s="26"/>
      <c r="G1437" s="60"/>
      <c r="H1437" s="5"/>
    </row>
    <row r="1438" spans="2:43" ht="12.75" customHeight="1">
      <c r="B1438" s="220" t="str">
        <f>IF($C$1="ENG","For additonal charge:","Послуги за додаткову плату:")</f>
        <v>Послуги за додаткову плату:</v>
      </c>
      <c r="C1438" s="221"/>
      <c r="D1438" s="221"/>
      <c r="E1438" s="222"/>
      <c r="F1438" s="26"/>
      <c r="G1438" s="60"/>
      <c r="H1438" s="10"/>
      <c r="I1438" s="8"/>
      <c r="J1438" s="8"/>
      <c r="K1438" s="8"/>
    </row>
    <row r="1439" spans="2:43" ht="4.5" customHeight="1">
      <c r="B1439" s="27"/>
      <c r="C1439" s="26"/>
      <c r="D1439" s="26"/>
      <c r="E1439" s="60"/>
      <c r="F1439" s="26"/>
      <c r="G1439" s="26"/>
      <c r="H1439" s="10"/>
      <c r="I1439" s="8"/>
      <c r="J1439" s="8"/>
      <c r="K1439" s="8"/>
    </row>
    <row r="1440" spans="2:43" ht="12.75" customHeight="1">
      <c r="B1440" s="446" t="str">
        <f>IF($C$1="ENG","door leaf with width 100","полотно розміром 100")</f>
        <v>полотно розміром 100</v>
      </c>
      <c r="C1440" s="447"/>
      <c r="D1440" s="136">
        <f t="shared" ref="D1440:D1450" si="127">IF(AC1440="","",(1-$W$2)*(AC1440/1.2))</f>
        <v>600</v>
      </c>
      <c r="E1440" s="96">
        <f t="shared" ref="E1440:E1449" si="128">IF($W$5=0.2,D1440*1.2,D1440)/$W$4</f>
        <v>720</v>
      </c>
      <c r="F1440" s="26"/>
      <c r="G1440" s="26"/>
      <c r="H1440" s="10"/>
      <c r="I1440" s="8"/>
      <c r="J1440" s="8"/>
      <c r="K1440" s="8"/>
      <c r="AC1440" s="301">
        <v>720</v>
      </c>
      <c r="AD1440" s="301">
        <v>720</v>
      </c>
      <c r="AE1440" s="301"/>
      <c r="AF1440" s="301"/>
      <c r="AG1440" s="301"/>
      <c r="AH1440" s="301"/>
      <c r="AI1440" s="301"/>
      <c r="AJ1440" s="301"/>
      <c r="AK1440" s="301"/>
      <c r="AL1440" s="301"/>
    </row>
    <row r="1441" spans="2:38" ht="12.75" customHeight="1">
      <c r="B1441" s="439" t="str">
        <f>IF($C$1="ENG","Ventilation sleeves (1 row)","вентиляційні віддушини (1ряд)")</f>
        <v>вентиляційні віддушини (1ряд)</v>
      </c>
      <c r="C1441" s="440"/>
      <c r="D1441" s="137">
        <f t="shared" si="127"/>
        <v>208.33333333333334</v>
      </c>
      <c r="E1441" s="97">
        <f t="shared" si="128"/>
        <v>250</v>
      </c>
      <c r="F1441" s="26"/>
      <c r="G1441" s="26"/>
      <c r="I1441" s="11"/>
      <c r="J1441" s="11"/>
      <c r="K1441" s="11"/>
      <c r="AC1441" s="301">
        <v>250</v>
      </c>
      <c r="AD1441" s="301">
        <v>250</v>
      </c>
      <c r="AE1441" s="301"/>
      <c r="AF1441" s="301"/>
      <c r="AG1441" s="301"/>
      <c r="AH1441" s="301"/>
      <c r="AI1441" s="301"/>
      <c r="AJ1441" s="301"/>
      <c r="AK1441" s="301"/>
      <c r="AL1441" s="301"/>
    </row>
    <row r="1442" spans="2:38" ht="12.75" customHeight="1">
      <c r="B1442" s="446" t="str">
        <f>IF($C$1="ENG","Ventilation cut","вентиляційний підріз")</f>
        <v>вентиляційний підріз</v>
      </c>
      <c r="C1442" s="447"/>
      <c r="D1442" s="137">
        <f t="shared" si="127"/>
        <v>141.66666666666669</v>
      </c>
      <c r="E1442" s="69">
        <f t="shared" si="128"/>
        <v>170.00000000000003</v>
      </c>
      <c r="F1442" s="26"/>
      <c r="G1442" s="26"/>
      <c r="I1442" s="62"/>
      <c r="J1442" s="28"/>
      <c r="AC1442" s="301">
        <v>170</v>
      </c>
      <c r="AD1442" s="301">
        <v>170</v>
      </c>
      <c r="AE1442" s="301"/>
      <c r="AF1442" s="301"/>
      <c r="AG1442" s="301"/>
      <c r="AH1442" s="301"/>
      <c r="AI1442" s="301"/>
      <c r="AJ1442" s="301"/>
      <c r="AK1442" s="301"/>
      <c r="AL1442" s="301"/>
    </row>
    <row r="1443" spans="2:38" ht="12.75" customHeight="1">
      <c r="B1443" s="439" t="str">
        <f>IF($C$1="ENG","glazing Graphite / Bronze","скло Графіт / Бронза")</f>
        <v>скло Графіт / Бронза</v>
      </c>
      <c r="C1443" s="440"/>
      <c r="D1443" s="106">
        <f t="shared" si="127"/>
        <v>458.33333333333337</v>
      </c>
      <c r="E1443" s="97">
        <f t="shared" si="128"/>
        <v>550</v>
      </c>
      <c r="F1443" s="26"/>
      <c r="G1443" s="26"/>
      <c r="H1443" s="5"/>
      <c r="AC1443" s="301">
        <v>550</v>
      </c>
      <c r="AD1443" s="301">
        <v>550</v>
      </c>
      <c r="AE1443" s="301"/>
      <c r="AF1443" s="301"/>
      <c r="AG1443" s="301"/>
      <c r="AH1443" s="301"/>
      <c r="AI1443" s="301"/>
      <c r="AJ1443" s="301"/>
      <c r="AK1443" s="301"/>
      <c r="AL1443" s="301"/>
    </row>
    <row r="1444" spans="2:38" ht="12.75" customHeight="1">
      <c r="B1444" s="439" t="str">
        <f>IF($C$1="ENG","door lock Soft","замок Soft")</f>
        <v>замок Soft</v>
      </c>
      <c r="C1444" s="440"/>
      <c r="D1444" s="106">
        <f t="shared" si="127"/>
        <v>458.33333333333337</v>
      </c>
      <c r="E1444" s="97">
        <f t="shared" si="128"/>
        <v>550</v>
      </c>
      <c r="F1444" s="26"/>
      <c r="G1444" s="26"/>
      <c r="H1444" s="5"/>
      <c r="AC1444" s="301">
        <v>550</v>
      </c>
      <c r="AD1444" s="301">
        <v>550</v>
      </c>
      <c r="AE1444" s="301"/>
      <c r="AF1444" s="301"/>
      <c r="AG1444" s="301"/>
      <c r="AH1444" s="301"/>
      <c r="AI1444" s="301"/>
      <c r="AJ1444" s="301"/>
      <c r="AK1444" s="301"/>
      <c r="AL1444" s="301"/>
    </row>
    <row r="1445" spans="2:38" ht="12.75" customHeight="1">
      <c r="B1445" s="439" t="str">
        <f>IF($C$1="ENG","door lock Magnet","замок Magnet")</f>
        <v>замок Magnet</v>
      </c>
      <c r="C1445" s="440"/>
      <c r="D1445" s="106">
        <f t="shared" si="127"/>
        <v>666.66666666666674</v>
      </c>
      <c r="E1445" s="97">
        <f t="shared" si="128"/>
        <v>800.00000000000011</v>
      </c>
      <c r="F1445" s="26"/>
      <c r="G1445" s="26"/>
      <c r="H1445" s="5"/>
      <c r="AC1445" s="301">
        <v>800</v>
      </c>
      <c r="AD1445" s="301">
        <v>800</v>
      </c>
      <c r="AE1445" s="301"/>
      <c r="AF1445" s="301"/>
      <c r="AG1445" s="301"/>
      <c r="AH1445" s="301"/>
      <c r="AI1445" s="301"/>
      <c r="AJ1445" s="301"/>
      <c r="AK1445" s="301"/>
      <c r="AL1445" s="301"/>
    </row>
    <row r="1446" spans="2:38" ht="12.75" customHeight="1">
      <c r="B1446" s="439" t="str">
        <f>IF($C$1="ENG","door handle-lock (for sliding doors)","ручка-замок (для дверей купе)")</f>
        <v>ручка-замок (для дверей купе)</v>
      </c>
      <c r="C1446" s="440"/>
      <c r="D1446" s="137">
        <f t="shared" si="127"/>
        <v>466.66666666666669</v>
      </c>
      <c r="E1446" s="97">
        <f t="shared" si="128"/>
        <v>560</v>
      </c>
      <c r="F1446" s="26"/>
      <c r="G1446" s="26"/>
      <c r="I1446" s="11"/>
      <c r="J1446" s="11"/>
      <c r="K1446" s="19"/>
      <c r="AC1446" s="301">
        <v>560</v>
      </c>
      <c r="AD1446" s="301">
        <v>560</v>
      </c>
      <c r="AE1446" s="301"/>
      <c r="AF1446" s="301"/>
      <c r="AG1446" s="301"/>
      <c r="AH1446" s="301"/>
      <c r="AI1446" s="301"/>
      <c r="AJ1446" s="301"/>
      <c r="AK1446" s="301"/>
      <c r="AL1446" s="301"/>
    </row>
    <row r="1447" spans="2:38" ht="12.75" customHeight="1">
      <c r="B1447" s="439" t="str">
        <f>IF($C$1="ENG","cylinder incert","циліндр несиметричний")</f>
        <v>циліндр несиметричний</v>
      </c>
      <c r="C1447" s="440"/>
      <c r="D1447" s="137">
        <f t="shared" si="127"/>
        <v>316.66666666666669</v>
      </c>
      <c r="E1447" s="97">
        <f t="shared" si="128"/>
        <v>380</v>
      </c>
      <c r="F1447" s="26"/>
      <c r="G1447" s="26"/>
      <c r="I1447" s="20"/>
      <c r="AC1447" s="301">
        <v>380</v>
      </c>
      <c r="AD1447" s="301">
        <v>380</v>
      </c>
      <c r="AE1447" s="301"/>
      <c r="AF1447" s="301"/>
      <c r="AG1447" s="301"/>
      <c r="AH1447" s="301"/>
      <c r="AI1447" s="301"/>
      <c r="AJ1447" s="301"/>
      <c r="AK1447" s="301"/>
      <c r="AL1447" s="301"/>
    </row>
    <row r="1448" spans="2:38" ht="12.75" customHeight="1">
      <c r="B1448" s="439" t="str">
        <f>IF($C$1="ENG","door hindge Prestige (1 unit)","завіса Prestige (1 шт)")</f>
        <v>завіса Prestige (1 шт)</v>
      </c>
      <c r="C1448" s="440"/>
      <c r="D1448" s="139">
        <f t="shared" si="127"/>
        <v>216.66666666666669</v>
      </c>
      <c r="E1448" s="97">
        <f t="shared" si="128"/>
        <v>260</v>
      </c>
      <c r="F1448" s="26"/>
      <c r="G1448" s="26"/>
      <c r="AC1448" s="301">
        <v>260</v>
      </c>
      <c r="AD1448" s="301">
        <v>260</v>
      </c>
      <c r="AE1448" s="301"/>
      <c r="AF1448" s="301"/>
      <c r="AG1448" s="301"/>
      <c r="AH1448" s="301"/>
      <c r="AI1448" s="301"/>
      <c r="AJ1448" s="301"/>
      <c r="AK1448" s="301"/>
      <c r="AL1448" s="301"/>
    </row>
    <row r="1449" spans="2:38" ht="12.75" customHeight="1">
      <c r="B1449" s="439" t="str">
        <f>IF($C$1="ENG","door hinge caps (1 set)","накладка на завіси (1 к-т)")</f>
        <v>накладка на завіси (1 к-т)</v>
      </c>
      <c r="C1449" s="440"/>
      <c r="D1449" s="139">
        <f t="shared" si="127"/>
        <v>66.666666666666671</v>
      </c>
      <c r="E1449" s="97">
        <f t="shared" si="128"/>
        <v>80</v>
      </c>
      <c r="F1449" s="26"/>
      <c r="G1449" s="26"/>
      <c r="AC1449" s="301">
        <v>80</v>
      </c>
      <c r="AD1449" s="301">
        <v>80</v>
      </c>
      <c r="AE1449" s="301"/>
      <c r="AF1449" s="301"/>
      <c r="AG1449" s="301"/>
      <c r="AH1449" s="301"/>
      <c r="AI1449" s="301"/>
      <c r="AJ1449" s="301"/>
      <c r="AK1449" s="301"/>
      <c r="AL1449" s="301"/>
    </row>
    <row r="1450" spans="2:38" ht="14.25" customHeight="1">
      <c r="B1450" s="439" t="str">
        <f>IF($C$1="ENG","door handle","дверна ручка")</f>
        <v>дверна ручка</v>
      </c>
      <c r="C1450" s="440"/>
      <c r="D1450" s="138" t="str">
        <f t="shared" si="127"/>
        <v/>
      </c>
      <c r="E1450" s="256" t="str">
        <f>IF($C$1="ENG","see Handles Price","див. Таблицю Ручки")</f>
        <v>див. Таблицю Ручки</v>
      </c>
      <c r="F1450" s="26"/>
      <c r="G1450" s="26"/>
      <c r="AC1450" s="310"/>
      <c r="AD1450" s="301"/>
      <c r="AE1450" s="301"/>
      <c r="AF1450" s="301"/>
      <c r="AG1450" s="301"/>
      <c r="AH1450" s="301"/>
      <c r="AI1450" s="301"/>
      <c r="AJ1450" s="301"/>
      <c r="AK1450" s="301"/>
      <c r="AL1450" s="301"/>
    </row>
    <row r="1451" spans="2:38" ht="14.25" customHeight="1">
      <c r="C1451" s="26"/>
      <c r="D1451" s="26"/>
      <c r="E1451" s="26"/>
      <c r="F1451" s="26"/>
      <c r="G1451" s="26"/>
      <c r="H1451" s="5"/>
      <c r="T1451" s="119"/>
      <c r="U1451" s="460" t="str">
        <f>IF($C$1="ENG",CONCATENATE("down to: ",B1501),CONCATENATE("вниз до: ",B1501))</f>
        <v>вниз до: Полотна збірні: ПОЛО</v>
      </c>
      <c r="V1451" s="460"/>
      <c r="W1451" s="460"/>
      <c r="X1451" s="316"/>
      <c r="Y1451" s="316"/>
      <c r="Z1451" s="316"/>
      <c r="AA1451" s="316"/>
      <c r="AB1451" s="316"/>
    </row>
    <row r="1452" spans="2:38" ht="14.25" customHeight="1">
      <c r="C1452" s="26"/>
      <c r="D1452" s="26"/>
      <c r="E1452" s="26"/>
      <c r="F1452" s="26"/>
      <c r="G1452" s="26"/>
      <c r="H1452" s="5"/>
      <c r="T1452" s="119"/>
      <c r="U1452" s="119"/>
      <c r="V1452" s="119"/>
      <c r="W1452" s="119"/>
      <c r="X1452" s="316"/>
      <c r="Y1452" s="316"/>
      <c r="Z1452" s="316"/>
      <c r="AA1452" s="316"/>
      <c r="AB1452" s="316"/>
    </row>
    <row r="1453" spans="2:38" ht="14.25" customHeight="1">
      <c r="C1453" s="26"/>
      <c r="D1453" s="26"/>
      <c r="E1453" s="26"/>
      <c r="F1453" s="26"/>
      <c r="G1453" s="26"/>
      <c r="H1453" s="5"/>
      <c r="T1453" s="119"/>
      <c r="U1453" s="119"/>
      <c r="V1453" s="119"/>
      <c r="W1453" s="119"/>
      <c r="X1453" s="316"/>
      <c r="Y1453" s="316"/>
      <c r="Z1453" s="316"/>
      <c r="AA1453" s="316"/>
      <c r="AB1453" s="316"/>
    </row>
    <row r="1454" spans="2:38" ht="14.25" customHeight="1">
      <c r="C1454" s="26"/>
      <c r="D1454" s="26"/>
      <c r="E1454" s="26"/>
      <c r="F1454" s="26"/>
      <c r="G1454" s="26"/>
      <c r="H1454" s="5"/>
      <c r="T1454" s="119"/>
      <c r="U1454" s="119"/>
      <c r="V1454" s="119"/>
      <c r="W1454" s="119"/>
      <c r="X1454" s="316"/>
      <c r="Y1454" s="316"/>
      <c r="Z1454" s="316"/>
      <c r="AA1454" s="316"/>
      <c r="AB1454" s="316"/>
    </row>
    <row r="1455" spans="2:38" ht="14.25" customHeight="1">
      <c r="C1455" s="26"/>
      <c r="D1455" s="26"/>
      <c r="E1455" s="26"/>
      <c r="F1455" s="26"/>
      <c r="G1455" s="26"/>
      <c r="H1455" s="5"/>
      <c r="T1455" s="119"/>
      <c r="U1455" s="119"/>
      <c r="V1455" s="119"/>
      <c r="W1455" s="119"/>
      <c r="X1455" s="316"/>
      <c r="Y1455" s="316"/>
      <c r="Z1455" s="316"/>
      <c r="AA1455" s="316"/>
      <c r="AB1455" s="316"/>
    </row>
    <row r="1456" spans="2:38" ht="14.25" customHeight="1">
      <c r="C1456" s="26"/>
      <c r="D1456" s="26"/>
      <c r="E1456" s="26"/>
      <c r="F1456" s="26"/>
      <c r="G1456" s="26"/>
      <c r="H1456" s="5"/>
      <c r="T1456" s="119"/>
      <c r="U1456" s="119"/>
      <c r="V1456" s="119"/>
      <c r="W1456" s="119"/>
      <c r="X1456" s="316"/>
      <c r="Y1456" s="316"/>
      <c r="Z1456" s="316"/>
      <c r="AA1456" s="316"/>
      <c r="AB1456" s="316"/>
    </row>
    <row r="1457" spans="3:28" ht="14.25" customHeight="1">
      <c r="C1457" s="26"/>
      <c r="D1457" s="26"/>
      <c r="E1457" s="26"/>
      <c r="F1457" s="26"/>
      <c r="G1457" s="26"/>
      <c r="H1457" s="5"/>
      <c r="T1457" s="119"/>
      <c r="U1457" s="119"/>
      <c r="V1457" s="119"/>
      <c r="W1457" s="119"/>
      <c r="X1457" s="316"/>
      <c r="Y1457" s="316"/>
      <c r="Z1457" s="316"/>
      <c r="AA1457" s="316"/>
      <c r="AB1457" s="316"/>
    </row>
    <row r="1458" spans="3:28" ht="14.25" customHeight="1">
      <c r="C1458" s="26"/>
      <c r="D1458" s="26"/>
      <c r="E1458" s="26"/>
      <c r="F1458" s="26"/>
      <c r="G1458" s="26"/>
      <c r="H1458" s="5"/>
      <c r="T1458" s="119"/>
      <c r="U1458" s="119"/>
      <c r="V1458" s="119"/>
      <c r="W1458" s="119"/>
      <c r="X1458" s="316"/>
      <c r="Y1458" s="316"/>
      <c r="Z1458" s="316"/>
      <c r="AA1458" s="316"/>
      <c r="AB1458" s="316"/>
    </row>
    <row r="1459" spans="3:28" ht="14.25" customHeight="1">
      <c r="C1459" s="26"/>
      <c r="D1459" s="26"/>
      <c r="E1459" s="26"/>
      <c r="F1459" s="26"/>
      <c r="G1459" s="26"/>
      <c r="H1459" s="5"/>
      <c r="T1459" s="119"/>
      <c r="U1459" s="119"/>
      <c r="V1459" s="119"/>
      <c r="W1459" s="119"/>
      <c r="X1459" s="316"/>
      <c r="Y1459" s="316"/>
      <c r="Z1459" s="316"/>
      <c r="AA1459" s="316"/>
      <c r="AB1459" s="316"/>
    </row>
    <row r="1460" spans="3:28" ht="14.25" customHeight="1">
      <c r="C1460" s="26"/>
      <c r="D1460" s="26"/>
      <c r="E1460" s="26"/>
      <c r="F1460" s="26"/>
      <c r="G1460" s="26"/>
      <c r="H1460" s="5"/>
      <c r="T1460" s="119"/>
      <c r="U1460" s="119"/>
      <c r="V1460" s="119"/>
      <c r="W1460" s="119"/>
      <c r="X1460" s="316"/>
      <c r="Y1460" s="316"/>
      <c r="Z1460" s="316"/>
      <c r="AA1460" s="316"/>
      <c r="AB1460" s="316"/>
    </row>
    <row r="1461" spans="3:28" ht="14.25" customHeight="1">
      <c r="C1461" s="26"/>
      <c r="D1461" s="26"/>
      <c r="E1461" s="26"/>
      <c r="F1461" s="26"/>
      <c r="G1461" s="26"/>
      <c r="H1461" s="5"/>
      <c r="T1461" s="119"/>
      <c r="U1461" s="119"/>
      <c r="V1461" s="119"/>
      <c r="W1461" s="119"/>
      <c r="X1461" s="316"/>
      <c r="Y1461" s="316"/>
      <c r="Z1461" s="316"/>
      <c r="AA1461" s="316"/>
      <c r="AB1461" s="316"/>
    </row>
    <row r="1462" spans="3:28" ht="14.25" customHeight="1">
      <c r="C1462" s="26"/>
      <c r="D1462" s="26"/>
      <c r="E1462" s="26"/>
      <c r="F1462" s="26"/>
      <c r="G1462" s="26"/>
      <c r="H1462" s="5"/>
      <c r="T1462" s="119"/>
      <c r="U1462" s="119"/>
      <c r="V1462" s="119"/>
      <c r="W1462" s="119"/>
      <c r="X1462" s="316"/>
      <c r="Y1462" s="316"/>
      <c r="Z1462" s="316"/>
      <c r="AA1462" s="316"/>
      <c r="AB1462" s="316"/>
    </row>
    <row r="1463" spans="3:28" ht="14.25" customHeight="1">
      <c r="C1463" s="26"/>
      <c r="D1463" s="26"/>
      <c r="E1463" s="26"/>
      <c r="F1463" s="26"/>
      <c r="G1463" s="26"/>
      <c r="H1463" s="5"/>
      <c r="T1463" s="119"/>
      <c r="U1463" s="119"/>
      <c r="V1463" s="119"/>
      <c r="W1463" s="119"/>
      <c r="X1463" s="316"/>
      <c r="Y1463" s="316"/>
      <c r="Z1463" s="316"/>
      <c r="AA1463" s="316"/>
      <c r="AB1463" s="316"/>
    </row>
    <row r="1464" spans="3:28" ht="14.25" customHeight="1">
      <c r="C1464" s="26"/>
      <c r="D1464" s="26"/>
      <c r="E1464" s="26"/>
      <c r="F1464" s="26"/>
      <c r="G1464" s="26"/>
      <c r="H1464" s="5"/>
      <c r="T1464" s="119"/>
      <c r="U1464" s="119"/>
      <c r="V1464" s="119"/>
      <c r="W1464" s="119"/>
      <c r="X1464" s="316"/>
      <c r="Y1464" s="316"/>
      <c r="Z1464" s="316"/>
      <c r="AA1464" s="316"/>
      <c r="AB1464" s="316"/>
    </row>
    <row r="1465" spans="3:28" ht="14.25" customHeight="1">
      <c r="C1465" s="26"/>
      <c r="D1465" s="26"/>
      <c r="E1465" s="26"/>
      <c r="F1465" s="26"/>
      <c r="G1465" s="26"/>
      <c r="H1465" s="5"/>
      <c r="T1465" s="119"/>
      <c r="U1465" s="119"/>
      <c r="V1465" s="119"/>
      <c r="W1465" s="119"/>
      <c r="X1465" s="316"/>
      <c r="Y1465" s="316"/>
      <c r="Z1465" s="316"/>
      <c r="AA1465" s="316"/>
      <c r="AB1465" s="316"/>
    </row>
    <row r="1466" spans="3:28" ht="14.25" customHeight="1">
      <c r="C1466" s="26"/>
      <c r="D1466" s="26"/>
      <c r="E1466" s="26"/>
      <c r="F1466" s="26"/>
      <c r="G1466" s="26"/>
      <c r="H1466" s="5"/>
      <c r="T1466" s="119"/>
      <c r="U1466" s="119"/>
      <c r="V1466" s="119"/>
      <c r="W1466" s="119"/>
      <c r="X1466" s="316"/>
      <c r="Y1466" s="316"/>
      <c r="Z1466" s="316"/>
      <c r="AA1466" s="316"/>
      <c r="AB1466" s="316"/>
    </row>
    <row r="1467" spans="3:28" ht="14.25" customHeight="1">
      <c r="C1467" s="26"/>
      <c r="D1467" s="26"/>
      <c r="E1467" s="26"/>
      <c r="F1467" s="26"/>
      <c r="G1467" s="26"/>
      <c r="H1467" s="5"/>
      <c r="T1467" s="119"/>
      <c r="U1467" s="119"/>
      <c r="V1467" s="119"/>
      <c r="W1467" s="119"/>
      <c r="X1467" s="316"/>
      <c r="Y1467" s="316"/>
      <c r="Z1467" s="316"/>
      <c r="AA1467" s="316"/>
      <c r="AB1467" s="316"/>
    </row>
    <row r="1468" spans="3:28" ht="14.25" customHeight="1">
      <c r="C1468" s="26"/>
      <c r="D1468" s="26"/>
      <c r="E1468" s="26"/>
      <c r="F1468" s="26"/>
      <c r="G1468" s="26"/>
      <c r="H1468" s="5"/>
      <c r="T1468" s="119"/>
      <c r="U1468" s="119"/>
      <c r="V1468" s="119"/>
      <c r="W1468" s="119"/>
      <c r="X1468" s="316"/>
      <c r="Y1468" s="316"/>
      <c r="Z1468" s="316"/>
      <c r="AA1468" s="316"/>
      <c r="AB1468" s="316"/>
    </row>
    <row r="1469" spans="3:28" ht="14.25" customHeight="1">
      <c r="C1469" s="26"/>
      <c r="D1469" s="26"/>
      <c r="E1469" s="26"/>
      <c r="F1469" s="26"/>
      <c r="G1469" s="26"/>
      <c r="H1469" s="5"/>
      <c r="T1469" s="119"/>
      <c r="U1469" s="119"/>
      <c r="V1469" s="119"/>
      <c r="W1469" s="119"/>
      <c r="X1469" s="316"/>
      <c r="Y1469" s="316"/>
      <c r="Z1469" s="316"/>
      <c r="AA1469" s="316"/>
      <c r="AB1469" s="316"/>
    </row>
    <row r="1470" spans="3:28" ht="14.25" customHeight="1">
      <c r="C1470" s="26"/>
      <c r="D1470" s="26"/>
      <c r="E1470" s="26"/>
      <c r="F1470" s="26"/>
      <c r="G1470" s="26"/>
      <c r="H1470" s="5"/>
      <c r="T1470" s="119"/>
      <c r="U1470" s="119"/>
      <c r="V1470" s="119"/>
      <c r="W1470" s="119"/>
      <c r="X1470" s="316"/>
      <c r="Y1470" s="316"/>
      <c r="Z1470" s="316"/>
      <c r="AA1470" s="316"/>
      <c r="AB1470" s="316"/>
    </row>
    <row r="1471" spans="3:28" ht="14.25" customHeight="1">
      <c r="C1471" s="26"/>
      <c r="D1471" s="26"/>
      <c r="E1471" s="26"/>
      <c r="F1471" s="26"/>
      <c r="G1471" s="26"/>
      <c r="H1471" s="5"/>
      <c r="T1471" s="119"/>
      <c r="U1471" s="119"/>
      <c r="V1471" s="119"/>
      <c r="W1471" s="119"/>
      <c r="X1471" s="316"/>
      <c r="Y1471" s="316"/>
      <c r="Z1471" s="316"/>
      <c r="AA1471" s="316"/>
      <c r="AB1471" s="316"/>
    </row>
    <row r="1472" spans="3:28" ht="14.25" customHeight="1">
      <c r="C1472" s="26"/>
      <c r="D1472" s="26"/>
      <c r="E1472" s="26"/>
      <c r="F1472" s="26"/>
      <c r="G1472" s="26"/>
      <c r="H1472" s="5"/>
      <c r="T1472" s="119"/>
      <c r="U1472" s="119"/>
      <c r="V1472" s="119"/>
      <c r="W1472" s="119"/>
      <c r="X1472" s="316"/>
      <c r="Y1472" s="316"/>
      <c r="Z1472" s="316"/>
      <c r="AA1472" s="316"/>
      <c r="AB1472" s="316"/>
    </row>
    <row r="1473" spans="3:28" ht="14.25" customHeight="1">
      <c r="C1473" s="26"/>
      <c r="D1473" s="26"/>
      <c r="E1473" s="26"/>
      <c r="F1473" s="26"/>
      <c r="G1473" s="26"/>
      <c r="H1473" s="5"/>
      <c r="T1473" s="119"/>
      <c r="U1473" s="119"/>
      <c r="V1473" s="119"/>
      <c r="W1473" s="119"/>
      <c r="X1473" s="316"/>
      <c r="Y1473" s="316"/>
      <c r="Z1473" s="316"/>
      <c r="AA1473" s="316"/>
      <c r="AB1473" s="316"/>
    </row>
    <row r="1474" spans="3:28" ht="14.25" customHeight="1">
      <c r="C1474" s="26"/>
      <c r="D1474" s="26"/>
      <c r="E1474" s="26"/>
      <c r="F1474" s="26"/>
      <c r="G1474" s="26"/>
      <c r="H1474" s="5"/>
      <c r="T1474" s="119"/>
      <c r="U1474" s="119"/>
      <c r="V1474" s="119"/>
      <c r="W1474" s="119"/>
      <c r="X1474" s="316"/>
      <c r="Y1474" s="316"/>
      <c r="Z1474" s="316"/>
      <c r="AA1474" s="316"/>
      <c r="AB1474" s="316"/>
    </row>
    <row r="1475" spans="3:28" ht="14.25" customHeight="1">
      <c r="C1475" s="26"/>
      <c r="D1475" s="26"/>
      <c r="E1475" s="26"/>
      <c r="F1475" s="26"/>
      <c r="G1475" s="26"/>
      <c r="H1475" s="5"/>
      <c r="T1475" s="119"/>
      <c r="U1475" s="119"/>
      <c r="V1475" s="119"/>
      <c r="W1475" s="119"/>
      <c r="X1475" s="316"/>
      <c r="Y1475" s="316"/>
      <c r="Z1475" s="316"/>
      <c r="AA1475" s="316"/>
      <c r="AB1475" s="316"/>
    </row>
    <row r="1476" spans="3:28" ht="14.25" customHeight="1">
      <c r="C1476" s="26"/>
      <c r="D1476" s="26"/>
      <c r="E1476" s="26"/>
      <c r="F1476" s="26"/>
      <c r="G1476" s="26"/>
      <c r="H1476" s="5"/>
      <c r="T1476" s="119"/>
      <c r="U1476" s="119"/>
      <c r="V1476" s="119"/>
      <c r="W1476" s="119"/>
      <c r="X1476" s="316"/>
      <c r="Y1476" s="316"/>
      <c r="Z1476" s="316"/>
      <c r="AA1476" s="316"/>
      <c r="AB1476" s="316"/>
    </row>
    <row r="1477" spans="3:28" ht="14.25" customHeight="1">
      <c r="C1477" s="26"/>
      <c r="D1477" s="26"/>
      <c r="E1477" s="26"/>
      <c r="F1477" s="26"/>
      <c r="G1477" s="26"/>
      <c r="H1477" s="5"/>
      <c r="T1477" s="119"/>
      <c r="U1477" s="119"/>
      <c r="V1477" s="119"/>
      <c r="W1477" s="119"/>
      <c r="X1477" s="316"/>
      <c r="Y1477" s="316"/>
      <c r="Z1477" s="316"/>
      <c r="AA1477" s="316"/>
      <c r="AB1477" s="316"/>
    </row>
    <row r="1478" spans="3:28" ht="14.25" customHeight="1">
      <c r="C1478" s="26"/>
      <c r="D1478" s="26"/>
      <c r="E1478" s="26"/>
      <c r="F1478" s="26"/>
      <c r="G1478" s="26"/>
      <c r="H1478" s="5"/>
      <c r="T1478" s="119"/>
      <c r="U1478" s="119"/>
      <c r="V1478" s="119"/>
      <c r="W1478" s="119"/>
      <c r="X1478" s="316"/>
      <c r="Y1478" s="316"/>
      <c r="Z1478" s="316"/>
      <c r="AA1478" s="316"/>
      <c r="AB1478" s="316"/>
    </row>
    <row r="1479" spans="3:28" ht="14.25" customHeight="1">
      <c r="C1479" s="26"/>
      <c r="D1479" s="26"/>
      <c r="E1479" s="26"/>
      <c r="F1479" s="26"/>
      <c r="G1479" s="26"/>
      <c r="H1479" s="5"/>
      <c r="T1479" s="119"/>
      <c r="U1479" s="119"/>
      <c r="V1479" s="119"/>
      <c r="W1479" s="119"/>
      <c r="X1479" s="316"/>
      <c r="Y1479" s="316"/>
      <c r="Z1479" s="316"/>
      <c r="AA1479" s="316"/>
      <c r="AB1479" s="316"/>
    </row>
    <row r="1480" spans="3:28" ht="14.25" customHeight="1">
      <c r="C1480" s="26"/>
      <c r="D1480" s="26"/>
      <c r="E1480" s="26"/>
      <c r="F1480" s="26"/>
      <c r="G1480" s="26"/>
      <c r="H1480" s="5"/>
      <c r="T1480" s="119"/>
      <c r="U1480" s="119"/>
      <c r="V1480" s="119"/>
      <c r="W1480" s="119"/>
      <c r="X1480" s="316"/>
      <c r="Y1480" s="316"/>
      <c r="Z1480" s="316"/>
      <c r="AA1480" s="316"/>
      <c r="AB1480" s="316"/>
    </row>
    <row r="1481" spans="3:28" ht="14.25" customHeight="1">
      <c r="C1481" s="26"/>
      <c r="D1481" s="26"/>
      <c r="E1481" s="26"/>
      <c r="F1481" s="26"/>
      <c r="G1481" s="26"/>
      <c r="H1481" s="5"/>
      <c r="T1481" s="119"/>
      <c r="U1481" s="119"/>
      <c r="V1481" s="119"/>
      <c r="W1481" s="119"/>
      <c r="X1481" s="316"/>
      <c r="Y1481" s="316"/>
      <c r="Z1481" s="316"/>
      <c r="AA1481" s="316"/>
      <c r="AB1481" s="316"/>
    </row>
    <row r="1482" spans="3:28" ht="14.25" customHeight="1">
      <c r="C1482" s="26"/>
      <c r="D1482" s="26"/>
      <c r="E1482" s="26"/>
      <c r="F1482" s="26"/>
      <c r="G1482" s="26"/>
      <c r="H1482" s="5"/>
      <c r="T1482" s="119"/>
      <c r="U1482" s="119"/>
      <c r="V1482" s="119"/>
      <c r="W1482" s="119"/>
      <c r="X1482" s="316"/>
      <c r="Y1482" s="316"/>
      <c r="Z1482" s="316"/>
      <c r="AA1482" s="316"/>
      <c r="AB1482" s="316"/>
    </row>
    <row r="1483" spans="3:28" ht="14.25" customHeight="1">
      <c r="C1483" s="26"/>
      <c r="D1483" s="26"/>
      <c r="E1483" s="26"/>
      <c r="F1483" s="26"/>
      <c r="G1483" s="26"/>
      <c r="H1483" s="5"/>
      <c r="T1483" s="119"/>
      <c r="U1483" s="119"/>
      <c r="V1483" s="119"/>
      <c r="W1483" s="119"/>
      <c r="X1483" s="316"/>
      <c r="Y1483" s="316"/>
      <c r="Z1483" s="316"/>
      <c r="AA1483" s="316"/>
      <c r="AB1483" s="316"/>
    </row>
    <row r="1484" spans="3:28" ht="14.25" customHeight="1">
      <c r="C1484" s="26"/>
      <c r="D1484" s="26"/>
      <c r="E1484" s="26"/>
      <c r="F1484" s="26"/>
      <c r="G1484" s="26"/>
      <c r="H1484" s="5"/>
      <c r="T1484" s="119"/>
      <c r="U1484" s="119"/>
      <c r="V1484" s="119"/>
      <c r="W1484" s="119"/>
      <c r="X1484" s="316"/>
      <c r="Y1484" s="316"/>
      <c r="Z1484" s="316"/>
      <c r="AA1484" s="316"/>
      <c r="AB1484" s="316"/>
    </row>
    <row r="1485" spans="3:28" ht="14.25" customHeight="1">
      <c r="C1485" s="26"/>
      <c r="D1485" s="26"/>
      <c r="E1485" s="26"/>
      <c r="F1485" s="26"/>
      <c r="G1485" s="26"/>
      <c r="H1485" s="5"/>
      <c r="T1485" s="119"/>
      <c r="U1485" s="119"/>
      <c r="V1485" s="119"/>
      <c r="W1485" s="119"/>
      <c r="X1485" s="316"/>
      <c r="Y1485" s="316"/>
      <c r="Z1485" s="316"/>
      <c r="AA1485" s="316"/>
      <c r="AB1485" s="316"/>
    </row>
    <row r="1486" spans="3:28" ht="14.25" customHeight="1">
      <c r="C1486" s="26"/>
      <c r="D1486" s="26"/>
      <c r="E1486" s="26"/>
      <c r="F1486" s="26"/>
      <c r="G1486" s="26"/>
      <c r="H1486" s="5"/>
      <c r="T1486" s="119"/>
      <c r="U1486" s="119"/>
      <c r="V1486" s="119"/>
      <c r="W1486" s="119"/>
      <c r="X1486" s="316"/>
      <c r="Y1486" s="316"/>
      <c r="Z1486" s="316"/>
      <c r="AA1486" s="316"/>
      <c r="AB1486" s="316"/>
    </row>
    <row r="1487" spans="3:28" ht="14.25" customHeight="1">
      <c r="C1487" s="26"/>
      <c r="D1487" s="26"/>
      <c r="E1487" s="26"/>
      <c r="F1487" s="26"/>
      <c r="G1487" s="26"/>
      <c r="H1487" s="5"/>
      <c r="T1487" s="119"/>
      <c r="U1487" s="119"/>
      <c r="V1487" s="119"/>
      <c r="W1487" s="119"/>
      <c r="X1487" s="316"/>
      <c r="Y1487" s="316"/>
      <c r="Z1487" s="316"/>
      <c r="AA1487" s="316"/>
      <c r="AB1487" s="316"/>
    </row>
    <row r="1488" spans="3:28" ht="14.25" customHeight="1">
      <c r="C1488" s="26"/>
      <c r="D1488" s="26"/>
      <c r="E1488" s="26"/>
      <c r="F1488" s="26"/>
      <c r="G1488" s="26"/>
      <c r="H1488" s="5"/>
      <c r="T1488" s="119"/>
      <c r="U1488" s="119"/>
      <c r="V1488" s="119"/>
      <c r="W1488" s="119"/>
      <c r="X1488" s="316"/>
      <c r="Y1488" s="316"/>
      <c r="Z1488" s="316"/>
      <c r="AA1488" s="316"/>
      <c r="AB1488" s="316"/>
    </row>
    <row r="1489" spans="2:46" ht="14.25" customHeight="1">
      <c r="C1489" s="26"/>
      <c r="D1489" s="26"/>
      <c r="E1489" s="26"/>
      <c r="F1489" s="26"/>
      <c r="G1489" s="26"/>
      <c r="H1489" s="5"/>
      <c r="T1489" s="119"/>
      <c r="U1489" s="119"/>
      <c r="V1489" s="119"/>
      <c r="W1489" s="119"/>
      <c r="X1489" s="316"/>
      <c r="Y1489" s="316"/>
      <c r="Z1489" s="316"/>
      <c r="AA1489" s="316"/>
      <c r="AB1489" s="316"/>
    </row>
    <row r="1490" spans="2:46" ht="14.25" customHeight="1">
      <c r="C1490" s="26"/>
      <c r="D1490" s="26"/>
      <c r="E1490" s="26"/>
      <c r="F1490" s="26"/>
      <c r="G1490" s="26"/>
      <c r="H1490" s="5"/>
      <c r="T1490" s="119"/>
      <c r="U1490" s="119"/>
      <c r="V1490" s="119"/>
      <c r="W1490" s="119"/>
      <c r="X1490" s="316"/>
      <c r="Y1490" s="316"/>
      <c r="Z1490" s="316"/>
      <c r="AA1490" s="316"/>
      <c r="AB1490" s="316"/>
    </row>
    <row r="1491" spans="2:46" ht="14.25" customHeight="1">
      <c r="C1491" s="26"/>
      <c r="D1491" s="26"/>
      <c r="E1491" s="26"/>
      <c r="F1491" s="26"/>
      <c r="G1491" s="26"/>
      <c r="H1491" s="5"/>
      <c r="T1491" s="119"/>
      <c r="U1491" s="119"/>
      <c r="V1491" s="119"/>
      <c r="W1491" s="119"/>
      <c r="X1491" s="316"/>
      <c r="Y1491" s="316"/>
      <c r="Z1491" s="316"/>
      <c r="AA1491" s="316"/>
      <c r="AB1491" s="316"/>
    </row>
    <row r="1492" spans="2:46" ht="14.25" customHeight="1">
      <c r="C1492" s="26"/>
      <c r="D1492" s="26"/>
      <c r="E1492" s="26"/>
      <c r="F1492" s="26"/>
      <c r="G1492" s="26"/>
      <c r="H1492" s="5"/>
      <c r="T1492" s="119"/>
      <c r="U1492" s="119"/>
      <c r="V1492" s="119"/>
      <c r="W1492" s="119"/>
      <c r="X1492" s="316"/>
      <c r="Y1492" s="316"/>
      <c r="Z1492" s="316"/>
      <c r="AA1492" s="316"/>
      <c r="AB1492" s="316"/>
    </row>
    <row r="1493" spans="2:46" ht="14.25" customHeight="1">
      <c r="C1493" s="26"/>
      <c r="D1493" s="26"/>
      <c r="E1493" s="26"/>
      <c r="F1493" s="26"/>
      <c r="G1493" s="26"/>
      <c r="H1493" s="5"/>
      <c r="T1493" s="119"/>
      <c r="U1493" s="119"/>
      <c r="V1493" s="119"/>
      <c r="W1493" s="119"/>
      <c r="X1493" s="316"/>
      <c r="Y1493" s="316"/>
      <c r="Z1493" s="316"/>
      <c r="AA1493" s="316"/>
      <c r="AB1493" s="316"/>
    </row>
    <row r="1494" spans="2:46" ht="14.25" customHeight="1">
      <c r="C1494" s="26"/>
      <c r="D1494" s="26"/>
      <c r="E1494" s="26"/>
      <c r="F1494" s="26"/>
      <c r="G1494" s="26"/>
      <c r="H1494" s="5"/>
      <c r="T1494" s="119"/>
      <c r="U1494" s="119"/>
      <c r="V1494" s="119"/>
      <c r="W1494" s="119"/>
      <c r="X1494" s="316"/>
      <c r="Y1494" s="316"/>
      <c r="Z1494" s="316"/>
      <c r="AA1494" s="316"/>
      <c r="AB1494" s="316"/>
    </row>
    <row r="1495" spans="2:46" ht="14.25" customHeight="1">
      <c r="C1495" s="26"/>
      <c r="D1495" s="26"/>
      <c r="E1495" s="26"/>
      <c r="F1495" s="26"/>
      <c r="G1495" s="26"/>
      <c r="H1495" s="5"/>
      <c r="T1495" s="119"/>
      <c r="U1495" s="119"/>
      <c r="V1495" s="119"/>
      <c r="W1495" s="119"/>
      <c r="X1495" s="316"/>
      <c r="Y1495" s="316"/>
      <c r="Z1495" s="316"/>
      <c r="AA1495" s="316"/>
      <c r="AB1495" s="316"/>
    </row>
    <row r="1496" spans="2:46" ht="14.25" customHeight="1">
      <c r="C1496" s="26"/>
      <c r="D1496" s="26"/>
      <c r="E1496" s="26"/>
      <c r="F1496" s="26"/>
      <c r="G1496" s="26"/>
      <c r="H1496" s="5"/>
      <c r="T1496" s="119"/>
      <c r="U1496" s="119"/>
      <c r="V1496" s="119"/>
      <c r="W1496" s="119"/>
      <c r="X1496" s="316"/>
      <c r="Y1496" s="316"/>
      <c r="Z1496" s="316"/>
      <c r="AA1496" s="316"/>
      <c r="AB1496" s="316"/>
    </row>
    <row r="1497" spans="2:46" ht="14.25" customHeight="1">
      <c r="C1497" s="26"/>
      <c r="D1497" s="26"/>
      <c r="E1497" s="26"/>
      <c r="F1497" s="26"/>
      <c r="G1497" s="26"/>
      <c r="H1497" s="5"/>
      <c r="T1497" s="119"/>
      <c r="U1497" s="119"/>
      <c r="V1497" s="119"/>
      <c r="W1497" s="119"/>
      <c r="X1497" s="316"/>
      <c r="Y1497" s="316"/>
      <c r="Z1497" s="316"/>
      <c r="AA1497" s="316"/>
      <c r="AB1497" s="316"/>
    </row>
    <row r="1498" spans="2:46" ht="14.25" customHeight="1">
      <c r="C1498" s="26"/>
      <c r="D1498" s="26"/>
      <c r="E1498" s="26"/>
      <c r="F1498" s="26"/>
      <c r="G1498" s="26"/>
      <c r="H1498" s="5"/>
      <c r="T1498" s="119"/>
      <c r="U1498" s="119"/>
      <c r="V1498" s="119"/>
      <c r="W1498" s="119"/>
      <c r="X1498" s="316"/>
      <c r="Y1498" s="316"/>
      <c r="Z1498" s="316"/>
      <c r="AA1498" s="316"/>
      <c r="AB1498" s="316"/>
    </row>
    <row r="1499" spans="2:46" ht="14.25" customHeight="1">
      <c r="C1499" s="26"/>
      <c r="D1499" s="26"/>
      <c r="E1499" s="26"/>
      <c r="F1499" s="26"/>
      <c r="G1499" s="26"/>
      <c r="H1499" s="5"/>
      <c r="T1499" s="119"/>
      <c r="U1499" s="119"/>
      <c r="V1499" s="119"/>
      <c r="W1499" s="119"/>
      <c r="X1499" s="316"/>
      <c r="Y1499" s="316"/>
      <c r="Z1499" s="316"/>
      <c r="AA1499" s="316"/>
      <c r="AB1499" s="316"/>
    </row>
    <row r="1500" spans="2:46" ht="14.25" customHeight="1">
      <c r="C1500" s="26"/>
      <c r="D1500" s="26"/>
      <c r="E1500" s="26"/>
      <c r="F1500" s="26"/>
      <c r="G1500" s="26"/>
      <c r="H1500" s="5"/>
      <c r="T1500" s="119"/>
      <c r="U1500" s="119"/>
      <c r="V1500" s="119"/>
      <c r="W1500" s="119"/>
      <c r="X1500" s="316"/>
      <c r="Y1500" s="316"/>
      <c r="Z1500" s="316"/>
      <c r="AA1500" s="316"/>
      <c r="AB1500" s="316"/>
    </row>
    <row r="1501" spans="2:46" s="8" customFormat="1">
      <c r="B1501" s="421" t="str">
        <f>TITLE!C28</f>
        <v>Полотна збірні: ПОЛО</v>
      </c>
      <c r="C1501" s="421"/>
      <c r="D1501" s="122"/>
      <c r="E1501" s="122"/>
      <c r="F1501" s="122"/>
      <c r="G1501" s="122"/>
      <c r="H1501" s="445"/>
      <c r="I1501" s="44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419" t="str">
        <f>IF($C$1="ENG",CONCATENATE("up to: ",B1429),CONCATENATE("вгору до: ",B1429))</f>
        <v>вгору до: Полотна збірні: МОДЕРН</v>
      </c>
      <c r="U1501" s="419"/>
      <c r="V1501" s="419"/>
      <c r="W1501" s="419"/>
      <c r="AG1501" s="301">
        <f>AB1501/100*12+AB1501</f>
        <v>0</v>
      </c>
      <c r="AH1501" s="301" t="e">
        <f>AG1501/AB1501-1</f>
        <v>#DIV/0!</v>
      </c>
      <c r="AN1501" s="291"/>
      <c r="AO1501" s="291"/>
      <c r="AP1501" s="291"/>
      <c r="AQ1501" s="291"/>
      <c r="AR1501" s="291"/>
      <c r="AS1501" s="291"/>
      <c r="AT1501" s="291"/>
    </row>
    <row r="1502" spans="2:46" s="8" customFormat="1" ht="5.0999999999999996" customHeight="1">
      <c r="B1502" s="121"/>
      <c r="C1502" s="121"/>
      <c r="D1502" s="9"/>
      <c r="E1502" s="9"/>
      <c r="F1502" s="9"/>
      <c r="G1502" s="9"/>
      <c r="H1502" s="124"/>
      <c r="I1502" s="124"/>
      <c r="J1502" s="1"/>
      <c r="K1502" s="1"/>
      <c r="T1502" s="119"/>
      <c r="U1502" s="119"/>
      <c r="V1502" s="119"/>
      <c r="W1502" s="119"/>
      <c r="AN1502" s="291"/>
      <c r="AO1502" s="291"/>
      <c r="AP1502" s="291"/>
      <c r="AQ1502" s="291"/>
      <c r="AR1502" s="291"/>
      <c r="AS1502" s="291"/>
      <c r="AT1502" s="291"/>
    </row>
    <row r="1503" spans="2:46" s="8" customFormat="1" ht="12.75" customHeight="1">
      <c r="B1503" s="448" t="str">
        <f>IF($C$1="ENG","model","модель")</f>
        <v>модель</v>
      </c>
      <c r="C1503" s="126" t="str">
        <f>IF($C$1="ENG","cover:","покриття:")</f>
        <v>покриття:</v>
      </c>
      <c r="D1503" s="430" t="str">
        <f>IF($C$1="ENG","Verto-CELL","Verto-CELL")</f>
        <v>Verto-CELL</v>
      </c>
      <c r="E1503" s="432"/>
      <c r="F1503" s="430" t="str">
        <f>IF($C$1="ENG","UNI-MAT","UNI-MAT")</f>
        <v>UNI-MAT</v>
      </c>
      <c r="G1503" s="432"/>
      <c r="H1503" s="430" t="str">
        <f>IF($C$1="ENG","RESIST","RESIST")</f>
        <v>RESIST</v>
      </c>
      <c r="I1503" s="432"/>
      <c r="J1503" s="430" t="str">
        <f>IF($C$1="ENG","Verto LINE-3D","Verto LINE-3D")</f>
        <v>Verto LINE-3D</v>
      </c>
      <c r="K1503" s="432"/>
      <c r="L1503" s="430" t="str">
        <f>IF($C$1="ENG","ECO Shpon","ЕКО Шпон")</f>
        <v>ЕКО Шпон</v>
      </c>
      <c r="M1503" s="432"/>
      <c r="P1503" s="20"/>
      <c r="Q1503" s="20"/>
      <c r="T1503" s="119"/>
      <c r="U1503" s="119"/>
      <c r="V1503" s="119"/>
      <c r="W1503" s="119"/>
      <c r="AN1503" s="291"/>
      <c r="AO1503" s="291"/>
      <c r="AP1503" s="291"/>
      <c r="AQ1503" s="291"/>
      <c r="AR1503" s="291"/>
      <c r="AS1503" s="291"/>
      <c r="AT1503" s="291"/>
    </row>
    <row r="1504" spans="2:46" s="8" customFormat="1" ht="24" customHeight="1">
      <c r="B1504" s="449"/>
      <c r="C1504" s="127" t="str">
        <f>IF($C$1="ENG","filling:","заповнення:")</f>
        <v>заповнення:</v>
      </c>
      <c r="D1504" s="441" t="str">
        <f>IF($C$1="ENG","softwood","клеєний сосновий брус")</f>
        <v>клеєний сосновий брус</v>
      </c>
      <c r="E1504" s="442"/>
      <c r="F1504" s="441" t="str">
        <f>IF($C$1="ENG","softwood","клеєний сосновий брус")</f>
        <v>клеєний сосновий брус</v>
      </c>
      <c r="G1504" s="442"/>
      <c r="H1504" s="441" t="str">
        <f>IF($C$1="ENG","softwood","клеєний сосновий брус")</f>
        <v>клеєний сосновий брус</v>
      </c>
      <c r="I1504" s="442"/>
      <c r="J1504" s="441" t="str">
        <f>IF($C$1="ENG","softwood","клеєний сосновий брус")</f>
        <v>клеєний сосновий брус</v>
      </c>
      <c r="K1504" s="442"/>
      <c r="L1504" s="441" t="str">
        <f>IF($C$1="ENG","softwood","клеєний сосновий брус")</f>
        <v>клеєний сосновий брус</v>
      </c>
      <c r="M1504" s="442"/>
      <c r="P1504" s="20"/>
      <c r="Q1504" s="20"/>
      <c r="T1504" s="119"/>
      <c r="U1504" s="119"/>
      <c r="V1504" s="119"/>
      <c r="W1504" s="119"/>
      <c r="AD1504" s="405">
        <f>AD1506/AC1506-1</f>
        <v>0.11024844720496896</v>
      </c>
      <c r="AE1504" s="405">
        <f>AE1506/AD1506-1</f>
        <v>4.8951048951048959E-2</v>
      </c>
      <c r="AF1504" s="405">
        <f>AF1506/AE1506-1</f>
        <v>8.1333333333333258E-2</v>
      </c>
      <c r="AG1504" s="405">
        <f>AG1506/AF1506-1</f>
        <v>5.3020961775585684E-2</v>
      </c>
      <c r="AN1504" s="291"/>
      <c r="AO1504" s="291"/>
      <c r="AP1504" s="291"/>
      <c r="AQ1504" s="291"/>
      <c r="AR1504" s="291"/>
      <c r="AS1504" s="291"/>
      <c r="AT1504" s="291"/>
    </row>
    <row r="1505" spans="1:43" ht="12.75" customHeight="1">
      <c r="A1505" s="8"/>
      <c r="B1505" s="450"/>
      <c r="C1505" s="128" t="str">
        <f>IF($C$1="ENG","glazing:","скління:")</f>
        <v>скління:</v>
      </c>
      <c r="D1505" s="424" t="str">
        <f>IF($C$1="ENG","Satin","Сатин")</f>
        <v>Сатин</v>
      </c>
      <c r="E1505" s="434"/>
      <c r="F1505" s="424" t="str">
        <f>IF($C$1="ENG","Satin","Сатин")</f>
        <v>Сатин</v>
      </c>
      <c r="G1505" s="434"/>
      <c r="H1505" s="424" t="str">
        <f>IF($C$1="ENG","Satin","Сатин")</f>
        <v>Сатин</v>
      </c>
      <c r="I1505" s="434"/>
      <c r="J1505" s="424" t="str">
        <f>IF($C$1="ENG","Satin","Сатин")</f>
        <v>Сатин</v>
      </c>
      <c r="K1505" s="434"/>
      <c r="L1505" s="424" t="str">
        <f>IF($C$1="ENG","Satin","Сатин")</f>
        <v>Сатин</v>
      </c>
      <c r="M1505" s="434"/>
      <c r="N1505" s="11"/>
      <c r="O1505" s="11"/>
      <c r="P1505" s="20"/>
      <c r="Q1505" s="20"/>
      <c r="R1505" s="11"/>
      <c r="S1505" s="11"/>
      <c r="T1505" s="11"/>
    </row>
    <row r="1506" spans="1:43" ht="35.1" customHeight="1">
      <c r="A1506" s="8"/>
      <c r="B1506" s="13" t="s">
        <v>32</v>
      </c>
      <c r="C1506" s="14"/>
      <c r="D1506" s="15">
        <f>IF(AC1506="","",(1-$W$2)*(AC1506/1.2))</f>
        <v>5366.666666666667</v>
      </c>
      <c r="E1506" s="67">
        <f>IF($W$5=0.2,D1506*1.2,D1506)/$W$4</f>
        <v>6440</v>
      </c>
      <c r="F1506" s="15">
        <f>IF(AD1506="","",(1-$W$2)*(AD1506/1.2))</f>
        <v>5958.3333333333339</v>
      </c>
      <c r="G1506" s="67">
        <f>IF($W$5=0.2,F1506*1.2,F1506)/$W$4</f>
        <v>7150.0000000000009</v>
      </c>
      <c r="H1506" s="15">
        <f>IF(AE1506="","",(1-$W$2)*(AE1506/1.2))</f>
        <v>6250</v>
      </c>
      <c r="I1506" s="67">
        <f>IF($W$5=0.2,H1506*1.2,H1506)/$W$4</f>
        <v>7500</v>
      </c>
      <c r="J1506" s="15">
        <f>IF(AF1506="","",(1-$W$2)*(AF1506/1.2))</f>
        <v>6758.3333333333339</v>
      </c>
      <c r="K1506" s="67">
        <f>IF($W$5=0.2,J1506*1.2,J1506)/$W$4</f>
        <v>8110</v>
      </c>
      <c r="L1506" s="15">
        <f>IF(AG1506="","",(1-$W$2)*(AG1506/1.2))</f>
        <v>7116.666666666667</v>
      </c>
      <c r="M1506" s="67">
        <f>IF($W$5=0.2,L1506*1.2,L1506)/$W$4</f>
        <v>8540</v>
      </c>
      <c r="N1506" s="108"/>
      <c r="O1506" s="20"/>
      <c r="P1506" s="20"/>
      <c r="Q1506" s="20"/>
      <c r="R1506" s="108"/>
      <c r="S1506" s="20"/>
      <c r="T1506" s="108"/>
      <c r="U1506" s="20"/>
      <c r="V1506" s="108"/>
      <c r="W1506" s="20"/>
      <c r="X1506" s="22"/>
      <c r="Y1506" s="22"/>
      <c r="Z1506" s="22"/>
      <c r="AA1506" s="22"/>
      <c r="AB1506" s="22"/>
      <c r="AC1506" s="346">
        <v>6440</v>
      </c>
      <c r="AD1506" s="413">
        <v>7150</v>
      </c>
      <c r="AE1506" s="346">
        <v>7500</v>
      </c>
      <c r="AF1506" s="346">
        <v>8110</v>
      </c>
      <c r="AG1506" s="346">
        <v>8540</v>
      </c>
      <c r="AH1506" s="301">
        <v>6440</v>
      </c>
      <c r="AI1506" s="301">
        <f>AH1506/AC1506-1</f>
        <v>0</v>
      </c>
      <c r="AJ1506" s="301">
        <v>7150</v>
      </c>
      <c r="AK1506" s="301">
        <f>AJ1506/AD1506-1</f>
        <v>0</v>
      </c>
      <c r="AL1506" s="301">
        <v>7500</v>
      </c>
      <c r="AM1506" s="301">
        <f>AL1506/AE1506-1</f>
        <v>0</v>
      </c>
      <c r="AN1506" s="301">
        <v>8110</v>
      </c>
      <c r="AO1506" s="301">
        <f>AN1506/AF1506-1</f>
        <v>0</v>
      </c>
      <c r="AP1506" s="301">
        <v>8540</v>
      </c>
      <c r="AQ1506" s="301">
        <f>AP1506/AG1506-1</f>
        <v>0</v>
      </c>
    </row>
    <row r="1507" spans="1:43" ht="35.1" customHeight="1">
      <c r="A1507" s="8"/>
      <c r="B1507" s="16" t="s">
        <v>15</v>
      </c>
      <c r="C1507" s="17"/>
      <c r="D1507" s="18">
        <f>IF(AC1507="","",(1-$W$2)*(AC1507/1.2))</f>
        <v>4983.3333333333339</v>
      </c>
      <c r="E1507" s="69">
        <f>IF($W$5=0.2,D1507*1.2,D1507)/$W$4</f>
        <v>5980.0000000000009</v>
      </c>
      <c r="F1507" s="18">
        <f>IF(AD1507="","",(1-$W$2)*(AD1507/1.2))</f>
        <v>5533.3333333333339</v>
      </c>
      <c r="G1507" s="69">
        <f>IF($W$5=0.2,F1507*1.2,F1507)/$W$4</f>
        <v>6640.0000000000009</v>
      </c>
      <c r="H1507" s="18">
        <f>IF(AE1507="","",(1-$W$2)*(AE1507/1.2))</f>
        <v>5750</v>
      </c>
      <c r="I1507" s="69">
        <f>IF($W$5=0.2,H1507*1.2,H1507)/$W$4</f>
        <v>6900</v>
      </c>
      <c r="J1507" s="18">
        <f>IF(AF1507="","",(1-$W$2)*(AF1507/1.2))</f>
        <v>6225</v>
      </c>
      <c r="K1507" s="69">
        <f>IF($W$5=0.2,J1507*1.2,J1507)/$W$4</f>
        <v>7470</v>
      </c>
      <c r="L1507" s="18">
        <f>IF(AG1507="","",(1-$W$2)*(AG1507/1.2))</f>
        <v>6525</v>
      </c>
      <c r="M1507" s="69">
        <f>IF($W$5=0.2,L1507*1.2,L1507)/$W$4</f>
        <v>7830</v>
      </c>
      <c r="N1507" s="108"/>
      <c r="O1507" s="20"/>
      <c r="P1507" s="20"/>
      <c r="Q1507" s="20"/>
      <c r="R1507" s="108"/>
      <c r="S1507" s="20"/>
      <c r="T1507" s="108"/>
      <c r="U1507" s="20"/>
      <c r="V1507" s="108"/>
      <c r="W1507" s="20"/>
      <c r="X1507" s="22"/>
      <c r="Y1507" s="22"/>
      <c r="Z1507" s="22"/>
      <c r="AA1507" s="22"/>
      <c r="AB1507" s="22"/>
      <c r="AC1507" s="346">
        <v>5980</v>
      </c>
      <c r="AD1507" s="413">
        <v>6640</v>
      </c>
      <c r="AE1507" s="346">
        <v>6900</v>
      </c>
      <c r="AF1507" s="346">
        <v>7470</v>
      </c>
      <c r="AG1507" s="346">
        <v>7830</v>
      </c>
      <c r="AH1507" s="301">
        <v>5980</v>
      </c>
      <c r="AI1507" s="301">
        <f t="shared" ref="AI1507:AI1509" si="129">AH1507/AC1507-1</f>
        <v>0</v>
      </c>
      <c r="AJ1507" s="301">
        <v>6640</v>
      </c>
      <c r="AK1507" s="301">
        <f t="shared" ref="AK1507:AK1509" si="130">AJ1507/AD1507-1</f>
        <v>0</v>
      </c>
      <c r="AL1507" s="301">
        <v>6900</v>
      </c>
      <c r="AM1507" s="301">
        <f t="shared" ref="AM1507:AM1509" si="131">AL1507/AE1507-1</f>
        <v>0</v>
      </c>
      <c r="AN1507" s="301">
        <v>7470</v>
      </c>
      <c r="AO1507" s="301">
        <f t="shared" ref="AO1507:AO1509" si="132">AN1507/AF1507-1</f>
        <v>0</v>
      </c>
      <c r="AP1507" s="301">
        <v>7830</v>
      </c>
      <c r="AQ1507" s="301">
        <f t="shared" ref="AQ1507:AQ1509" si="133">AP1507/AG1507-1</f>
        <v>0</v>
      </c>
    </row>
    <row r="1508" spans="1:43" ht="35.1" customHeight="1">
      <c r="A1508" s="8"/>
      <c r="B1508" s="16" t="s">
        <v>16</v>
      </c>
      <c r="C1508" s="17"/>
      <c r="D1508" s="18">
        <f>IF(AC1508="","",(1-$W$2)*(AC1508/1.2))</f>
        <v>4650</v>
      </c>
      <c r="E1508" s="69">
        <f>IF($W$5=0.2,D1508*1.2,D1508)/$W$4</f>
        <v>5580</v>
      </c>
      <c r="F1508" s="18">
        <f>IF(AD1508="","",(1-$W$2)*(AD1508/1.2))</f>
        <v>5158.3333333333339</v>
      </c>
      <c r="G1508" s="69">
        <f>IF($W$5=0.2,F1508*1.2,F1508)/$W$4</f>
        <v>6190.0000000000009</v>
      </c>
      <c r="H1508" s="18">
        <f>IF(AE1508="","",(1-$W$2)*(AE1508/1.2))</f>
        <v>5283.3333333333339</v>
      </c>
      <c r="I1508" s="69">
        <f>IF($W$5=0.2,H1508*1.2,H1508)/$W$4</f>
        <v>6340.0000000000009</v>
      </c>
      <c r="J1508" s="18">
        <f>IF(AF1508="","",(1-$W$2)*(AF1508/1.2))</f>
        <v>5741.666666666667</v>
      </c>
      <c r="K1508" s="69">
        <f>IF($W$5=0.2,J1508*1.2,J1508)/$W$4</f>
        <v>6890</v>
      </c>
      <c r="L1508" s="18">
        <f>IF(AG1508="","",(1-$W$2)*(AG1508/1.2))</f>
        <v>6025</v>
      </c>
      <c r="M1508" s="69">
        <f>IF($W$5=0.2,L1508*1.2,L1508)/$W$4</f>
        <v>7230</v>
      </c>
      <c r="N1508" s="108"/>
      <c r="O1508" s="20"/>
      <c r="P1508" s="20"/>
      <c r="Q1508" s="20"/>
      <c r="R1508" s="108"/>
      <c r="S1508" s="20"/>
      <c r="T1508" s="108"/>
      <c r="U1508" s="20"/>
      <c r="V1508" s="108"/>
      <c r="W1508" s="20"/>
      <c r="X1508" s="22"/>
      <c r="Y1508" s="22"/>
      <c r="Z1508" s="22"/>
      <c r="AA1508" s="22"/>
      <c r="AB1508" s="22"/>
      <c r="AC1508" s="346">
        <v>5580</v>
      </c>
      <c r="AD1508" s="413">
        <v>6190</v>
      </c>
      <c r="AE1508" s="346">
        <v>6340</v>
      </c>
      <c r="AF1508" s="346">
        <v>6890</v>
      </c>
      <c r="AG1508" s="346">
        <v>7230</v>
      </c>
      <c r="AH1508" s="301">
        <v>5580</v>
      </c>
      <c r="AI1508" s="301">
        <f t="shared" si="129"/>
        <v>0</v>
      </c>
      <c r="AJ1508" s="301">
        <v>6190</v>
      </c>
      <c r="AK1508" s="301">
        <f t="shared" si="130"/>
        <v>0</v>
      </c>
      <c r="AL1508" s="301">
        <v>6340</v>
      </c>
      <c r="AM1508" s="301">
        <f t="shared" si="131"/>
        <v>0</v>
      </c>
      <c r="AN1508" s="301">
        <v>6890</v>
      </c>
      <c r="AO1508" s="301">
        <f t="shared" si="132"/>
        <v>0</v>
      </c>
      <c r="AP1508" s="301">
        <v>7230</v>
      </c>
      <c r="AQ1508" s="301">
        <f t="shared" si="133"/>
        <v>0</v>
      </c>
    </row>
    <row r="1509" spans="1:43" ht="35.1" customHeight="1">
      <c r="A1509" s="8"/>
      <c r="B1509" s="23" t="s">
        <v>14</v>
      </c>
      <c r="C1509" s="24"/>
      <c r="D1509" s="25">
        <f>IF(AC1509="","",(1-$W$2)*(AC1509/1.2))</f>
        <v>4983.3333333333339</v>
      </c>
      <c r="E1509" s="72">
        <f>IF($W$5=0.2,D1509*1.2,D1509)/$W$4</f>
        <v>5980.0000000000009</v>
      </c>
      <c r="F1509" s="25">
        <f>IF(AD1509="","",(1-$W$2)*(AD1509/1.2))</f>
        <v>5533.3333333333339</v>
      </c>
      <c r="G1509" s="72">
        <f>IF($W$5=0.2,F1509*1.2,F1509)/$W$4</f>
        <v>6640.0000000000009</v>
      </c>
      <c r="H1509" s="25">
        <f>IF(AE1509="","",(1-$W$2)*(AE1509/1.2))</f>
        <v>5750</v>
      </c>
      <c r="I1509" s="72">
        <f>IF($W$5=0.2,H1509*1.2,H1509)/$W$4</f>
        <v>6900</v>
      </c>
      <c r="J1509" s="25">
        <f>IF(AF1509="","",(1-$W$2)*(AF1509/1.2))</f>
        <v>6225</v>
      </c>
      <c r="K1509" s="72">
        <f>IF($W$5=0.2,J1509*1.2,J1509)/$W$4</f>
        <v>7470</v>
      </c>
      <c r="L1509" s="25">
        <f>IF(AG1509="","",(1-$W$2)*(AG1509/1.2))</f>
        <v>6525</v>
      </c>
      <c r="M1509" s="72">
        <f>IF($W$5=0.2,L1509*1.2,L1509)/$W$4</f>
        <v>7830</v>
      </c>
      <c r="N1509" s="108"/>
      <c r="O1509" s="20"/>
      <c r="P1509" s="20"/>
      <c r="Q1509" s="20"/>
      <c r="R1509" s="108"/>
      <c r="S1509" s="20"/>
      <c r="T1509" s="108"/>
      <c r="U1509" s="20"/>
      <c r="V1509" s="108"/>
      <c r="W1509" s="20"/>
      <c r="X1509" s="22"/>
      <c r="Y1509" s="22"/>
      <c r="Z1509" s="22"/>
      <c r="AA1509" s="22"/>
      <c r="AB1509" s="22"/>
      <c r="AC1509" s="346">
        <v>5980</v>
      </c>
      <c r="AD1509" s="413">
        <v>6640</v>
      </c>
      <c r="AE1509" s="346">
        <v>6900</v>
      </c>
      <c r="AF1509" s="346">
        <v>7470</v>
      </c>
      <c r="AG1509" s="346">
        <v>7830</v>
      </c>
      <c r="AH1509" s="301">
        <v>5980</v>
      </c>
      <c r="AI1509" s="301">
        <f t="shared" si="129"/>
        <v>0</v>
      </c>
      <c r="AJ1509" s="301">
        <v>6640</v>
      </c>
      <c r="AK1509" s="301">
        <f t="shared" si="130"/>
        <v>0</v>
      </c>
      <c r="AL1509" s="301">
        <v>6900</v>
      </c>
      <c r="AM1509" s="301">
        <f t="shared" si="131"/>
        <v>0</v>
      </c>
      <c r="AN1509" s="301">
        <v>7470</v>
      </c>
      <c r="AO1509" s="301">
        <f t="shared" si="132"/>
        <v>0</v>
      </c>
      <c r="AP1509" s="301">
        <v>7830</v>
      </c>
      <c r="AQ1509" s="301">
        <f t="shared" si="133"/>
        <v>0</v>
      </c>
    </row>
    <row r="1510" spans="1:43">
      <c r="C1510" s="26"/>
      <c r="D1510" s="26"/>
      <c r="E1510" s="60"/>
      <c r="F1510" s="26"/>
      <c r="G1510" s="60"/>
      <c r="H1510" s="5"/>
      <c r="P1510" s="20"/>
      <c r="Q1510" s="20"/>
    </row>
    <row r="1511" spans="1:43">
      <c r="B1511" s="220" t="str">
        <f>IF($C$1="ENG","For additonal charge:","Послуги за додаткову плату:")</f>
        <v>Послуги за додаткову плату:</v>
      </c>
      <c r="C1511" s="221"/>
      <c r="D1511" s="221"/>
      <c r="E1511" s="222"/>
      <c r="F1511" s="26"/>
      <c r="G1511" s="60"/>
      <c r="H1511" s="10"/>
      <c r="I1511" s="8"/>
      <c r="J1511" s="8"/>
      <c r="K1511" s="8"/>
    </row>
    <row r="1512" spans="1:43" ht="5.0999999999999996" customHeight="1">
      <c r="B1512" s="27"/>
      <c r="C1512" s="26"/>
      <c r="D1512" s="26"/>
      <c r="E1512" s="60"/>
      <c r="F1512" s="26"/>
      <c r="G1512" s="26"/>
      <c r="H1512" s="10"/>
      <c r="I1512" s="8"/>
      <c r="J1512" s="8"/>
      <c r="K1512" s="8"/>
    </row>
    <row r="1513" spans="1:43">
      <c r="B1513" s="446" t="str">
        <f>IF($C$1="ENG","door leaf with width 100","полотно розміром 100")</f>
        <v>полотно розміром 100</v>
      </c>
      <c r="C1513" s="447"/>
      <c r="D1513" s="136">
        <f t="shared" ref="D1513:D1523" si="134">IF(AC1513="","",(1-$W$2)*(AC1513/1.2))</f>
        <v>600</v>
      </c>
      <c r="E1513" s="96">
        <f t="shared" ref="E1513:E1522" si="135">IF($W$5=0.2,D1513*1.2,D1513)/$W$4</f>
        <v>720</v>
      </c>
      <c r="F1513" s="26"/>
      <c r="G1513" s="26"/>
      <c r="H1513" s="10"/>
      <c r="I1513" s="8"/>
      <c r="J1513" s="8"/>
      <c r="K1513" s="8"/>
      <c r="AC1513" s="301">
        <v>720</v>
      </c>
      <c r="AD1513" s="301">
        <v>720</v>
      </c>
      <c r="AE1513" s="301"/>
      <c r="AF1513" s="301"/>
      <c r="AG1513" s="301"/>
      <c r="AH1513" s="301"/>
      <c r="AI1513" s="301"/>
      <c r="AJ1513" s="301"/>
      <c r="AK1513" s="301"/>
      <c r="AL1513" s="301"/>
    </row>
    <row r="1514" spans="1:43">
      <c r="B1514" s="439" t="str">
        <f>IF($C$1="ENG","Ventilation sleeves (1 row)","вентиляційні віддушини (1ряд)")</f>
        <v>вентиляційні віддушини (1ряд)</v>
      </c>
      <c r="C1514" s="440"/>
      <c r="D1514" s="137">
        <f t="shared" si="134"/>
        <v>208.33333333333334</v>
      </c>
      <c r="E1514" s="97">
        <f t="shared" si="135"/>
        <v>250</v>
      </c>
      <c r="F1514" s="26"/>
      <c r="G1514" s="26"/>
      <c r="I1514" s="11"/>
      <c r="J1514" s="11"/>
      <c r="K1514" s="11"/>
      <c r="AC1514" s="301">
        <v>250</v>
      </c>
      <c r="AD1514" s="301">
        <v>250</v>
      </c>
      <c r="AE1514" s="301"/>
      <c r="AF1514" s="301"/>
      <c r="AG1514" s="301"/>
      <c r="AH1514" s="301"/>
      <c r="AI1514" s="301"/>
      <c r="AJ1514" s="301"/>
      <c r="AK1514" s="301"/>
      <c r="AL1514" s="301"/>
    </row>
    <row r="1515" spans="1:43">
      <c r="B1515" s="446" t="str">
        <f>IF($C$1="ENG","Ventilation cut","вентиляційний підріз")</f>
        <v>вентиляційний підріз</v>
      </c>
      <c r="C1515" s="447"/>
      <c r="D1515" s="137">
        <f t="shared" si="134"/>
        <v>141.66666666666669</v>
      </c>
      <c r="E1515" s="69">
        <f t="shared" si="135"/>
        <v>170.00000000000003</v>
      </c>
      <c r="F1515" s="26"/>
      <c r="G1515" s="26"/>
      <c r="I1515" s="62"/>
      <c r="J1515" s="28"/>
      <c r="AC1515" s="301">
        <v>170</v>
      </c>
      <c r="AD1515" s="301">
        <v>170</v>
      </c>
      <c r="AE1515" s="301"/>
      <c r="AF1515" s="301"/>
      <c r="AG1515" s="301"/>
      <c r="AH1515" s="301"/>
      <c r="AI1515" s="301"/>
      <c r="AJ1515" s="301"/>
      <c r="AK1515" s="301"/>
      <c r="AL1515" s="301"/>
    </row>
    <row r="1516" spans="1:43">
      <c r="B1516" s="439" t="str">
        <f>IF($C$1="ENG","glazing Graphite / Bronze","скло Графіт / Бронза")</f>
        <v>скло Графіт / Бронза</v>
      </c>
      <c r="C1516" s="440"/>
      <c r="D1516" s="106">
        <f t="shared" si="134"/>
        <v>458.33333333333337</v>
      </c>
      <c r="E1516" s="97">
        <f t="shared" si="135"/>
        <v>550</v>
      </c>
      <c r="F1516" s="26"/>
      <c r="G1516" s="26"/>
      <c r="H1516" s="5"/>
      <c r="AC1516" s="301">
        <v>550</v>
      </c>
      <c r="AD1516" s="301">
        <v>550</v>
      </c>
      <c r="AE1516" s="301"/>
      <c r="AF1516" s="301"/>
      <c r="AG1516" s="301"/>
      <c r="AH1516" s="301"/>
      <c r="AI1516" s="301"/>
      <c r="AJ1516" s="301"/>
      <c r="AK1516" s="301"/>
      <c r="AL1516" s="301"/>
    </row>
    <row r="1517" spans="1:43">
      <c r="B1517" s="439" t="str">
        <f>IF($C$1="ENG","door lock Soft","замок Soft")</f>
        <v>замок Soft</v>
      </c>
      <c r="C1517" s="440"/>
      <c r="D1517" s="106">
        <f t="shared" si="134"/>
        <v>458.33333333333337</v>
      </c>
      <c r="E1517" s="97">
        <f t="shared" si="135"/>
        <v>550</v>
      </c>
      <c r="F1517" s="26"/>
      <c r="G1517" s="26"/>
      <c r="H1517" s="5"/>
      <c r="AC1517" s="301">
        <v>550</v>
      </c>
      <c r="AD1517" s="301">
        <v>550</v>
      </c>
      <c r="AE1517" s="301"/>
      <c r="AF1517" s="301"/>
      <c r="AG1517" s="301"/>
      <c r="AH1517" s="301"/>
      <c r="AI1517" s="301"/>
      <c r="AJ1517" s="301"/>
      <c r="AK1517" s="301"/>
      <c r="AL1517" s="301"/>
    </row>
    <row r="1518" spans="1:43">
      <c r="B1518" s="439" t="str">
        <f>IF($C$1="ENG","door lock Magnet","замок Magnet")</f>
        <v>замок Magnet</v>
      </c>
      <c r="C1518" s="440"/>
      <c r="D1518" s="106">
        <f t="shared" si="134"/>
        <v>666.66666666666674</v>
      </c>
      <c r="E1518" s="97">
        <f t="shared" si="135"/>
        <v>800.00000000000011</v>
      </c>
      <c r="F1518" s="26"/>
      <c r="G1518" s="26"/>
      <c r="H1518" s="5"/>
      <c r="AC1518" s="301">
        <v>800</v>
      </c>
      <c r="AD1518" s="301">
        <v>800</v>
      </c>
      <c r="AE1518" s="301"/>
      <c r="AF1518" s="301"/>
      <c r="AG1518" s="301"/>
      <c r="AH1518" s="301"/>
      <c r="AI1518" s="301"/>
      <c r="AJ1518" s="301"/>
      <c r="AK1518" s="301"/>
      <c r="AL1518" s="301"/>
    </row>
    <row r="1519" spans="1:43">
      <c r="B1519" s="439" t="str">
        <f>IF($C$1="ENG","door handle-lock (for sliding doors)","ручка-замок (для дверей купе)")</f>
        <v>ручка-замок (для дверей купе)</v>
      </c>
      <c r="C1519" s="440"/>
      <c r="D1519" s="137">
        <f t="shared" si="134"/>
        <v>466.66666666666669</v>
      </c>
      <c r="E1519" s="97">
        <f t="shared" si="135"/>
        <v>560</v>
      </c>
      <c r="F1519" s="26"/>
      <c r="G1519" s="26"/>
      <c r="I1519" s="11"/>
      <c r="J1519" s="11"/>
      <c r="K1519" s="19"/>
      <c r="AC1519" s="301">
        <v>560</v>
      </c>
      <c r="AD1519" s="301">
        <v>560</v>
      </c>
      <c r="AE1519" s="301"/>
      <c r="AF1519" s="301"/>
      <c r="AG1519" s="301"/>
      <c r="AH1519" s="301"/>
      <c r="AI1519" s="301"/>
      <c r="AJ1519" s="301"/>
      <c r="AK1519" s="301"/>
      <c r="AL1519" s="301"/>
    </row>
    <row r="1520" spans="1:43">
      <c r="B1520" s="439" t="str">
        <f>IF($C$1="ENG","cylinder incert","циліндр несиметричний")</f>
        <v>циліндр несиметричний</v>
      </c>
      <c r="C1520" s="440"/>
      <c r="D1520" s="137">
        <f t="shared" si="134"/>
        <v>316.66666666666669</v>
      </c>
      <c r="E1520" s="97">
        <f t="shared" si="135"/>
        <v>380</v>
      </c>
      <c r="F1520" s="26"/>
      <c r="G1520" s="26"/>
      <c r="I1520" s="20"/>
      <c r="AC1520" s="301">
        <v>380</v>
      </c>
      <c r="AD1520" s="301">
        <v>380</v>
      </c>
      <c r="AE1520" s="301"/>
      <c r="AF1520" s="301"/>
      <c r="AG1520" s="301"/>
      <c r="AH1520" s="301"/>
      <c r="AI1520" s="301"/>
      <c r="AJ1520" s="301"/>
      <c r="AK1520" s="301"/>
      <c r="AL1520" s="301"/>
    </row>
    <row r="1521" spans="2:38">
      <c r="B1521" s="439" t="str">
        <f>IF($C$1="ENG","door hindge Prestige (1 unit)","завіса Prestige (1 шт)")</f>
        <v>завіса Prestige (1 шт)</v>
      </c>
      <c r="C1521" s="440"/>
      <c r="D1521" s="139">
        <f t="shared" si="134"/>
        <v>216.66666666666669</v>
      </c>
      <c r="E1521" s="97">
        <f t="shared" si="135"/>
        <v>260</v>
      </c>
      <c r="F1521" s="26"/>
      <c r="G1521" s="26"/>
      <c r="AC1521" s="301">
        <v>260</v>
      </c>
      <c r="AD1521" s="301">
        <v>260</v>
      </c>
      <c r="AE1521" s="301"/>
      <c r="AF1521" s="301"/>
      <c r="AG1521" s="301"/>
      <c r="AH1521" s="301"/>
      <c r="AI1521" s="301"/>
      <c r="AJ1521" s="301"/>
      <c r="AK1521" s="301"/>
      <c r="AL1521" s="301"/>
    </row>
    <row r="1522" spans="2:38">
      <c r="B1522" s="439" t="str">
        <f>IF($C$1="ENG","door hinge caps (1 set)","накладка на завіси (1 к-т)")</f>
        <v>накладка на завіси (1 к-т)</v>
      </c>
      <c r="C1522" s="440"/>
      <c r="D1522" s="139">
        <f t="shared" si="134"/>
        <v>66.666666666666671</v>
      </c>
      <c r="E1522" s="97">
        <f t="shared" si="135"/>
        <v>80</v>
      </c>
      <c r="F1522" s="26"/>
      <c r="G1522" s="26"/>
      <c r="AC1522" s="301">
        <v>80</v>
      </c>
      <c r="AD1522" s="301">
        <v>80</v>
      </c>
      <c r="AE1522" s="301"/>
      <c r="AF1522" s="301"/>
      <c r="AG1522" s="301"/>
      <c r="AH1522" s="301"/>
      <c r="AI1522" s="301"/>
      <c r="AJ1522" s="301"/>
      <c r="AK1522" s="301"/>
      <c r="AL1522" s="301"/>
    </row>
    <row r="1523" spans="2:38">
      <c r="B1523" s="439" t="str">
        <f>IF($C$1="ENG","door handle","дверна ручка")</f>
        <v>дверна ручка</v>
      </c>
      <c r="C1523" s="440"/>
      <c r="D1523" s="138" t="str">
        <f t="shared" si="134"/>
        <v/>
      </c>
      <c r="E1523" s="256" t="str">
        <f>IF($C$1="ENG","see Handles Price","див. Таблицю Ручки")</f>
        <v>див. Таблицю Ручки</v>
      </c>
      <c r="F1523" s="26"/>
      <c r="G1523" s="26"/>
      <c r="AC1523" s="301"/>
      <c r="AD1523" s="301"/>
      <c r="AE1523" s="301"/>
      <c r="AF1523" s="301"/>
      <c r="AG1523" s="301"/>
      <c r="AH1523" s="301"/>
      <c r="AI1523" s="301"/>
      <c r="AJ1523" s="301"/>
      <c r="AK1523" s="301"/>
      <c r="AL1523" s="301"/>
    </row>
    <row r="1524" spans="2:38" ht="14.25" customHeight="1">
      <c r="C1524" s="26"/>
      <c r="D1524" s="26"/>
      <c r="E1524" s="26"/>
      <c r="F1524" s="26"/>
      <c r="G1524" s="26"/>
      <c r="H1524" s="5"/>
      <c r="T1524" s="460" t="str">
        <f>IF($C$1="ENG",CONCATENATE("down to: ",B1574),CONCATENATE("вниз до: ",B1574))</f>
        <v>вниз до: Полотна скляні: ЛІНЕЯ</v>
      </c>
      <c r="U1524" s="460"/>
      <c r="V1524" s="460"/>
      <c r="W1524" s="460"/>
    </row>
    <row r="1525" spans="2:38" ht="14.25" customHeight="1">
      <c r="C1525" s="26"/>
      <c r="D1525" s="26"/>
      <c r="E1525" s="26"/>
      <c r="F1525" s="26"/>
      <c r="G1525" s="26"/>
      <c r="H1525" s="5"/>
      <c r="T1525" s="119"/>
      <c r="U1525" s="119"/>
      <c r="V1525" s="119"/>
      <c r="W1525" s="119"/>
    </row>
    <row r="1526" spans="2:38" ht="14.25" customHeight="1">
      <c r="C1526" s="26"/>
      <c r="D1526" s="26"/>
      <c r="E1526" s="26"/>
      <c r="F1526" s="26"/>
      <c r="G1526" s="26"/>
      <c r="H1526" s="5"/>
      <c r="T1526" s="119"/>
      <c r="U1526" s="119"/>
      <c r="V1526" s="119"/>
      <c r="W1526" s="119"/>
    </row>
    <row r="1527" spans="2:38" ht="14.25" customHeight="1">
      <c r="C1527" s="26"/>
      <c r="D1527" s="26"/>
      <c r="E1527" s="26"/>
      <c r="F1527" s="26"/>
      <c r="G1527" s="26"/>
      <c r="H1527" s="5"/>
      <c r="T1527" s="119"/>
      <c r="U1527" s="119"/>
      <c r="V1527" s="119"/>
      <c r="W1527" s="119"/>
    </row>
    <row r="1528" spans="2:38" ht="14.25" customHeight="1">
      <c r="C1528" s="26"/>
      <c r="D1528" s="26"/>
      <c r="E1528" s="26"/>
      <c r="F1528" s="26"/>
      <c r="G1528" s="26"/>
      <c r="H1528" s="5"/>
      <c r="T1528" s="119"/>
      <c r="U1528" s="119"/>
      <c r="V1528" s="119"/>
      <c r="W1528" s="119"/>
    </row>
    <row r="1529" spans="2:38" ht="14.25" customHeight="1">
      <c r="C1529" s="26"/>
      <c r="D1529" s="26"/>
      <c r="E1529" s="26"/>
      <c r="F1529" s="26"/>
      <c r="G1529" s="26"/>
      <c r="H1529" s="5"/>
      <c r="T1529" s="119"/>
      <c r="U1529" s="119"/>
      <c r="V1529" s="119"/>
      <c r="W1529" s="119"/>
    </row>
    <row r="1530" spans="2:38" ht="14.25" customHeight="1">
      <c r="C1530" s="26"/>
      <c r="D1530" s="26"/>
      <c r="E1530" s="26"/>
      <c r="F1530" s="26"/>
      <c r="G1530" s="26"/>
      <c r="H1530" s="5"/>
      <c r="T1530" s="119"/>
      <c r="U1530" s="119"/>
      <c r="V1530" s="119"/>
      <c r="W1530" s="119"/>
    </row>
    <row r="1531" spans="2:38" ht="14.25" customHeight="1">
      <c r="C1531" s="26"/>
      <c r="D1531" s="26"/>
      <c r="E1531" s="26"/>
      <c r="F1531" s="26"/>
      <c r="G1531" s="26"/>
      <c r="H1531" s="5"/>
      <c r="T1531" s="119"/>
      <c r="U1531" s="119"/>
      <c r="V1531" s="119"/>
      <c r="W1531" s="119"/>
    </row>
    <row r="1532" spans="2:38" ht="14.25" customHeight="1">
      <c r="C1532" s="26"/>
      <c r="D1532" s="26"/>
      <c r="E1532" s="26"/>
      <c r="F1532" s="26"/>
      <c r="G1532" s="26"/>
      <c r="H1532" s="5"/>
      <c r="T1532" s="119"/>
      <c r="U1532" s="119"/>
      <c r="V1532" s="119"/>
      <c r="W1532" s="119"/>
    </row>
    <row r="1533" spans="2:38" ht="14.25" customHeight="1">
      <c r="C1533" s="26"/>
      <c r="D1533" s="26"/>
      <c r="E1533" s="26"/>
      <c r="F1533" s="26"/>
      <c r="G1533" s="26"/>
      <c r="H1533" s="5"/>
      <c r="T1533" s="119"/>
      <c r="U1533" s="119"/>
      <c r="V1533" s="119"/>
      <c r="W1533" s="119"/>
    </row>
    <row r="1534" spans="2:38" ht="14.25" customHeight="1">
      <c r="C1534" s="26"/>
      <c r="D1534" s="26"/>
      <c r="E1534" s="26"/>
      <c r="F1534" s="26"/>
      <c r="G1534" s="26"/>
      <c r="H1534" s="5"/>
      <c r="T1534" s="119"/>
      <c r="U1534" s="119"/>
      <c r="V1534" s="119"/>
      <c r="W1534" s="119"/>
    </row>
    <row r="1535" spans="2:38" ht="14.25" customHeight="1">
      <c r="C1535" s="26"/>
      <c r="D1535" s="26"/>
      <c r="E1535" s="26"/>
      <c r="F1535" s="26"/>
      <c r="G1535" s="26"/>
      <c r="H1535" s="5"/>
      <c r="T1535" s="119"/>
      <c r="U1535" s="119"/>
      <c r="V1535" s="119"/>
      <c r="W1535" s="119"/>
    </row>
    <row r="1536" spans="2:38" ht="14.25" customHeight="1">
      <c r="C1536" s="26"/>
      <c r="D1536" s="26"/>
      <c r="E1536" s="26"/>
      <c r="F1536" s="26"/>
      <c r="G1536" s="26"/>
      <c r="H1536" s="5"/>
      <c r="T1536" s="119"/>
      <c r="U1536" s="119"/>
      <c r="V1536" s="119"/>
      <c r="W1536" s="119"/>
    </row>
    <row r="1537" spans="3:23" ht="14.25" customHeight="1">
      <c r="C1537" s="26"/>
      <c r="D1537" s="26"/>
      <c r="E1537" s="26"/>
      <c r="F1537" s="26"/>
      <c r="G1537" s="26"/>
      <c r="H1537" s="5"/>
      <c r="T1537" s="119"/>
      <c r="U1537" s="119"/>
      <c r="V1537" s="119"/>
      <c r="W1537" s="119"/>
    </row>
    <row r="1538" spans="3:23" ht="14.25" customHeight="1">
      <c r="C1538" s="26"/>
      <c r="D1538" s="26"/>
      <c r="E1538" s="26"/>
      <c r="F1538" s="26"/>
      <c r="G1538" s="26"/>
      <c r="H1538" s="5"/>
      <c r="T1538" s="119"/>
      <c r="U1538" s="119"/>
      <c r="V1538" s="119"/>
      <c r="W1538" s="119"/>
    </row>
    <row r="1539" spans="3:23" ht="14.25" customHeight="1">
      <c r="C1539" s="26"/>
      <c r="D1539" s="26"/>
      <c r="E1539" s="26"/>
      <c r="F1539" s="26"/>
      <c r="G1539" s="26"/>
      <c r="H1539" s="5"/>
      <c r="T1539" s="119"/>
      <c r="U1539" s="119"/>
      <c r="V1539" s="119"/>
      <c r="W1539" s="119"/>
    </row>
    <row r="1540" spans="3:23" ht="14.25" customHeight="1">
      <c r="C1540" s="26"/>
      <c r="D1540" s="26"/>
      <c r="E1540" s="26"/>
      <c r="F1540" s="26"/>
      <c r="G1540" s="26"/>
      <c r="H1540" s="5"/>
      <c r="T1540" s="119"/>
      <c r="U1540" s="119"/>
      <c r="V1540" s="119"/>
      <c r="W1540" s="119"/>
    </row>
    <row r="1541" spans="3:23" ht="14.25" customHeight="1">
      <c r="C1541" s="26"/>
      <c r="D1541" s="26"/>
      <c r="E1541" s="26"/>
      <c r="F1541" s="26"/>
      <c r="G1541" s="26"/>
      <c r="H1541" s="5"/>
      <c r="T1541" s="119"/>
      <c r="U1541" s="119"/>
      <c r="V1541" s="119"/>
      <c r="W1541" s="119"/>
    </row>
    <row r="1542" spans="3:23" ht="14.25" customHeight="1">
      <c r="C1542" s="26"/>
      <c r="D1542" s="26"/>
      <c r="E1542" s="26"/>
      <c r="F1542" s="26"/>
      <c r="G1542" s="26"/>
      <c r="H1542" s="5"/>
      <c r="T1542" s="119"/>
      <c r="U1542" s="119"/>
      <c r="V1542" s="119"/>
      <c r="W1542" s="119"/>
    </row>
    <row r="1543" spans="3:23" ht="14.25" customHeight="1">
      <c r="C1543" s="26"/>
      <c r="D1543" s="26"/>
      <c r="E1543" s="26"/>
      <c r="F1543" s="26"/>
      <c r="G1543" s="26"/>
      <c r="H1543" s="5"/>
      <c r="T1543" s="119"/>
      <c r="U1543" s="119"/>
      <c r="V1543" s="119"/>
      <c r="W1543" s="119"/>
    </row>
    <row r="1544" spans="3:23" ht="14.25" customHeight="1">
      <c r="C1544" s="26"/>
      <c r="D1544" s="26"/>
      <c r="E1544" s="26"/>
      <c r="F1544" s="26"/>
      <c r="G1544" s="26"/>
      <c r="H1544" s="5"/>
      <c r="T1544" s="119"/>
      <c r="U1544" s="119"/>
      <c r="V1544" s="119"/>
      <c r="W1544" s="119"/>
    </row>
    <row r="1545" spans="3:23" ht="14.25" customHeight="1">
      <c r="C1545" s="26"/>
      <c r="D1545" s="26"/>
      <c r="E1545" s="26"/>
      <c r="F1545" s="26"/>
      <c r="G1545" s="26"/>
      <c r="H1545" s="5"/>
      <c r="T1545" s="119"/>
      <c r="U1545" s="119"/>
      <c r="V1545" s="119"/>
      <c r="W1545" s="119"/>
    </row>
    <row r="1546" spans="3:23" ht="14.25" customHeight="1">
      <c r="C1546" s="26"/>
      <c r="D1546" s="26"/>
      <c r="E1546" s="26"/>
      <c r="F1546" s="26"/>
      <c r="G1546" s="26"/>
      <c r="H1546" s="5"/>
      <c r="T1546" s="119"/>
      <c r="U1546" s="119"/>
      <c r="V1546" s="119"/>
      <c r="W1546" s="119"/>
    </row>
    <row r="1547" spans="3:23" ht="14.25" customHeight="1">
      <c r="C1547" s="26"/>
      <c r="D1547" s="26"/>
      <c r="E1547" s="26"/>
      <c r="F1547" s="26"/>
      <c r="G1547" s="26"/>
      <c r="H1547" s="5"/>
      <c r="T1547" s="119"/>
      <c r="U1547" s="119"/>
      <c r="V1547" s="119"/>
      <c r="W1547" s="119"/>
    </row>
    <row r="1548" spans="3:23" ht="14.25" customHeight="1">
      <c r="C1548" s="26"/>
      <c r="D1548" s="26"/>
      <c r="E1548" s="26"/>
      <c r="F1548" s="26"/>
      <c r="G1548" s="26"/>
      <c r="H1548" s="5"/>
      <c r="T1548" s="119"/>
      <c r="U1548" s="119"/>
      <c r="V1548" s="119"/>
      <c r="W1548" s="119"/>
    </row>
    <row r="1549" spans="3:23" ht="14.25" customHeight="1">
      <c r="C1549" s="26"/>
      <c r="D1549" s="26"/>
      <c r="E1549" s="26"/>
      <c r="F1549" s="26"/>
      <c r="G1549" s="26"/>
      <c r="H1549" s="5"/>
      <c r="T1549" s="119"/>
      <c r="U1549" s="119"/>
      <c r="V1549" s="119"/>
      <c r="W1549" s="119"/>
    </row>
    <row r="1550" spans="3:23" ht="14.25" customHeight="1">
      <c r="C1550" s="26"/>
      <c r="D1550" s="26"/>
      <c r="E1550" s="26"/>
      <c r="F1550" s="26"/>
      <c r="G1550" s="26"/>
      <c r="H1550" s="5"/>
      <c r="T1550" s="119"/>
      <c r="U1550" s="119"/>
      <c r="V1550" s="119"/>
      <c r="W1550" s="119"/>
    </row>
    <row r="1551" spans="3:23" ht="14.25" customHeight="1">
      <c r="C1551" s="26"/>
      <c r="D1551" s="26"/>
      <c r="E1551" s="26"/>
      <c r="F1551" s="26"/>
      <c r="G1551" s="26"/>
      <c r="H1551" s="5"/>
      <c r="T1551" s="119"/>
      <c r="U1551" s="119"/>
      <c r="V1551" s="119"/>
      <c r="W1551" s="119"/>
    </row>
    <row r="1552" spans="3:23" ht="14.25" customHeight="1">
      <c r="C1552" s="26"/>
      <c r="D1552" s="26"/>
      <c r="E1552" s="26"/>
      <c r="F1552" s="26"/>
      <c r="G1552" s="26"/>
      <c r="H1552" s="5"/>
    </row>
    <row r="1553" spans="3:8" ht="14.25" customHeight="1">
      <c r="C1553" s="26"/>
      <c r="D1553" s="26"/>
      <c r="E1553" s="26"/>
      <c r="F1553" s="26"/>
      <c r="G1553" s="26"/>
      <c r="H1553" s="5"/>
    </row>
    <row r="1554" spans="3:8" ht="14.25" customHeight="1">
      <c r="C1554" s="26"/>
      <c r="D1554" s="26"/>
      <c r="E1554" s="26"/>
      <c r="F1554" s="26"/>
      <c r="G1554" s="26"/>
      <c r="H1554" s="5"/>
    </row>
    <row r="1555" spans="3:8" ht="14.25" customHeight="1">
      <c r="C1555" s="26"/>
      <c r="D1555" s="26"/>
      <c r="E1555" s="26"/>
      <c r="F1555" s="26"/>
      <c r="G1555" s="26"/>
      <c r="H1555" s="5"/>
    </row>
    <row r="1556" spans="3:8" ht="14.25" customHeight="1">
      <c r="C1556" s="26"/>
      <c r="D1556" s="26"/>
      <c r="E1556" s="26"/>
      <c r="F1556" s="26"/>
      <c r="G1556" s="26"/>
      <c r="H1556" s="5"/>
    </row>
    <row r="1557" spans="3:8" ht="14.25" customHeight="1">
      <c r="C1557" s="26"/>
      <c r="D1557" s="26"/>
      <c r="E1557" s="26"/>
      <c r="F1557" s="26"/>
      <c r="G1557" s="26"/>
      <c r="H1557" s="5"/>
    </row>
    <row r="1558" spans="3:8" ht="14.25" customHeight="1">
      <c r="C1558" s="26"/>
      <c r="D1558" s="26"/>
      <c r="E1558" s="26"/>
      <c r="F1558" s="26"/>
      <c r="G1558" s="26"/>
      <c r="H1558" s="5"/>
    </row>
    <row r="1559" spans="3:8" ht="14.25" customHeight="1">
      <c r="C1559" s="26"/>
      <c r="D1559" s="26"/>
      <c r="E1559" s="26"/>
      <c r="F1559" s="26"/>
      <c r="G1559" s="26"/>
      <c r="H1559" s="5"/>
    </row>
    <row r="1560" spans="3:8" ht="14.25" customHeight="1">
      <c r="C1560" s="26"/>
      <c r="D1560" s="26"/>
      <c r="E1560" s="26"/>
      <c r="F1560" s="26"/>
      <c r="G1560" s="26"/>
      <c r="H1560" s="5"/>
    </row>
    <row r="1561" spans="3:8" ht="14.25" customHeight="1">
      <c r="C1561" s="26"/>
      <c r="D1561" s="26"/>
      <c r="E1561" s="26"/>
      <c r="F1561" s="26"/>
      <c r="G1561" s="26"/>
      <c r="H1561" s="5"/>
    </row>
    <row r="1562" spans="3:8" ht="14.25" customHeight="1">
      <c r="C1562" s="26"/>
      <c r="D1562" s="26"/>
      <c r="E1562" s="26"/>
      <c r="F1562" s="26"/>
      <c r="G1562" s="26"/>
      <c r="H1562" s="5"/>
    </row>
    <row r="1563" spans="3:8" ht="14.25" customHeight="1">
      <c r="C1563" s="26"/>
      <c r="D1563" s="26"/>
      <c r="E1563" s="26"/>
      <c r="F1563" s="26"/>
      <c r="G1563" s="26"/>
      <c r="H1563" s="5"/>
    </row>
    <row r="1564" spans="3:8" ht="14.25" customHeight="1">
      <c r="C1564" s="26"/>
      <c r="D1564" s="26"/>
      <c r="E1564" s="26"/>
      <c r="F1564" s="26"/>
      <c r="G1564" s="26"/>
      <c r="H1564" s="5"/>
    </row>
    <row r="1565" spans="3:8" ht="14.25" customHeight="1">
      <c r="C1565" s="26"/>
      <c r="D1565" s="26"/>
      <c r="E1565" s="26"/>
      <c r="F1565" s="26"/>
      <c r="G1565" s="26"/>
      <c r="H1565" s="5"/>
    </row>
    <row r="1566" spans="3:8" ht="14.25" customHeight="1">
      <c r="C1566" s="26"/>
      <c r="D1566" s="26"/>
      <c r="E1566" s="26"/>
      <c r="F1566" s="26"/>
      <c r="G1566" s="26"/>
      <c r="H1566" s="5"/>
    </row>
    <row r="1567" spans="3:8" ht="14.25" customHeight="1">
      <c r="C1567" s="26"/>
      <c r="D1567" s="26"/>
      <c r="E1567" s="26"/>
      <c r="F1567" s="26"/>
      <c r="G1567" s="26"/>
      <c r="H1567" s="5"/>
    </row>
    <row r="1568" spans="3:8" ht="14.25" customHeight="1">
      <c r="C1568" s="26"/>
      <c r="D1568" s="26"/>
      <c r="E1568" s="26"/>
      <c r="F1568" s="26"/>
      <c r="G1568" s="26"/>
      <c r="H1568" s="5"/>
    </row>
    <row r="1569" spans="1:46" ht="14.25" customHeight="1">
      <c r="C1569" s="26"/>
      <c r="D1569" s="26"/>
      <c r="E1569" s="26"/>
      <c r="F1569" s="26"/>
      <c r="G1569" s="26"/>
      <c r="H1569" s="5"/>
    </row>
    <row r="1570" spans="1:46" ht="14.25" customHeight="1">
      <c r="C1570" s="26"/>
      <c r="D1570" s="26"/>
      <c r="E1570" s="26"/>
      <c r="F1570" s="26"/>
      <c r="G1570" s="26"/>
      <c r="H1570" s="5"/>
    </row>
    <row r="1571" spans="1:46" ht="14.25" customHeight="1">
      <c r="C1571" s="26"/>
      <c r="D1571" s="26"/>
      <c r="E1571" s="26"/>
      <c r="F1571" s="26"/>
      <c r="G1571" s="26"/>
      <c r="H1571" s="5"/>
    </row>
    <row r="1572" spans="1:46" ht="14.25" customHeight="1">
      <c r="C1572" s="26"/>
      <c r="D1572" s="26"/>
      <c r="E1572" s="26"/>
      <c r="F1572" s="26"/>
      <c r="G1572" s="26"/>
      <c r="H1572" s="5"/>
    </row>
    <row r="1573" spans="1:46" s="8" customFormat="1">
      <c r="B1573" s="1"/>
      <c r="C1573" s="26"/>
      <c r="D1573" s="26"/>
      <c r="E1573" s="26"/>
      <c r="F1573" s="26"/>
      <c r="G1573" s="26"/>
      <c r="H1573" s="5"/>
      <c r="I1573" s="1"/>
      <c r="J1573" s="1"/>
      <c r="K1573" s="1"/>
      <c r="AN1573" s="291"/>
      <c r="AO1573" s="291"/>
      <c r="AP1573" s="291"/>
      <c r="AQ1573" s="291"/>
      <c r="AR1573" s="291"/>
      <c r="AS1573" s="291"/>
      <c r="AT1573" s="291"/>
    </row>
    <row r="1574" spans="1:46" s="8" customFormat="1" ht="12.75" customHeight="1">
      <c r="B1574" s="421" t="str">
        <f>TITLE!$C$29</f>
        <v>Полотна скляні: ЛІНЕЯ</v>
      </c>
      <c r="C1574" s="421"/>
      <c r="D1574" s="122"/>
      <c r="E1574" s="122"/>
      <c r="F1574" s="122"/>
      <c r="G1574" s="122"/>
      <c r="H1574" s="122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419" t="str">
        <f>IF($C$1="ENG",CONCATENATE("up to: ",B1501),CONCATENATE("вгору до: ",B1501))</f>
        <v>вгору до: Полотна збірні: ПОЛО</v>
      </c>
      <c r="U1574" s="419"/>
      <c r="V1574" s="419"/>
      <c r="W1574" s="419"/>
      <c r="AN1574" s="291"/>
      <c r="AO1574" s="291"/>
      <c r="AP1574" s="291"/>
      <c r="AQ1574" s="291"/>
      <c r="AR1574" s="291"/>
      <c r="AS1574" s="291"/>
      <c r="AT1574" s="291"/>
    </row>
    <row r="1575" spans="1:46" ht="4.5" customHeight="1">
      <c r="A1575" s="8"/>
      <c r="B1575" s="121"/>
      <c r="C1575" s="121"/>
      <c r="D1575" s="10"/>
      <c r="E1575" s="10"/>
      <c r="F1575" s="10"/>
      <c r="G1575" s="10"/>
      <c r="H1575" s="10"/>
      <c r="I1575" s="8"/>
      <c r="J1575" s="8"/>
      <c r="K1575" s="8"/>
      <c r="L1575" s="8"/>
      <c r="M1575" s="11"/>
      <c r="P1575" s="8"/>
      <c r="Q1575" s="11"/>
    </row>
    <row r="1576" spans="1:46" ht="12.75" customHeight="1">
      <c r="A1576" s="8"/>
      <c r="B1576" s="448" t="str">
        <f>IF($C$1="ENG","model","модель")</f>
        <v>модель</v>
      </c>
      <c r="C1576" s="126" t="str">
        <f>IF($C$1="ENG","cover:","покриття:")</f>
        <v>покриття:</v>
      </c>
      <c r="D1576" s="430" t="str">
        <f>IF($C$1="ENG"," VERTO-CELL","VERTO-CELL")</f>
        <v>VERTO-CELL</v>
      </c>
      <c r="E1576" s="431"/>
      <c r="F1576" s="431"/>
      <c r="G1576" s="431"/>
      <c r="H1576" s="431"/>
      <c r="I1576" s="432"/>
      <c r="J1576" s="324"/>
      <c r="K1576" s="324"/>
      <c r="L1576" s="8"/>
      <c r="M1576" s="11"/>
      <c r="P1576" s="8"/>
      <c r="Q1576" s="11"/>
      <c r="AH1576" s="1">
        <f>AF1579-AJ1579</f>
        <v>-1120</v>
      </c>
      <c r="AM1576" s="22">
        <f>AD1579-AC1579</f>
        <v>730</v>
      </c>
      <c r="AN1576" s="30">
        <f>AE1579-AC1579</f>
        <v>1120</v>
      </c>
    </row>
    <row r="1577" spans="1:46" ht="12.75" customHeight="1">
      <c r="A1577" s="8"/>
      <c r="B1577" s="449"/>
      <c r="C1577" s="127" t="str">
        <f>IF($C$1="ENG","filling:","заповнення:")</f>
        <v>заповнення:</v>
      </c>
      <c r="D1577" s="441" t="str">
        <f>IF($C$1="ENG","honeycomb core ","сотове заповнення")</f>
        <v>сотове заповнення</v>
      </c>
      <c r="E1577" s="469"/>
      <c r="F1577" s="469"/>
      <c r="G1577" s="469"/>
      <c r="H1577" s="469"/>
      <c r="I1577" s="442"/>
      <c r="J1577" s="324"/>
      <c r="K1577" s="324"/>
      <c r="L1577" s="8"/>
      <c r="M1577" s="11"/>
      <c r="P1577" s="8"/>
      <c r="Q1577" s="11"/>
      <c r="AD1577" s="22"/>
    </row>
    <row r="1578" spans="1:46">
      <c r="A1578" s="8"/>
      <c r="B1578" s="450"/>
      <c r="C1578" s="128" t="str">
        <f>IF($C$1="ENG","glazing:","скління:")</f>
        <v>скління:</v>
      </c>
      <c r="D1578" s="424" t="str">
        <f>IF($C$1="ENG","Satin","Сатин")</f>
        <v>Сатин</v>
      </c>
      <c r="E1578" s="434"/>
      <c r="F1578" s="424" t="str">
        <f>IF($C$1="ENG","Graphite / Bronze","Графіт / Бронза")</f>
        <v>Графіт / Бронза</v>
      </c>
      <c r="G1578" s="438"/>
      <c r="H1578" s="433" t="str">
        <f>IF($C$1="ENG","Triplex mat / black","Триплекс мат/чорн")</f>
        <v>Триплекс мат/чорн</v>
      </c>
      <c r="I1578" s="434"/>
      <c r="J1578" s="468"/>
      <c r="K1578" s="468"/>
      <c r="L1578" s="108"/>
      <c r="M1578" s="62"/>
      <c r="N1578" s="108"/>
      <c r="O1578" s="62"/>
      <c r="P1578" s="108"/>
      <c r="Q1578" s="62"/>
      <c r="R1578" s="108"/>
      <c r="S1578" s="62"/>
      <c r="T1578" s="108"/>
      <c r="U1578" s="20"/>
      <c r="V1578" s="108"/>
      <c r="W1578" s="20"/>
      <c r="X1578" s="22"/>
      <c r="Y1578" s="22"/>
      <c r="Z1578" s="22"/>
      <c r="AA1578" s="22"/>
      <c r="AB1578" s="22"/>
      <c r="AE1578" s="22"/>
    </row>
    <row r="1579" spans="1:46" ht="35.1" customHeight="1">
      <c r="A1579" s="8"/>
      <c r="B1579" s="13">
        <v>1</v>
      </c>
      <c r="C1579" s="14"/>
      <c r="D1579" s="15">
        <f>IF(AC1579="","",(1-$W$2)*(AC1579/1.2))</f>
        <v>4033.3333333333335</v>
      </c>
      <c r="E1579" s="276">
        <f>IF($W$5=0.2,D1579*1.2,D1579)/$W$4</f>
        <v>4840</v>
      </c>
      <c r="F1579" s="15">
        <f>IF(AD1579="","",(1-$W$2)*(AD1579/1.2))</f>
        <v>4641.666666666667</v>
      </c>
      <c r="G1579" s="276">
        <f>IF($W$5=0.2,F1579*1.2,F1579)/$W$4</f>
        <v>5570</v>
      </c>
      <c r="H1579" s="279">
        <f>IF(AE1579="","",(1-$W$2)*(AE1579/1.2))</f>
        <v>4966.666666666667</v>
      </c>
      <c r="I1579" s="67">
        <f>IF($W$5=0.2,H1579*1.2,H1579)/$W$4</f>
        <v>5960</v>
      </c>
      <c r="J1579" s="28"/>
      <c r="K1579" s="62"/>
      <c r="L1579" s="108"/>
      <c r="M1579" s="62"/>
      <c r="N1579" s="108"/>
      <c r="O1579" s="62"/>
      <c r="P1579" s="108"/>
      <c r="Q1579" s="62"/>
      <c r="R1579" s="108"/>
      <c r="S1579" s="62"/>
      <c r="T1579" s="108"/>
      <c r="U1579" s="20"/>
      <c r="V1579" s="108"/>
      <c r="W1579" s="20"/>
      <c r="AC1579" s="346">
        <v>4840</v>
      </c>
      <c r="AD1579" s="414">
        <v>5570</v>
      </c>
      <c r="AE1579" s="414">
        <v>5960</v>
      </c>
      <c r="AF1579" s="301">
        <v>4840</v>
      </c>
      <c r="AG1579" s="301">
        <f>AF1579/AC1579-1</f>
        <v>0</v>
      </c>
      <c r="AH1579" s="301">
        <v>5570</v>
      </c>
      <c r="AI1579" s="301">
        <f>AH1579/AD1579-1</f>
        <v>0</v>
      </c>
      <c r="AJ1579" s="301">
        <v>5960</v>
      </c>
      <c r="AK1579" s="301">
        <f>AJ1579/AE1579-1</f>
        <v>0</v>
      </c>
      <c r="AL1579" s="301"/>
      <c r="AO1579" s="22"/>
    </row>
    <row r="1580" spans="1:46" ht="35.1" customHeight="1">
      <c r="A1580" s="8"/>
      <c r="B1580" s="16">
        <v>3</v>
      </c>
      <c r="C1580" s="17"/>
      <c r="D1580" s="18">
        <f>IF(AC1580="","",(1-$W$2)*(AC1580/1.2))</f>
        <v>5700</v>
      </c>
      <c r="E1580" s="277">
        <f>IF($W$5=0.2,D1580*1.2,D1580)/$W$4</f>
        <v>6840</v>
      </c>
      <c r="F1580" s="18">
        <f>IF(AD1580="","",(1-$W$2)*(AD1580/1.2))</f>
        <v>6500</v>
      </c>
      <c r="G1580" s="277">
        <f>IF($W$5=0.2,F1580*1.2,F1580)/$W$4</f>
        <v>7800</v>
      </c>
      <c r="H1580" s="280">
        <f>IF(AE1580="","",(1-$W$2)*(AE1580/1.2))</f>
        <v>6825</v>
      </c>
      <c r="I1580" s="69">
        <f>IF($W$5=0.2,H1580*1.2,H1580)/$W$4</f>
        <v>8190</v>
      </c>
      <c r="J1580" s="28"/>
      <c r="K1580" s="62"/>
      <c r="L1580" s="108"/>
      <c r="M1580" s="62"/>
      <c r="N1580" s="108"/>
      <c r="O1580" s="62"/>
      <c r="P1580" s="108"/>
      <c r="Q1580" s="62"/>
      <c r="R1580" s="108"/>
      <c r="S1580" s="62"/>
      <c r="T1580" s="108"/>
      <c r="U1580" s="20"/>
      <c r="V1580" s="108"/>
      <c r="W1580" s="20"/>
      <c r="AC1580" s="346">
        <v>6840</v>
      </c>
      <c r="AD1580" s="414">
        <v>7800</v>
      </c>
      <c r="AE1580" s="414">
        <v>8190</v>
      </c>
      <c r="AF1580" s="301">
        <v>6840</v>
      </c>
      <c r="AG1580" s="301">
        <f t="shared" ref="AG1580:AI1581" si="136">AF1580/AC1580-1</f>
        <v>0</v>
      </c>
      <c r="AH1580" s="301">
        <v>7800</v>
      </c>
      <c r="AI1580" s="301">
        <f t="shared" ref="AI1580:AK1581" si="137">AH1580/AD1580-1</f>
        <v>0</v>
      </c>
      <c r="AJ1580" s="301">
        <v>8190</v>
      </c>
      <c r="AK1580" s="301">
        <f t="shared" ref="AK1580:AK1581" si="138">AJ1580/AE1580-1</f>
        <v>0</v>
      </c>
      <c r="AL1580" s="301"/>
      <c r="AM1580" s="22"/>
      <c r="AO1580" s="22"/>
    </row>
    <row r="1581" spans="1:46" ht="34.5" customHeight="1">
      <c r="B1581" s="23">
        <v>4</v>
      </c>
      <c r="C1581" s="24"/>
      <c r="D1581" s="25">
        <f>IF(AC1581="","",(1-$W$2)*(AC1581/1.2))</f>
        <v>6016.666666666667</v>
      </c>
      <c r="E1581" s="278">
        <f>IF($W$5=0.2,D1581*1.2,D1581)/$W$4</f>
        <v>7220</v>
      </c>
      <c r="F1581" s="25">
        <f>IF(AD1581="","",(1-$W$2)*(AD1581/1.2))</f>
        <v>6933.3333333333339</v>
      </c>
      <c r="G1581" s="278">
        <f>IF($W$5=0.2,F1581*1.2,F1581)/$W$4</f>
        <v>8320</v>
      </c>
      <c r="H1581" s="281">
        <f>IF(AE1581="","",(1-$W$2)*(AE1581/1.2))</f>
        <v>7416.666666666667</v>
      </c>
      <c r="I1581" s="72">
        <f>IF($W$5=0.2,H1581*1.2,H1581)/$W$4</f>
        <v>8900</v>
      </c>
      <c r="J1581" s="28"/>
      <c r="K1581" s="62"/>
      <c r="L1581" s="8"/>
      <c r="O1581" s="62"/>
      <c r="P1581" s="8"/>
      <c r="S1581" s="62"/>
      <c r="T1581" s="108"/>
      <c r="U1581" s="20"/>
      <c r="AC1581" s="346">
        <v>7220</v>
      </c>
      <c r="AD1581" s="414">
        <v>8320</v>
      </c>
      <c r="AE1581" s="414">
        <v>8900</v>
      </c>
      <c r="AF1581" s="301">
        <v>7220</v>
      </c>
      <c r="AG1581" s="301">
        <f t="shared" si="136"/>
        <v>0</v>
      </c>
      <c r="AH1581" s="301">
        <v>8320</v>
      </c>
      <c r="AI1581" s="301">
        <f t="shared" si="137"/>
        <v>0</v>
      </c>
      <c r="AJ1581" s="301">
        <v>8900</v>
      </c>
      <c r="AK1581" s="301">
        <f t="shared" si="138"/>
        <v>0</v>
      </c>
      <c r="AL1581" s="301"/>
      <c r="AM1581" s="22"/>
      <c r="AO1581" s="22"/>
    </row>
    <row r="1582" spans="1:46">
      <c r="C1582" s="26"/>
      <c r="D1582" s="26"/>
      <c r="E1582" s="60"/>
      <c r="F1582" s="26"/>
      <c r="G1582" s="60"/>
      <c r="H1582" s="10"/>
      <c r="I1582" s="147"/>
      <c r="J1582" s="48"/>
      <c r="K1582" s="147"/>
      <c r="L1582" s="8"/>
      <c r="P1582" s="8"/>
    </row>
    <row r="1583" spans="1:46" ht="12.75" customHeight="1">
      <c r="B1583" s="220" t="str">
        <f>IF($C$1="ENG","For additonal charge:","Послуги за додаткову плату:")</f>
        <v>Послуги за додаткову плату:</v>
      </c>
      <c r="C1583" s="221"/>
      <c r="D1583" s="221"/>
      <c r="E1583" s="222"/>
      <c r="F1583" s="26"/>
      <c r="G1583" s="60"/>
      <c r="H1583" s="10"/>
      <c r="I1583" s="87"/>
      <c r="J1583" s="8"/>
      <c r="K1583" s="87"/>
    </row>
    <row r="1584" spans="1:46" ht="4.5" customHeight="1">
      <c r="B1584" s="103"/>
      <c r="C1584" s="39"/>
      <c r="D1584" s="26"/>
      <c r="E1584" s="60"/>
      <c r="F1584" s="26"/>
      <c r="G1584" s="60"/>
      <c r="H1584" s="10"/>
      <c r="I1584" s="87"/>
      <c r="K1584" s="20"/>
    </row>
    <row r="1585" spans="2:38">
      <c r="B1585" s="446" t="str">
        <f>IF($C$1="ENG","door leaf with width 100","полотно розміром 100")</f>
        <v>полотно розміром 100</v>
      </c>
      <c r="C1585" s="447"/>
      <c r="D1585" s="15">
        <f t="shared" ref="D1585:D1594" si="139">IF(AC1585="","",(1-$W$2)*(AC1585/1.2))</f>
        <v>566.66666666666674</v>
      </c>
      <c r="E1585" s="96">
        <f>IF($W$5=0.2,D1585*1.2,D1585)/$W$4</f>
        <v>680.00000000000011</v>
      </c>
      <c r="F1585" s="145"/>
      <c r="G1585" s="60"/>
      <c r="H1585" s="10"/>
      <c r="I1585" s="87"/>
      <c r="K1585" s="20"/>
      <c r="AC1585" s="301">
        <v>680</v>
      </c>
      <c r="AD1585" s="301">
        <v>680</v>
      </c>
      <c r="AE1585" s="301">
        <f>AD1585/AC1585-1</f>
        <v>0</v>
      </c>
      <c r="AF1585" s="301"/>
      <c r="AG1585" s="301"/>
      <c r="AH1585" s="301"/>
      <c r="AI1585" s="301"/>
      <c r="AJ1585" s="301"/>
      <c r="AK1585" s="301"/>
      <c r="AL1585" s="301"/>
    </row>
    <row r="1586" spans="2:38">
      <c r="B1586" s="439" t="str">
        <f>IF($C$1="ENG","glazing Graphite / Bronze","скло Графіт / Бронза")</f>
        <v>скло Графіт / Бронза</v>
      </c>
      <c r="C1586" s="440"/>
      <c r="D1586" s="137">
        <f t="shared" si="139"/>
        <v>0</v>
      </c>
      <c r="E1586" s="140" t="str">
        <f>IF($C$1="ENG","see Glazing Price","див. Таблицю Ціни")</f>
        <v>див. Таблицю Ціни</v>
      </c>
      <c r="F1586" s="145"/>
      <c r="G1586" s="145"/>
      <c r="AC1586" s="301">
        <f t="shared" ref="AC1586:AD1594" si="140">AB1586/100*13+AB1586</f>
        <v>0</v>
      </c>
      <c r="AD1586" s="301">
        <f t="shared" si="140"/>
        <v>0</v>
      </c>
      <c r="AE1586" s="301" t="e">
        <f t="shared" ref="AE1586:AE1594" si="141">AD1586/AC1586-1</f>
        <v>#DIV/0!</v>
      </c>
      <c r="AF1586" s="301"/>
      <c r="AG1586" s="301"/>
      <c r="AH1586" s="301"/>
      <c r="AI1586" s="301"/>
      <c r="AJ1586" s="301"/>
      <c r="AK1586" s="301"/>
      <c r="AL1586" s="301"/>
    </row>
    <row r="1587" spans="2:38">
      <c r="B1587" s="439" t="str">
        <f>IF($C$1="ENG","glazing Triplex mat / black","скло Триплекс матовий / чорний")</f>
        <v>скло Триплекс матовий / чорний</v>
      </c>
      <c r="C1587" s="440"/>
      <c r="D1587" s="137">
        <f t="shared" si="139"/>
        <v>0</v>
      </c>
      <c r="E1587" s="140" t="str">
        <f>IF($C$1="ENG","see Glazing Price","див. Таблицю Ціни")</f>
        <v>див. Таблицю Ціни</v>
      </c>
      <c r="F1587" s="145"/>
      <c r="G1587" s="145"/>
      <c r="AC1587" s="301">
        <f t="shared" si="140"/>
        <v>0</v>
      </c>
      <c r="AD1587" s="301">
        <f t="shared" si="140"/>
        <v>0</v>
      </c>
      <c r="AE1587" s="301" t="e">
        <f t="shared" si="141"/>
        <v>#DIV/0!</v>
      </c>
      <c r="AF1587" s="301"/>
      <c r="AG1587" s="301"/>
      <c r="AH1587" s="301"/>
      <c r="AI1587" s="301"/>
      <c r="AJ1587" s="301"/>
      <c r="AK1587" s="301"/>
      <c r="AL1587" s="301"/>
    </row>
    <row r="1588" spans="2:38">
      <c r="B1588" s="439" t="str">
        <f>IF($C$1="ENG","door lock Soft","замок Soft")</f>
        <v>замок Soft</v>
      </c>
      <c r="C1588" s="440"/>
      <c r="D1588" s="106">
        <f t="shared" si="139"/>
        <v>458.33333333333337</v>
      </c>
      <c r="E1588" s="97">
        <f>IF($W$5=0.2,D1588*1.2,D1588)/$W$4</f>
        <v>550</v>
      </c>
      <c r="F1588" s="26"/>
      <c r="G1588" s="26"/>
      <c r="H1588" s="5"/>
      <c r="AC1588" s="301">
        <v>550</v>
      </c>
      <c r="AD1588" s="301">
        <v>550</v>
      </c>
      <c r="AE1588" s="301">
        <f t="shared" si="141"/>
        <v>0</v>
      </c>
      <c r="AF1588" s="301"/>
      <c r="AG1588" s="301"/>
      <c r="AH1588" s="301"/>
      <c r="AI1588" s="301"/>
      <c r="AJ1588" s="301"/>
      <c r="AK1588" s="301"/>
      <c r="AL1588" s="301"/>
    </row>
    <row r="1589" spans="2:38">
      <c r="B1589" s="439" t="str">
        <f>IF($C$1="ENG","door lock Magnet","замок Magnet")</f>
        <v>замок Magnet</v>
      </c>
      <c r="C1589" s="440"/>
      <c r="D1589" s="106">
        <f t="shared" si="139"/>
        <v>666.66666666666674</v>
      </c>
      <c r="E1589" s="97">
        <f>IF($W$5=0.2,D1589*1.2,D1589)/$W$4</f>
        <v>800.00000000000011</v>
      </c>
      <c r="F1589" s="26"/>
      <c r="G1589" s="26"/>
      <c r="H1589" s="5"/>
      <c r="AC1589" s="301">
        <v>800</v>
      </c>
      <c r="AD1589" s="301">
        <v>800</v>
      </c>
      <c r="AE1589" s="301">
        <f t="shared" si="141"/>
        <v>0</v>
      </c>
      <c r="AF1589" s="301"/>
      <c r="AG1589" s="301"/>
      <c r="AH1589" s="301"/>
      <c r="AI1589" s="301"/>
      <c r="AJ1589" s="301"/>
      <c r="AK1589" s="301"/>
      <c r="AL1589" s="301"/>
    </row>
    <row r="1590" spans="2:38">
      <c r="B1590" s="439" t="str">
        <f>IF($C$1="ENG","cylinder incert","циліндр несиметричний")</f>
        <v>циліндр несиметричний</v>
      </c>
      <c r="C1590" s="440"/>
      <c r="D1590" s="137">
        <f t="shared" si="139"/>
        <v>316.66666666666669</v>
      </c>
      <c r="E1590" s="69">
        <f>IF($W$5=0.2,D1590*1.2,D1590)/$W$4</f>
        <v>380</v>
      </c>
      <c r="F1590" s="26"/>
      <c r="G1590" s="26"/>
      <c r="AC1590" s="301">
        <v>380</v>
      </c>
      <c r="AD1590" s="301">
        <v>380</v>
      </c>
      <c r="AE1590" s="301">
        <f t="shared" si="141"/>
        <v>0</v>
      </c>
      <c r="AF1590" s="301"/>
      <c r="AG1590" s="301"/>
      <c r="AH1590" s="301"/>
      <c r="AI1590" s="301"/>
      <c r="AJ1590" s="301"/>
      <c r="AK1590" s="301"/>
      <c r="AL1590" s="301"/>
    </row>
    <row r="1591" spans="2:38">
      <c r="B1591" s="439" t="str">
        <f>IF($C$1="ENG","door hindge Prestige (1 unit)","завіса Prestige (1 шт)")</f>
        <v>завіса Prestige (1 шт)</v>
      </c>
      <c r="C1591" s="440"/>
      <c r="D1591" s="139">
        <f t="shared" si="139"/>
        <v>216.66666666666669</v>
      </c>
      <c r="E1591" s="69">
        <f>IF($W$5=0.2,D1591*1.2,D1591)/$W$4</f>
        <v>260</v>
      </c>
      <c r="F1591" s="26"/>
      <c r="G1591" s="26"/>
      <c r="AC1591" s="301">
        <v>260</v>
      </c>
      <c r="AD1591" s="301">
        <v>260</v>
      </c>
      <c r="AE1591" s="301">
        <f t="shared" si="141"/>
        <v>0</v>
      </c>
      <c r="AF1591" s="301"/>
      <c r="AG1591" s="301"/>
      <c r="AH1591" s="301"/>
      <c r="AI1591" s="301"/>
      <c r="AJ1591" s="301"/>
      <c r="AK1591" s="301"/>
      <c r="AL1591" s="301"/>
    </row>
    <row r="1592" spans="2:38">
      <c r="B1592" s="439" t="str">
        <f>IF($C$1="ENG","door hinge caps (1 set)","накладка на завіси (1 к-т)")</f>
        <v>накладка на завіси (1 к-т)</v>
      </c>
      <c r="C1592" s="440"/>
      <c r="D1592" s="139">
        <f t="shared" si="139"/>
        <v>66.666666666666671</v>
      </c>
      <c r="E1592" s="69">
        <f>IF($W$5=0.2,D1592*1.2,D1592)/$W$4</f>
        <v>80</v>
      </c>
      <c r="F1592" s="26"/>
      <c r="G1592" s="26"/>
      <c r="AC1592" s="301">
        <v>80</v>
      </c>
      <c r="AD1592" s="301">
        <v>80</v>
      </c>
      <c r="AE1592" s="301">
        <f t="shared" si="141"/>
        <v>0</v>
      </c>
      <c r="AF1592" s="301"/>
      <c r="AG1592" s="301"/>
      <c r="AH1592" s="301"/>
      <c r="AI1592" s="301"/>
      <c r="AJ1592" s="301"/>
      <c r="AK1592" s="301"/>
      <c r="AL1592" s="301"/>
    </row>
    <row r="1593" spans="2:38">
      <c r="B1593" s="439" t="str">
        <f>IF($C$1="ENG","door handle","дверна ручка")</f>
        <v>дверна ручка</v>
      </c>
      <c r="C1593" s="440"/>
      <c r="D1593" s="137">
        <f t="shared" si="139"/>
        <v>0</v>
      </c>
      <c r="E1593" s="140" t="str">
        <f>IF($C$1="ENG","see Handles Price","див. Таблицю Ручки")</f>
        <v>див. Таблицю Ручки</v>
      </c>
      <c r="F1593" s="26"/>
      <c r="G1593" s="26"/>
      <c r="AC1593" s="301">
        <f t="shared" si="140"/>
        <v>0</v>
      </c>
      <c r="AD1593" s="301">
        <f t="shared" si="140"/>
        <v>0</v>
      </c>
      <c r="AE1593" s="301" t="e">
        <f t="shared" si="141"/>
        <v>#DIV/0!</v>
      </c>
      <c r="AF1593" s="301"/>
      <c r="AG1593" s="301"/>
      <c r="AH1593" s="301"/>
      <c r="AI1593" s="301"/>
      <c r="AJ1593" s="301"/>
      <c r="AK1593" s="301"/>
      <c r="AL1593" s="301"/>
    </row>
    <row r="1594" spans="2:38" ht="14.25" customHeight="1">
      <c r="B1594" s="439" t="str">
        <f>IF($C$1="ENG","perforated chipboard","ДСП трубчасте")</f>
        <v>ДСП трубчасте</v>
      </c>
      <c r="C1594" s="440"/>
      <c r="D1594" s="138">
        <f t="shared" si="139"/>
        <v>775</v>
      </c>
      <c r="E1594" s="72">
        <f>IF($W$5=0.2,D1594*1.2,D1594)/$W$4</f>
        <v>930</v>
      </c>
      <c r="F1594" s="26"/>
      <c r="G1594" s="26"/>
      <c r="AC1594" s="301">
        <v>930</v>
      </c>
      <c r="AD1594" s="301">
        <v>930</v>
      </c>
      <c r="AE1594" s="301">
        <f t="shared" si="141"/>
        <v>0</v>
      </c>
      <c r="AF1594" s="301"/>
      <c r="AG1594" s="301"/>
      <c r="AH1594" s="301"/>
      <c r="AI1594" s="301"/>
      <c r="AJ1594" s="301"/>
      <c r="AK1594" s="301"/>
      <c r="AL1594" s="301"/>
    </row>
    <row r="1595" spans="2:38" ht="14.25" customHeight="1">
      <c r="C1595" s="26"/>
      <c r="D1595" s="26"/>
      <c r="E1595" s="26"/>
      <c r="F1595" s="26"/>
      <c r="G1595" s="26"/>
      <c r="H1595" s="5"/>
      <c r="U1595" s="460" t="str">
        <f>IF($C$1="ENG",CONCATENATE("down to: ",B1645),CONCATENATE("вниз до: ",B1645))</f>
        <v>вниз до: Полотна скляні: ЛАЙН</v>
      </c>
      <c r="V1595" s="460"/>
      <c r="W1595" s="460"/>
      <c r="X1595" s="316"/>
      <c r="Y1595" s="316"/>
      <c r="Z1595" s="316"/>
      <c r="AA1595" s="316"/>
      <c r="AB1595" s="316"/>
    </row>
    <row r="1596" spans="2:38" ht="14.25" customHeight="1">
      <c r="C1596" s="26"/>
      <c r="D1596" s="26"/>
      <c r="E1596" s="26"/>
      <c r="F1596" s="26"/>
      <c r="G1596" s="26"/>
      <c r="H1596" s="5"/>
    </row>
    <row r="1597" spans="2:38" ht="14.25" customHeight="1">
      <c r="C1597" s="26"/>
      <c r="D1597" s="26"/>
      <c r="E1597" s="26"/>
      <c r="F1597" s="26"/>
      <c r="G1597" s="26"/>
      <c r="H1597" s="5"/>
    </row>
    <row r="1598" spans="2:38" ht="14.25" customHeight="1">
      <c r="C1598" s="26"/>
      <c r="D1598" s="26"/>
      <c r="E1598" s="26"/>
      <c r="F1598" s="26"/>
      <c r="G1598" s="26"/>
      <c r="H1598" s="5"/>
    </row>
    <row r="1599" spans="2:38" ht="14.25" customHeight="1">
      <c r="C1599" s="26"/>
      <c r="D1599" s="26"/>
      <c r="E1599" s="26"/>
      <c r="F1599" s="26"/>
      <c r="G1599" s="26"/>
      <c r="H1599" s="5"/>
    </row>
    <row r="1600" spans="2:38" ht="14.25" customHeight="1">
      <c r="C1600" s="26"/>
      <c r="D1600" s="26"/>
      <c r="E1600" s="26"/>
      <c r="F1600" s="26"/>
      <c r="G1600" s="26"/>
      <c r="H1600" s="5"/>
    </row>
    <row r="1601" spans="3:8" ht="14.25" customHeight="1">
      <c r="C1601" s="26"/>
      <c r="D1601" s="26"/>
      <c r="E1601" s="26"/>
      <c r="F1601" s="26"/>
      <c r="G1601" s="26"/>
      <c r="H1601" s="5"/>
    </row>
    <row r="1602" spans="3:8" ht="14.25" customHeight="1">
      <c r="C1602" s="26"/>
      <c r="D1602" s="26"/>
      <c r="E1602" s="26"/>
      <c r="F1602" s="26"/>
      <c r="G1602" s="26"/>
      <c r="H1602" s="5"/>
    </row>
    <row r="1603" spans="3:8" ht="14.25" customHeight="1">
      <c r="C1603" s="26"/>
      <c r="D1603" s="26"/>
      <c r="E1603" s="26"/>
      <c r="F1603" s="26"/>
      <c r="G1603" s="26"/>
      <c r="H1603" s="5"/>
    </row>
    <row r="1604" spans="3:8" ht="14.25" customHeight="1">
      <c r="C1604" s="26"/>
      <c r="D1604" s="26"/>
      <c r="E1604" s="26"/>
      <c r="F1604" s="26"/>
      <c r="G1604" s="26"/>
      <c r="H1604" s="5"/>
    </row>
    <row r="1605" spans="3:8" ht="14.25" customHeight="1">
      <c r="C1605" s="26"/>
      <c r="D1605" s="26"/>
      <c r="E1605" s="26"/>
      <c r="F1605" s="26"/>
      <c r="G1605" s="26"/>
      <c r="H1605" s="5"/>
    </row>
    <row r="1606" spans="3:8" ht="14.25" customHeight="1">
      <c r="C1606" s="26"/>
      <c r="D1606" s="26"/>
      <c r="E1606" s="26"/>
      <c r="F1606" s="26"/>
      <c r="G1606" s="26"/>
      <c r="H1606" s="5"/>
    </row>
    <row r="1607" spans="3:8" ht="14.25" customHeight="1">
      <c r="C1607" s="26"/>
      <c r="D1607" s="26"/>
      <c r="E1607" s="26"/>
      <c r="F1607" s="26"/>
      <c r="G1607" s="26"/>
      <c r="H1607" s="5"/>
    </row>
    <row r="1608" spans="3:8" ht="14.25" customHeight="1">
      <c r="C1608" s="26"/>
      <c r="D1608" s="26"/>
      <c r="E1608" s="26"/>
      <c r="F1608" s="26"/>
      <c r="G1608" s="26"/>
      <c r="H1608" s="5"/>
    </row>
    <row r="1609" spans="3:8" ht="14.25" customHeight="1">
      <c r="C1609" s="26"/>
      <c r="D1609" s="26"/>
      <c r="E1609" s="26"/>
      <c r="F1609" s="26"/>
      <c r="G1609" s="26"/>
      <c r="H1609" s="5"/>
    </row>
    <row r="1610" spans="3:8" ht="14.25" customHeight="1">
      <c r="C1610" s="26"/>
      <c r="D1610" s="26"/>
      <c r="E1610" s="26"/>
      <c r="F1610" s="26"/>
      <c r="G1610" s="26"/>
      <c r="H1610" s="5"/>
    </row>
    <row r="1611" spans="3:8" ht="14.25" customHeight="1">
      <c r="C1611" s="26"/>
      <c r="D1611" s="26"/>
      <c r="E1611" s="26"/>
      <c r="F1611" s="26"/>
      <c r="G1611" s="26"/>
      <c r="H1611" s="5"/>
    </row>
    <row r="1612" spans="3:8" ht="14.25" customHeight="1">
      <c r="C1612" s="26"/>
      <c r="D1612" s="26"/>
      <c r="E1612" s="26"/>
      <c r="F1612" s="26"/>
      <c r="G1612" s="26"/>
      <c r="H1612" s="5"/>
    </row>
    <row r="1613" spans="3:8" ht="14.25" customHeight="1">
      <c r="C1613" s="26"/>
      <c r="D1613" s="26"/>
      <c r="E1613" s="26"/>
      <c r="F1613" s="26"/>
      <c r="G1613" s="26"/>
      <c r="H1613" s="5"/>
    </row>
    <row r="1614" spans="3:8" ht="14.25" customHeight="1">
      <c r="C1614" s="26"/>
      <c r="D1614" s="26"/>
      <c r="E1614" s="26"/>
      <c r="F1614" s="26"/>
      <c r="G1614" s="26"/>
      <c r="H1614" s="5"/>
    </row>
    <row r="1615" spans="3:8" ht="14.25" customHeight="1">
      <c r="C1615" s="26"/>
      <c r="D1615" s="26"/>
      <c r="E1615" s="26"/>
      <c r="F1615" s="26"/>
      <c r="G1615" s="26"/>
      <c r="H1615" s="5"/>
    </row>
    <row r="1616" spans="3:8" ht="14.25" customHeight="1">
      <c r="C1616" s="26"/>
      <c r="D1616" s="26"/>
      <c r="E1616" s="26"/>
      <c r="F1616" s="26"/>
      <c r="G1616" s="26"/>
      <c r="H1616" s="5"/>
    </row>
    <row r="1617" spans="3:8" ht="14.25" customHeight="1">
      <c r="C1617" s="26"/>
      <c r="D1617" s="26"/>
      <c r="E1617" s="26"/>
      <c r="F1617" s="26"/>
      <c r="G1617" s="26"/>
      <c r="H1617" s="5"/>
    </row>
    <row r="1618" spans="3:8" ht="14.25" customHeight="1">
      <c r="C1618" s="26"/>
      <c r="D1618" s="26"/>
      <c r="E1618" s="26"/>
      <c r="F1618" s="26"/>
      <c r="G1618" s="26"/>
      <c r="H1618" s="5"/>
    </row>
    <row r="1619" spans="3:8" ht="14.25" customHeight="1">
      <c r="C1619" s="26"/>
      <c r="D1619" s="26"/>
      <c r="E1619" s="26"/>
      <c r="F1619" s="26"/>
      <c r="G1619" s="26"/>
      <c r="H1619" s="5"/>
    </row>
    <row r="1620" spans="3:8" ht="14.25" customHeight="1">
      <c r="C1620" s="26"/>
      <c r="D1620" s="26"/>
      <c r="E1620" s="26"/>
      <c r="F1620" s="26"/>
      <c r="G1620" s="26"/>
      <c r="H1620" s="5"/>
    </row>
    <row r="1621" spans="3:8" ht="14.25" customHeight="1">
      <c r="C1621" s="26"/>
      <c r="D1621" s="26"/>
      <c r="E1621" s="26"/>
      <c r="F1621" s="26"/>
      <c r="G1621" s="26"/>
      <c r="H1621" s="5"/>
    </row>
    <row r="1622" spans="3:8" ht="14.25" customHeight="1">
      <c r="C1622" s="26"/>
      <c r="D1622" s="26"/>
      <c r="E1622" s="26"/>
      <c r="F1622" s="26"/>
      <c r="G1622" s="26"/>
      <c r="H1622" s="5"/>
    </row>
    <row r="1623" spans="3:8" ht="14.25" customHeight="1">
      <c r="C1623" s="26"/>
      <c r="D1623" s="26"/>
      <c r="E1623" s="26"/>
      <c r="F1623" s="26"/>
      <c r="G1623" s="26"/>
      <c r="H1623" s="5"/>
    </row>
    <row r="1624" spans="3:8" ht="14.25" customHeight="1">
      <c r="C1624" s="26"/>
      <c r="D1624" s="26"/>
      <c r="E1624" s="26"/>
      <c r="F1624" s="26"/>
      <c r="G1624" s="26"/>
      <c r="H1624" s="5"/>
    </row>
    <row r="1625" spans="3:8" ht="14.25" customHeight="1">
      <c r="C1625" s="26"/>
      <c r="D1625" s="26"/>
      <c r="E1625" s="26"/>
      <c r="F1625" s="26"/>
      <c r="G1625" s="26"/>
      <c r="H1625" s="5"/>
    </row>
    <row r="1626" spans="3:8" ht="14.25" customHeight="1">
      <c r="C1626" s="26"/>
      <c r="D1626" s="26"/>
      <c r="E1626" s="26"/>
      <c r="F1626" s="26"/>
      <c r="G1626" s="26"/>
      <c r="H1626" s="5"/>
    </row>
    <row r="1627" spans="3:8" ht="14.25" customHeight="1">
      <c r="C1627" s="26"/>
      <c r="D1627" s="26"/>
      <c r="E1627" s="26"/>
      <c r="F1627" s="26"/>
      <c r="G1627" s="26"/>
      <c r="H1627" s="5"/>
    </row>
    <row r="1628" spans="3:8" ht="14.25" customHeight="1">
      <c r="C1628" s="26"/>
      <c r="D1628" s="26"/>
      <c r="E1628" s="26"/>
      <c r="F1628" s="26"/>
      <c r="G1628" s="26"/>
      <c r="H1628" s="5"/>
    </row>
    <row r="1629" spans="3:8" ht="14.25" customHeight="1">
      <c r="C1629" s="26"/>
      <c r="D1629" s="26"/>
      <c r="E1629" s="26"/>
      <c r="F1629" s="26"/>
      <c r="G1629" s="26"/>
      <c r="H1629" s="5"/>
    </row>
    <row r="1630" spans="3:8" ht="14.25" customHeight="1">
      <c r="C1630" s="26"/>
      <c r="D1630" s="26"/>
      <c r="E1630" s="26"/>
      <c r="F1630" s="26"/>
      <c r="G1630" s="26"/>
      <c r="H1630" s="5"/>
    </row>
    <row r="1631" spans="3:8" ht="14.25" customHeight="1">
      <c r="C1631" s="26"/>
      <c r="D1631" s="26"/>
      <c r="E1631" s="26"/>
      <c r="F1631" s="26"/>
      <c r="G1631" s="26"/>
      <c r="H1631" s="5"/>
    </row>
    <row r="1632" spans="3:8" ht="14.25" customHeight="1">
      <c r="C1632" s="26"/>
      <c r="D1632" s="26"/>
      <c r="E1632" s="26"/>
      <c r="F1632" s="26"/>
      <c r="G1632" s="26"/>
      <c r="H1632" s="5"/>
    </row>
    <row r="1633" spans="1:46" ht="14.25" customHeight="1">
      <c r="C1633" s="26"/>
      <c r="D1633" s="26"/>
      <c r="E1633" s="26"/>
      <c r="F1633" s="26"/>
      <c r="G1633" s="26"/>
      <c r="H1633" s="5"/>
    </row>
    <row r="1634" spans="1:46" ht="14.25" customHeight="1">
      <c r="C1634" s="26"/>
      <c r="D1634" s="26"/>
      <c r="E1634" s="26"/>
      <c r="F1634" s="26"/>
      <c r="G1634" s="26"/>
      <c r="H1634" s="5"/>
    </row>
    <row r="1635" spans="1:46" ht="14.25" customHeight="1">
      <c r="C1635" s="26"/>
      <c r="D1635" s="26"/>
      <c r="E1635" s="26"/>
      <c r="F1635" s="26"/>
      <c r="G1635" s="26"/>
      <c r="H1635" s="5"/>
    </row>
    <row r="1636" spans="1:46" ht="14.25" customHeight="1">
      <c r="C1636" s="26"/>
      <c r="D1636" s="26"/>
      <c r="E1636" s="26"/>
      <c r="F1636" s="26"/>
      <c r="G1636" s="26"/>
      <c r="H1636" s="5"/>
    </row>
    <row r="1637" spans="1:46" ht="14.25" customHeight="1">
      <c r="C1637" s="26"/>
      <c r="D1637" s="26"/>
      <c r="E1637" s="26"/>
      <c r="F1637" s="26"/>
      <c r="G1637" s="26"/>
      <c r="H1637" s="5"/>
    </row>
    <row r="1638" spans="1:46" ht="14.25" customHeight="1">
      <c r="C1638" s="26"/>
      <c r="D1638" s="26"/>
      <c r="E1638" s="26"/>
      <c r="F1638" s="26"/>
      <c r="G1638" s="26"/>
      <c r="H1638" s="5"/>
    </row>
    <row r="1639" spans="1:46" ht="14.25" customHeight="1">
      <c r="C1639" s="26"/>
      <c r="D1639" s="26"/>
      <c r="E1639" s="26"/>
      <c r="F1639" s="26"/>
      <c r="G1639" s="26"/>
      <c r="H1639" s="5"/>
    </row>
    <row r="1640" spans="1:46" ht="14.25" customHeight="1">
      <c r="C1640" s="26"/>
      <c r="D1640" s="26"/>
      <c r="E1640" s="26"/>
      <c r="F1640" s="26"/>
      <c r="G1640" s="26"/>
      <c r="H1640" s="5"/>
    </row>
    <row r="1641" spans="1:46" ht="14.25" customHeight="1">
      <c r="C1641" s="26"/>
      <c r="D1641" s="26"/>
      <c r="E1641" s="26"/>
      <c r="F1641" s="26"/>
      <c r="G1641" s="26"/>
      <c r="H1641" s="5"/>
    </row>
    <row r="1642" spans="1:46" ht="14.25" customHeight="1">
      <c r="C1642" s="26"/>
      <c r="D1642" s="26"/>
      <c r="E1642" s="26"/>
      <c r="F1642" s="26"/>
      <c r="G1642" s="26"/>
      <c r="H1642" s="5"/>
    </row>
    <row r="1643" spans="1:46" ht="14.25" customHeight="1">
      <c r="C1643" s="26"/>
      <c r="D1643" s="26"/>
      <c r="E1643" s="26"/>
      <c r="F1643" s="26"/>
      <c r="G1643" s="26"/>
      <c r="H1643" s="5"/>
    </row>
    <row r="1644" spans="1:46" s="8" customFormat="1">
      <c r="B1644" s="1"/>
      <c r="C1644" s="26"/>
      <c r="D1644" s="26"/>
      <c r="E1644" s="26"/>
      <c r="F1644" s="26"/>
      <c r="G1644" s="26"/>
      <c r="H1644" s="5"/>
      <c r="I1644" s="1"/>
      <c r="J1644" s="1"/>
      <c r="K1644" s="1"/>
      <c r="AE1644" s="301">
        <f>Z1644/100*12+Z1644</f>
        <v>0</v>
      </c>
      <c r="AF1644" s="301" t="e">
        <f>AE1644/Z1644-1</f>
        <v>#DIV/0!</v>
      </c>
      <c r="AN1644" s="291"/>
      <c r="AO1644" s="291"/>
      <c r="AP1644" s="291"/>
      <c r="AQ1644" s="291"/>
      <c r="AR1644" s="291"/>
      <c r="AS1644" s="291"/>
      <c r="AT1644" s="291"/>
    </row>
    <row r="1645" spans="1:46" s="8" customFormat="1" ht="12.75" customHeight="1">
      <c r="B1645" s="421" t="str">
        <f>TITLE!$C$30</f>
        <v>Полотна скляні: ЛАЙН</v>
      </c>
      <c r="C1645" s="421"/>
      <c r="D1645" s="122"/>
      <c r="E1645" s="122"/>
      <c r="F1645" s="122"/>
      <c r="G1645" s="122"/>
      <c r="H1645" s="122"/>
      <c r="I1645" s="125"/>
      <c r="J1645" s="125"/>
      <c r="K1645" s="125"/>
      <c r="L1645" s="125"/>
      <c r="M1645" s="125"/>
      <c r="N1645" s="125"/>
      <c r="O1645" s="125"/>
      <c r="P1645" s="125"/>
      <c r="Q1645" s="125"/>
      <c r="R1645" s="125"/>
      <c r="S1645" s="125"/>
      <c r="T1645" s="419" t="str">
        <f>IF($C$1="ENG",CONCATENATE("up to: ",B1574),CONCATENATE("вгору до: ",B1574))</f>
        <v>вгору до: Полотна скляні: ЛІНЕЯ</v>
      </c>
      <c r="U1645" s="419"/>
      <c r="V1645" s="419"/>
      <c r="W1645" s="419"/>
      <c r="AN1645" s="291"/>
      <c r="AO1645" s="291"/>
      <c r="AP1645" s="291"/>
      <c r="AQ1645" s="291"/>
      <c r="AR1645" s="291"/>
      <c r="AS1645" s="291"/>
      <c r="AT1645" s="291"/>
    </row>
    <row r="1646" spans="1:46" ht="4.5" customHeight="1">
      <c r="A1646" s="8"/>
      <c r="B1646" s="121"/>
      <c r="C1646" s="121"/>
      <c r="D1646" s="9"/>
      <c r="E1646" s="9"/>
      <c r="F1646" s="9"/>
      <c r="G1646" s="9"/>
      <c r="H1646" s="10"/>
      <c r="I1646" s="8"/>
      <c r="J1646" s="8"/>
      <c r="K1646" s="8"/>
      <c r="L1646" s="8"/>
      <c r="M1646" s="11"/>
      <c r="P1646" s="8"/>
      <c r="Q1646" s="11"/>
    </row>
    <row r="1647" spans="1:46" ht="12.75" customHeight="1">
      <c r="A1647" s="8"/>
      <c r="B1647" s="448" t="str">
        <f>IF($C$1="ENG","model","модель")</f>
        <v>модель</v>
      </c>
      <c r="C1647" s="126" t="str">
        <f>IF($C$1="ENG","cover:","покриття:")</f>
        <v>покриття:</v>
      </c>
      <c r="D1647" s="430" t="str">
        <f>IF($C$1="ENG","VERTO-CELL","VERTO-CELL")</f>
        <v>VERTO-CELL</v>
      </c>
      <c r="E1647" s="432"/>
      <c r="F1647" s="430" t="str">
        <f>IF($C$1="ENG","RESIST","RESIST")</f>
        <v>RESIST</v>
      </c>
      <c r="G1647" s="432"/>
      <c r="H1647" s="430" t="str">
        <f>IF($C$1="ENG","Verto LINE-3D","Verto LINE-3D")</f>
        <v>Verto LINE-3D</v>
      </c>
      <c r="I1647" s="432"/>
      <c r="J1647" s="430" t="str">
        <f>IF($C$1="ENG","ECO Shpon","ЕКО Шпон")</f>
        <v>ЕКО Шпон</v>
      </c>
      <c r="K1647" s="432"/>
      <c r="L1647" s="8"/>
      <c r="M1647" s="11"/>
      <c r="P1647" s="8"/>
      <c r="Q1647" s="11"/>
    </row>
    <row r="1648" spans="1:46" ht="12.75" customHeight="1">
      <c r="A1648" s="8"/>
      <c r="B1648" s="449"/>
      <c r="C1648" s="127" t="str">
        <f>IF($C$1="ENG","filling:","заповнення:")</f>
        <v>заповнення:</v>
      </c>
      <c r="D1648" s="441" t="str">
        <f>IF($C$1="ENG","honeycomb core ","сотове заповнення")</f>
        <v>сотове заповнення</v>
      </c>
      <c r="E1648" s="442"/>
      <c r="F1648" s="441" t="str">
        <f>IF($C$1="ENG","honeycomb core ","сотове заповнення")</f>
        <v>сотове заповнення</v>
      </c>
      <c r="G1648" s="442"/>
      <c r="H1648" s="441" t="str">
        <f>IF($C$1="ENG","honeycomb core ","сотове заповнення")</f>
        <v>сотове заповнення</v>
      </c>
      <c r="I1648" s="442"/>
      <c r="J1648" s="441" t="str">
        <f>IF($C$1="ENG","honeycomb core ","сотове заповнення")</f>
        <v>сотове заповнення</v>
      </c>
      <c r="K1648" s="442"/>
      <c r="L1648" s="8"/>
      <c r="M1648" s="11"/>
      <c r="P1648" s="8"/>
      <c r="Q1648" s="11"/>
    </row>
    <row r="1649" spans="1:42">
      <c r="A1649" s="8"/>
      <c r="B1649" s="450"/>
      <c r="C1649" s="128" t="str">
        <f>IF($C$1="ENG","glazing:","скління:")</f>
        <v>скління:</v>
      </c>
      <c r="D1649" s="424" t="str">
        <f>IF($C$1="ENG","Drawing / Satin (1)","Малюнок / Сатин (1)")</f>
        <v>Малюнок / Сатин (1)</v>
      </c>
      <c r="E1649" s="434"/>
      <c r="F1649" s="424" t="str">
        <f>IF($C$1="ENG","Drawing / Satin (1)","Малюнок / Сатин (1)")</f>
        <v>Малюнок / Сатин (1)</v>
      </c>
      <c r="G1649" s="434"/>
      <c r="H1649" s="424" t="str">
        <f>IF($C$1="ENG","Drawing / Satin (1)","Малюнок / Сатин (1)")</f>
        <v>Малюнок / Сатин (1)</v>
      </c>
      <c r="I1649" s="434"/>
      <c r="J1649" s="424" t="str">
        <f>IF($C$1="ENG","Drawing / Satin (1)","Малюнок / Сатин (1)")</f>
        <v>Малюнок / Сатин (1)</v>
      </c>
      <c r="K1649" s="434"/>
      <c r="L1649" s="108"/>
      <c r="M1649" s="20"/>
      <c r="N1649" s="108"/>
      <c r="O1649" s="20"/>
      <c r="P1649" s="108"/>
      <c r="Q1649" s="20"/>
      <c r="R1649" s="108"/>
      <c r="S1649" s="20"/>
      <c r="T1649" s="108"/>
      <c r="V1649" s="108"/>
      <c r="W1649" s="20"/>
      <c r="X1649" s="22"/>
      <c r="Y1649" s="22"/>
      <c r="Z1649" s="22"/>
      <c r="AA1649" s="22"/>
      <c r="AB1649" s="22"/>
    </row>
    <row r="1650" spans="1:42" ht="35.1" customHeight="1">
      <c r="A1650" s="8"/>
      <c r="B1650" s="13">
        <v>1</v>
      </c>
      <c r="C1650" s="14"/>
      <c r="D1650" s="15">
        <f t="shared" ref="D1650:D1656" si="142">IF(AC1650="","",(1-$W$2)*(AC1650/1.2))</f>
        <v>6033.3333333333339</v>
      </c>
      <c r="E1650" s="67">
        <f t="shared" ref="E1650:E1656" si="143">IF($W$5=0.2,D1650*1.2,D1650)/$W$4</f>
        <v>7240.0000000000009</v>
      </c>
      <c r="F1650" s="15">
        <f t="shared" ref="F1650:F1656" si="144">IF(AD1650="","",(1-$W$2)*(AD1650/1.2))</f>
        <v>6516.666666666667</v>
      </c>
      <c r="G1650" s="67">
        <f t="shared" ref="G1650:G1656" si="145">IF($W$5=0.2,F1650*1.2,F1650)/$W$4</f>
        <v>7820</v>
      </c>
      <c r="H1650" s="15">
        <f t="shared" ref="H1650:H1656" si="146">IF(AE1650="","",(1-$W$2)*(AE1650/1.2))</f>
        <v>6800</v>
      </c>
      <c r="I1650" s="67">
        <f t="shared" ref="I1650:I1656" si="147">IF($W$5=0.2,H1650*1.2,H1650)/$W$4</f>
        <v>8160</v>
      </c>
      <c r="J1650" s="15">
        <f>IF(AF1650="","",(1-$W$2)*(AF1650/1.2))</f>
        <v>7141.666666666667</v>
      </c>
      <c r="K1650" s="67">
        <f t="shared" ref="K1650:K1656" si="148">IF($W$5=0.2,J1650*1.2,J1650)/$W$4</f>
        <v>8570</v>
      </c>
      <c r="L1650" s="108"/>
      <c r="M1650" s="20"/>
      <c r="N1650" s="108"/>
      <c r="O1650" s="20"/>
      <c r="P1650" s="108"/>
      <c r="Q1650" s="20"/>
      <c r="R1650" s="108"/>
      <c r="S1650" s="20"/>
      <c r="T1650" s="108"/>
      <c r="V1650" s="108"/>
      <c r="W1650" s="20"/>
      <c r="AC1650" s="346">
        <v>7240</v>
      </c>
      <c r="AD1650" s="346">
        <v>7820</v>
      </c>
      <c r="AE1650" s="346">
        <v>8160</v>
      </c>
      <c r="AF1650" s="346">
        <v>8570</v>
      </c>
      <c r="AG1650" s="301">
        <v>7240</v>
      </c>
      <c r="AH1650" s="301">
        <f>AG1650/AC1650-1</f>
        <v>0</v>
      </c>
      <c r="AI1650" s="301">
        <v>7820</v>
      </c>
      <c r="AJ1650" s="301">
        <f>AI1650/AD1650-1</f>
        <v>0</v>
      </c>
      <c r="AK1650" s="301">
        <v>8160</v>
      </c>
      <c r="AL1650" s="301">
        <f>AK1650/AE1650-1</f>
        <v>0</v>
      </c>
      <c r="AM1650" s="301">
        <v>8570</v>
      </c>
      <c r="AN1650" s="301">
        <f>AM1650/AF1650-1</f>
        <v>0</v>
      </c>
      <c r="AO1650" s="1"/>
      <c r="AP1650" s="1"/>
    </row>
    <row r="1651" spans="1:42" ht="35.1" customHeight="1">
      <c r="A1651" s="8"/>
      <c r="B1651" s="16">
        <v>2</v>
      </c>
      <c r="C1651" s="17"/>
      <c r="D1651" s="18">
        <f t="shared" si="142"/>
        <v>6700</v>
      </c>
      <c r="E1651" s="69">
        <f t="shared" si="143"/>
        <v>8040</v>
      </c>
      <c r="F1651" s="18">
        <f t="shared" si="144"/>
        <v>7158.3333333333339</v>
      </c>
      <c r="G1651" s="69">
        <f t="shared" si="145"/>
        <v>8590</v>
      </c>
      <c r="H1651" s="18">
        <f t="shared" si="146"/>
        <v>7475</v>
      </c>
      <c r="I1651" s="69">
        <f t="shared" si="147"/>
        <v>8970</v>
      </c>
      <c r="J1651" s="18">
        <f t="shared" ref="J1651:J1656" si="149">IF(AF1651="","",(1-$W$2)*(AF1651/1.2))</f>
        <v>7833.3333333333339</v>
      </c>
      <c r="K1651" s="69">
        <f t="shared" si="148"/>
        <v>9400</v>
      </c>
      <c r="L1651" s="108"/>
      <c r="M1651" s="20"/>
      <c r="N1651" s="108"/>
      <c r="O1651" s="20"/>
      <c r="P1651" s="108"/>
      <c r="Q1651" s="20"/>
      <c r="R1651" s="108"/>
      <c r="S1651" s="20"/>
      <c r="T1651" s="108"/>
      <c r="V1651" s="108"/>
      <c r="W1651" s="20"/>
      <c r="AC1651" s="346">
        <v>8040</v>
      </c>
      <c r="AD1651" s="346">
        <v>8590</v>
      </c>
      <c r="AE1651" s="346">
        <v>8970</v>
      </c>
      <c r="AF1651" s="346">
        <v>9400</v>
      </c>
      <c r="AG1651" s="301">
        <v>8040</v>
      </c>
      <c r="AH1651" s="301">
        <f t="shared" ref="AH1651:AH1656" si="150">AG1651/AC1651-1</f>
        <v>0</v>
      </c>
      <c r="AI1651" s="301">
        <v>8590</v>
      </c>
      <c r="AJ1651" s="301">
        <f t="shared" ref="AJ1651:AJ1656" si="151">AI1651/AD1651-1</f>
        <v>0</v>
      </c>
      <c r="AK1651" s="301">
        <v>8970</v>
      </c>
      <c r="AL1651" s="301">
        <f t="shared" ref="AL1651:AL1656" si="152">AK1651/AE1651-1</f>
        <v>0</v>
      </c>
      <c r="AM1651" s="301">
        <v>9400</v>
      </c>
      <c r="AN1651" s="301">
        <f t="shared" ref="AN1651:AN1656" si="153">AM1651/AF1651-1</f>
        <v>0</v>
      </c>
      <c r="AO1651" s="1"/>
      <c r="AP1651" s="1"/>
    </row>
    <row r="1652" spans="1:42" ht="35.1" customHeight="1">
      <c r="A1652" s="8"/>
      <c r="B1652" s="16">
        <v>3</v>
      </c>
      <c r="C1652" s="17"/>
      <c r="D1652" s="18">
        <f t="shared" si="142"/>
        <v>6700</v>
      </c>
      <c r="E1652" s="69">
        <f t="shared" si="143"/>
        <v>8040</v>
      </c>
      <c r="F1652" s="18">
        <f t="shared" si="144"/>
        <v>7158.3333333333339</v>
      </c>
      <c r="G1652" s="69">
        <f t="shared" si="145"/>
        <v>8590</v>
      </c>
      <c r="H1652" s="18">
        <f t="shared" si="146"/>
        <v>7475</v>
      </c>
      <c r="I1652" s="69">
        <f t="shared" si="147"/>
        <v>8970</v>
      </c>
      <c r="J1652" s="18">
        <f t="shared" si="149"/>
        <v>7833.3333333333339</v>
      </c>
      <c r="K1652" s="69">
        <f t="shared" si="148"/>
        <v>9400</v>
      </c>
      <c r="L1652" s="108"/>
      <c r="M1652" s="20"/>
      <c r="N1652" s="108"/>
      <c r="O1652" s="20"/>
      <c r="P1652" s="108"/>
      <c r="Q1652" s="20"/>
      <c r="R1652" s="108"/>
      <c r="S1652" s="20"/>
      <c r="T1652" s="108"/>
      <c r="V1652" s="108"/>
      <c r="W1652" s="20"/>
      <c r="AC1652" s="346">
        <v>8040</v>
      </c>
      <c r="AD1652" s="346">
        <v>8590</v>
      </c>
      <c r="AE1652" s="346">
        <v>8970</v>
      </c>
      <c r="AF1652" s="346">
        <v>9400</v>
      </c>
      <c r="AG1652" s="301">
        <v>8040</v>
      </c>
      <c r="AH1652" s="301">
        <f t="shared" si="150"/>
        <v>0</v>
      </c>
      <c r="AI1652" s="301">
        <v>8590</v>
      </c>
      <c r="AJ1652" s="301">
        <f t="shared" si="151"/>
        <v>0</v>
      </c>
      <c r="AK1652" s="301">
        <v>8970</v>
      </c>
      <c r="AL1652" s="301">
        <f t="shared" si="152"/>
        <v>0</v>
      </c>
      <c r="AM1652" s="301">
        <v>9400</v>
      </c>
      <c r="AN1652" s="301">
        <f t="shared" si="153"/>
        <v>0</v>
      </c>
      <c r="AO1652" s="1"/>
      <c r="AP1652" s="1"/>
    </row>
    <row r="1653" spans="1:42" ht="35.1" customHeight="1">
      <c r="A1653" s="8"/>
      <c r="B1653" s="16">
        <v>4</v>
      </c>
      <c r="C1653" s="17"/>
      <c r="D1653" s="18">
        <f t="shared" si="142"/>
        <v>6700</v>
      </c>
      <c r="E1653" s="69">
        <f t="shared" si="143"/>
        <v>8040</v>
      </c>
      <c r="F1653" s="18">
        <f t="shared" si="144"/>
        <v>7158.3333333333339</v>
      </c>
      <c r="G1653" s="69">
        <f t="shared" si="145"/>
        <v>8590</v>
      </c>
      <c r="H1653" s="18">
        <f t="shared" si="146"/>
        <v>7475</v>
      </c>
      <c r="I1653" s="69">
        <f t="shared" si="147"/>
        <v>8970</v>
      </c>
      <c r="J1653" s="18">
        <f t="shared" si="149"/>
        <v>7833.3333333333339</v>
      </c>
      <c r="K1653" s="69">
        <f t="shared" si="148"/>
        <v>9400</v>
      </c>
      <c r="L1653" s="108"/>
      <c r="M1653" s="20"/>
      <c r="N1653" s="108"/>
      <c r="O1653" s="20"/>
      <c r="P1653" s="108"/>
      <c r="Q1653" s="20"/>
      <c r="R1653" s="108"/>
      <c r="S1653" s="20"/>
      <c r="T1653" s="108"/>
      <c r="V1653" s="108"/>
      <c r="W1653" s="20"/>
      <c r="AC1653" s="346">
        <v>8040</v>
      </c>
      <c r="AD1653" s="346">
        <v>8590</v>
      </c>
      <c r="AE1653" s="346">
        <v>8970</v>
      </c>
      <c r="AF1653" s="346">
        <v>9400</v>
      </c>
      <c r="AG1653" s="301">
        <v>8040</v>
      </c>
      <c r="AH1653" s="301">
        <f t="shared" si="150"/>
        <v>0</v>
      </c>
      <c r="AI1653" s="301">
        <v>8590</v>
      </c>
      <c r="AJ1653" s="301">
        <f t="shared" si="151"/>
        <v>0</v>
      </c>
      <c r="AK1653" s="301">
        <v>8970</v>
      </c>
      <c r="AL1653" s="301">
        <f t="shared" si="152"/>
        <v>0</v>
      </c>
      <c r="AM1653" s="301">
        <v>9400</v>
      </c>
      <c r="AN1653" s="301">
        <f t="shared" si="153"/>
        <v>0</v>
      </c>
      <c r="AO1653" s="1"/>
      <c r="AP1653" s="1"/>
    </row>
    <row r="1654" spans="1:42" ht="35.1" customHeight="1">
      <c r="A1654" s="8"/>
      <c r="B1654" s="16">
        <v>5</v>
      </c>
      <c r="C1654" s="17"/>
      <c r="D1654" s="18">
        <f t="shared" si="142"/>
        <v>6700</v>
      </c>
      <c r="E1654" s="69">
        <f t="shared" si="143"/>
        <v>8040</v>
      </c>
      <c r="F1654" s="18">
        <f t="shared" si="144"/>
        <v>7158.3333333333339</v>
      </c>
      <c r="G1654" s="69">
        <f t="shared" si="145"/>
        <v>8590</v>
      </c>
      <c r="H1654" s="18">
        <f t="shared" si="146"/>
        <v>7475</v>
      </c>
      <c r="I1654" s="69">
        <f t="shared" si="147"/>
        <v>8970</v>
      </c>
      <c r="J1654" s="18">
        <f t="shared" si="149"/>
        <v>7833.3333333333339</v>
      </c>
      <c r="K1654" s="69">
        <f t="shared" si="148"/>
        <v>9400</v>
      </c>
      <c r="L1654" s="108"/>
      <c r="M1654" s="20"/>
      <c r="N1654" s="108"/>
      <c r="O1654" s="20"/>
      <c r="P1654" s="108"/>
      <c r="Q1654" s="20"/>
      <c r="R1654" s="108"/>
      <c r="S1654" s="20"/>
      <c r="T1654" s="108"/>
      <c r="V1654" s="108"/>
      <c r="W1654" s="20"/>
      <c r="AC1654" s="346">
        <v>8040</v>
      </c>
      <c r="AD1654" s="346">
        <v>8590</v>
      </c>
      <c r="AE1654" s="346">
        <v>8970</v>
      </c>
      <c r="AF1654" s="346">
        <v>9400</v>
      </c>
      <c r="AG1654" s="301">
        <v>8040</v>
      </c>
      <c r="AH1654" s="301">
        <f t="shared" si="150"/>
        <v>0</v>
      </c>
      <c r="AI1654" s="301">
        <v>8590</v>
      </c>
      <c r="AJ1654" s="301">
        <f t="shared" si="151"/>
        <v>0</v>
      </c>
      <c r="AK1654" s="301">
        <v>8970</v>
      </c>
      <c r="AL1654" s="301">
        <f t="shared" si="152"/>
        <v>0</v>
      </c>
      <c r="AM1654" s="301">
        <v>9400</v>
      </c>
      <c r="AN1654" s="301">
        <f t="shared" si="153"/>
        <v>0</v>
      </c>
      <c r="AO1654" s="1"/>
      <c r="AP1654" s="1"/>
    </row>
    <row r="1655" spans="1:42" ht="35.1" customHeight="1">
      <c r="A1655" s="8"/>
      <c r="B1655" s="16">
        <v>6</v>
      </c>
      <c r="C1655" s="17"/>
      <c r="D1655" s="18">
        <f t="shared" si="142"/>
        <v>6700</v>
      </c>
      <c r="E1655" s="69">
        <f t="shared" si="143"/>
        <v>8040</v>
      </c>
      <c r="F1655" s="18">
        <f t="shared" si="144"/>
        <v>7158.3333333333339</v>
      </c>
      <c r="G1655" s="69">
        <f t="shared" si="145"/>
        <v>8590</v>
      </c>
      <c r="H1655" s="18">
        <f t="shared" si="146"/>
        <v>7475</v>
      </c>
      <c r="I1655" s="69">
        <f t="shared" si="147"/>
        <v>8970</v>
      </c>
      <c r="J1655" s="18">
        <f t="shared" si="149"/>
        <v>7833.3333333333339</v>
      </c>
      <c r="K1655" s="69">
        <f t="shared" si="148"/>
        <v>9400</v>
      </c>
      <c r="L1655" s="108"/>
      <c r="M1655" s="20"/>
      <c r="N1655" s="108"/>
      <c r="O1655" s="20"/>
      <c r="P1655" s="108"/>
      <c r="Q1655" s="20"/>
      <c r="R1655" s="108"/>
      <c r="S1655" s="20"/>
      <c r="T1655" s="108"/>
      <c r="V1655" s="108"/>
      <c r="W1655" s="20"/>
      <c r="AC1655" s="346">
        <v>8040</v>
      </c>
      <c r="AD1655" s="346">
        <v>8590</v>
      </c>
      <c r="AE1655" s="346">
        <v>8970</v>
      </c>
      <c r="AF1655" s="346">
        <v>9400</v>
      </c>
      <c r="AG1655" s="301">
        <v>8040</v>
      </c>
      <c r="AH1655" s="301">
        <f t="shared" si="150"/>
        <v>0</v>
      </c>
      <c r="AI1655" s="301">
        <v>8590</v>
      </c>
      <c r="AJ1655" s="301">
        <f t="shared" si="151"/>
        <v>0</v>
      </c>
      <c r="AK1655" s="301">
        <v>8970</v>
      </c>
      <c r="AL1655" s="301">
        <f t="shared" si="152"/>
        <v>0</v>
      </c>
      <c r="AM1655" s="301">
        <v>9400</v>
      </c>
      <c r="AN1655" s="301">
        <f t="shared" si="153"/>
        <v>0</v>
      </c>
      <c r="AO1655" s="1"/>
      <c r="AP1655" s="1"/>
    </row>
    <row r="1656" spans="1:42" ht="34.5" customHeight="1">
      <c r="B1656" s="23">
        <v>7</v>
      </c>
      <c r="C1656" s="24"/>
      <c r="D1656" s="25">
        <f t="shared" si="142"/>
        <v>6700</v>
      </c>
      <c r="E1656" s="72">
        <f t="shared" si="143"/>
        <v>8040</v>
      </c>
      <c r="F1656" s="25">
        <f t="shared" si="144"/>
        <v>7158.3333333333339</v>
      </c>
      <c r="G1656" s="72">
        <f t="shared" si="145"/>
        <v>8590</v>
      </c>
      <c r="H1656" s="25">
        <f t="shared" si="146"/>
        <v>7475</v>
      </c>
      <c r="I1656" s="72">
        <f t="shared" si="147"/>
        <v>8970</v>
      </c>
      <c r="J1656" s="25">
        <f t="shared" si="149"/>
        <v>7833.3333333333339</v>
      </c>
      <c r="K1656" s="72">
        <f t="shared" si="148"/>
        <v>9400</v>
      </c>
      <c r="L1656" s="8"/>
      <c r="P1656" s="8"/>
      <c r="AC1656" s="346">
        <v>8040</v>
      </c>
      <c r="AD1656" s="346">
        <v>8590</v>
      </c>
      <c r="AE1656" s="346">
        <v>8970</v>
      </c>
      <c r="AF1656" s="346">
        <v>9400</v>
      </c>
      <c r="AG1656" s="301">
        <v>8040</v>
      </c>
      <c r="AH1656" s="301">
        <f t="shared" si="150"/>
        <v>0</v>
      </c>
      <c r="AI1656" s="301">
        <v>8590</v>
      </c>
      <c r="AJ1656" s="301">
        <f t="shared" si="151"/>
        <v>0</v>
      </c>
      <c r="AK1656" s="301">
        <v>8970</v>
      </c>
      <c r="AL1656" s="301">
        <f t="shared" si="152"/>
        <v>0</v>
      </c>
      <c r="AM1656" s="301">
        <v>9400</v>
      </c>
      <c r="AN1656" s="301">
        <f t="shared" si="153"/>
        <v>0</v>
      </c>
      <c r="AO1656" s="1"/>
      <c r="AP1656" s="1"/>
    </row>
    <row r="1657" spans="1:42">
      <c r="C1657" s="26"/>
      <c r="D1657" s="26"/>
      <c r="E1657" s="60"/>
      <c r="F1657" s="26"/>
      <c r="G1657" s="60"/>
      <c r="H1657" s="10"/>
      <c r="I1657" s="8"/>
      <c r="J1657" s="8"/>
      <c r="K1657" s="8"/>
      <c r="L1657" s="8"/>
      <c r="P1657" s="8"/>
    </row>
    <row r="1658" spans="1:42" ht="12.75" customHeight="1">
      <c r="B1658" s="220" t="str">
        <f>IF($C$1="ENG","For additonal charge:","Послуги за додаткову плату:")</f>
        <v>Послуги за додаткову плату:</v>
      </c>
      <c r="C1658" s="221"/>
      <c r="D1658" s="221"/>
      <c r="E1658" s="222"/>
      <c r="F1658" s="26"/>
      <c r="G1658" s="60"/>
      <c r="H1658" s="10"/>
      <c r="I1658" s="8"/>
      <c r="J1658" s="8"/>
      <c r="K1658" s="8"/>
    </row>
    <row r="1659" spans="1:42" ht="4.5" customHeight="1">
      <c r="B1659" s="103"/>
      <c r="C1659" s="39"/>
      <c r="D1659" s="26"/>
      <c r="E1659" s="60"/>
      <c r="F1659" s="26"/>
      <c r="G1659" s="26"/>
      <c r="H1659" s="10"/>
      <c r="I1659" s="8"/>
      <c r="J1659" s="8"/>
      <c r="K1659" s="8"/>
    </row>
    <row r="1660" spans="1:42">
      <c r="B1660" s="446" t="str">
        <f>IF($C$1="ENG","door leaf with width 100","полотно розміром 100")</f>
        <v>полотно розміром 100</v>
      </c>
      <c r="C1660" s="447"/>
      <c r="D1660" s="15">
        <f t="shared" ref="D1660:D1669" si="154">IF(AC1660="","",(1-$W$2)*(AC1660/1.2))</f>
        <v>566.66666666666674</v>
      </c>
      <c r="E1660" s="96">
        <f t="shared" ref="E1660:E1667" si="155">IF($W$5=0.2,D1660*1.2,D1660)/$W$4</f>
        <v>680.00000000000011</v>
      </c>
      <c r="F1660" s="26"/>
      <c r="G1660" s="60"/>
      <c r="H1660" s="10"/>
      <c r="I1660" s="87"/>
      <c r="K1660" s="20"/>
      <c r="AC1660" s="310">
        <v>680</v>
      </c>
      <c r="AD1660" s="301">
        <v>680</v>
      </c>
      <c r="AE1660" s="301">
        <f>AD1660/AC1660-1</f>
        <v>0</v>
      </c>
      <c r="AF1660" s="301"/>
      <c r="AG1660" s="301"/>
      <c r="AH1660" s="301"/>
      <c r="AI1660" s="301"/>
      <c r="AJ1660" s="301"/>
      <c r="AK1660" s="301"/>
      <c r="AL1660" s="301"/>
    </row>
    <row r="1661" spans="1:42">
      <c r="B1661" s="439" t="str">
        <f>IF($C$1="ENG","glazing Triplex mat / black","скло Триплекс матовий / чорний")</f>
        <v>скло Триплекс матовий / чорний</v>
      </c>
      <c r="C1661" s="440"/>
      <c r="D1661" s="106">
        <f t="shared" si="154"/>
        <v>883.33333333333337</v>
      </c>
      <c r="E1661" s="97">
        <f t="shared" si="155"/>
        <v>1060</v>
      </c>
      <c r="F1661" s="26"/>
      <c r="G1661" s="26"/>
      <c r="I1661" s="11"/>
      <c r="J1661" s="11"/>
      <c r="K1661" s="19"/>
      <c r="AC1661" s="310">
        <v>1060</v>
      </c>
      <c r="AD1661" s="301">
        <v>1060</v>
      </c>
      <c r="AE1661" s="301">
        <f t="shared" ref="AE1661:AE1669" si="156">AD1661/AC1661-1</f>
        <v>0</v>
      </c>
      <c r="AF1661" s="301"/>
      <c r="AG1661" s="301"/>
      <c r="AH1661" s="301"/>
      <c r="AI1661" s="301"/>
      <c r="AJ1661" s="301"/>
      <c r="AK1661" s="301"/>
      <c r="AL1661" s="301"/>
    </row>
    <row r="1662" spans="1:42">
      <c r="B1662" s="439" t="str">
        <f>IF($C$1="ENG","glazing Graphite / Bronze","скло Графіт / Бронза")</f>
        <v>скло Графіт / Бронза</v>
      </c>
      <c r="C1662" s="440"/>
      <c r="D1662" s="106">
        <f t="shared" si="154"/>
        <v>650</v>
      </c>
      <c r="E1662" s="97">
        <f t="shared" si="155"/>
        <v>780</v>
      </c>
      <c r="F1662" s="26"/>
      <c r="G1662" s="145"/>
      <c r="I1662" s="11"/>
      <c r="AC1662" s="310">
        <v>780</v>
      </c>
      <c r="AD1662" s="301">
        <v>780</v>
      </c>
      <c r="AE1662" s="301">
        <f t="shared" si="156"/>
        <v>0</v>
      </c>
      <c r="AF1662" s="301"/>
      <c r="AG1662" s="301"/>
      <c r="AH1662" s="301"/>
      <c r="AI1662" s="301"/>
      <c r="AJ1662" s="301"/>
      <c r="AK1662" s="301"/>
      <c r="AL1662" s="301"/>
    </row>
    <row r="1663" spans="1:42">
      <c r="B1663" s="439" t="str">
        <f>IF($C$1="ENG","door lock Soft","замок Soft")</f>
        <v>замок Soft</v>
      </c>
      <c r="C1663" s="440"/>
      <c r="D1663" s="106">
        <f t="shared" si="154"/>
        <v>458.33333333333337</v>
      </c>
      <c r="E1663" s="97">
        <f t="shared" si="155"/>
        <v>550</v>
      </c>
      <c r="F1663" s="26"/>
      <c r="G1663" s="26"/>
      <c r="H1663" s="5"/>
      <c r="AC1663" s="310">
        <v>550</v>
      </c>
      <c r="AD1663" s="301">
        <v>550</v>
      </c>
      <c r="AE1663" s="301">
        <f t="shared" si="156"/>
        <v>0</v>
      </c>
      <c r="AF1663" s="301"/>
      <c r="AG1663" s="301"/>
      <c r="AH1663" s="301"/>
      <c r="AI1663" s="301"/>
      <c r="AJ1663" s="301"/>
      <c r="AK1663" s="301"/>
      <c r="AL1663" s="301"/>
    </row>
    <row r="1664" spans="1:42">
      <c r="B1664" s="439" t="str">
        <f>IF($C$1="ENG","door lock Magnet","замок Magnet")</f>
        <v>замок Magnet</v>
      </c>
      <c r="C1664" s="440"/>
      <c r="D1664" s="106">
        <f t="shared" si="154"/>
        <v>666.66666666666674</v>
      </c>
      <c r="E1664" s="97">
        <f t="shared" si="155"/>
        <v>800.00000000000011</v>
      </c>
      <c r="F1664" s="26"/>
      <c r="G1664" s="26"/>
      <c r="H1664" s="5"/>
      <c r="AC1664" s="310">
        <v>800</v>
      </c>
      <c r="AD1664" s="301">
        <v>800</v>
      </c>
      <c r="AE1664" s="301">
        <f t="shared" si="156"/>
        <v>0</v>
      </c>
      <c r="AF1664" s="301"/>
      <c r="AG1664" s="301"/>
      <c r="AH1664" s="301"/>
      <c r="AI1664" s="301"/>
      <c r="AJ1664" s="301"/>
      <c r="AK1664" s="301"/>
      <c r="AL1664" s="301"/>
    </row>
    <row r="1665" spans="2:38">
      <c r="B1665" s="439" t="str">
        <f>IF($C$1="ENG","cylinder incert","циліндр несиметричний")</f>
        <v>циліндр несиметричний</v>
      </c>
      <c r="C1665" s="440"/>
      <c r="D1665" s="137">
        <f t="shared" si="154"/>
        <v>316.66666666666669</v>
      </c>
      <c r="E1665" s="69">
        <f t="shared" si="155"/>
        <v>380</v>
      </c>
      <c r="F1665" s="26"/>
      <c r="G1665" s="26"/>
      <c r="AC1665" s="310">
        <v>380</v>
      </c>
      <c r="AD1665" s="301">
        <v>380</v>
      </c>
      <c r="AE1665" s="301">
        <f t="shared" si="156"/>
        <v>0</v>
      </c>
      <c r="AF1665" s="301"/>
      <c r="AG1665" s="301"/>
      <c r="AH1665" s="301"/>
      <c r="AI1665" s="301"/>
      <c r="AJ1665" s="301"/>
      <c r="AK1665" s="301"/>
      <c r="AL1665" s="301"/>
    </row>
    <row r="1666" spans="2:38">
      <c r="B1666" s="439" t="str">
        <f>IF($C$1="ENG","door hindge Prestige (1 unit)","завіса Prestige (1 шт)")</f>
        <v>завіса Prestige (1 шт)</v>
      </c>
      <c r="C1666" s="440"/>
      <c r="D1666" s="139">
        <f t="shared" si="154"/>
        <v>216.66666666666669</v>
      </c>
      <c r="E1666" s="69">
        <f t="shared" si="155"/>
        <v>260</v>
      </c>
      <c r="F1666" s="26"/>
      <c r="G1666" s="26"/>
      <c r="AC1666" s="310">
        <v>260</v>
      </c>
      <c r="AD1666" s="301">
        <v>260</v>
      </c>
      <c r="AE1666" s="301">
        <f t="shared" si="156"/>
        <v>0</v>
      </c>
      <c r="AF1666" s="301"/>
      <c r="AG1666" s="301"/>
      <c r="AH1666" s="301"/>
      <c r="AI1666" s="301"/>
      <c r="AJ1666" s="301"/>
      <c r="AK1666" s="301"/>
      <c r="AL1666" s="301"/>
    </row>
    <row r="1667" spans="2:38">
      <c r="B1667" s="439" t="str">
        <f>IF($C$1="ENG","door hinge caps (1 set)","накладка на завіси (1 к-т)")</f>
        <v>накладка на завіси (1 к-т)</v>
      </c>
      <c r="C1667" s="440"/>
      <c r="D1667" s="139">
        <f t="shared" si="154"/>
        <v>66.666666666666671</v>
      </c>
      <c r="E1667" s="69">
        <f t="shared" si="155"/>
        <v>80</v>
      </c>
      <c r="F1667" s="26"/>
      <c r="G1667" s="26"/>
      <c r="AC1667" s="310">
        <v>80</v>
      </c>
      <c r="AD1667" s="301">
        <v>80</v>
      </c>
      <c r="AE1667" s="301">
        <f t="shared" si="156"/>
        <v>0</v>
      </c>
      <c r="AF1667" s="301"/>
      <c r="AG1667" s="301"/>
      <c r="AH1667" s="301"/>
      <c r="AI1667" s="301"/>
      <c r="AJ1667" s="301"/>
      <c r="AK1667" s="301"/>
      <c r="AL1667" s="301"/>
    </row>
    <row r="1668" spans="2:38">
      <c r="B1668" s="439" t="str">
        <f>IF($C$1="ENG","door handle","дверна ручка")</f>
        <v>дверна ручка</v>
      </c>
      <c r="C1668" s="440"/>
      <c r="D1668" s="137">
        <f t="shared" si="154"/>
        <v>0</v>
      </c>
      <c r="E1668" s="140" t="str">
        <f>IF($C$1="ENG","see Handles Price","див. Таблицю Ручки")</f>
        <v>див. Таблицю Ручки</v>
      </c>
      <c r="F1668" s="26"/>
      <c r="G1668" s="26"/>
      <c r="AC1668" s="310">
        <v>0</v>
      </c>
      <c r="AD1668" s="301">
        <f t="shared" ref="AD1661:AD1669" si="157">AC1668/100*13+AC1668</f>
        <v>0</v>
      </c>
      <c r="AE1668" s="301" t="e">
        <f t="shared" si="156"/>
        <v>#DIV/0!</v>
      </c>
      <c r="AF1668" s="301"/>
      <c r="AG1668" s="301"/>
      <c r="AH1668" s="301"/>
      <c r="AI1668" s="301"/>
      <c r="AJ1668" s="301"/>
      <c r="AK1668" s="301"/>
      <c r="AL1668" s="301"/>
    </row>
    <row r="1669" spans="2:38">
      <c r="B1669" s="439" t="str">
        <f>IF($C$1="ENG","perforated chipboard","ДСП трубчасте")</f>
        <v>ДСП трубчасте</v>
      </c>
      <c r="C1669" s="440"/>
      <c r="D1669" s="138">
        <f t="shared" si="154"/>
        <v>775</v>
      </c>
      <c r="E1669" s="72">
        <f>IF($W$5=0.2,D1669*1.2,D1669)/$W$4</f>
        <v>930</v>
      </c>
      <c r="F1669" s="26"/>
      <c r="G1669" s="26"/>
      <c r="AC1669" s="310">
        <v>930</v>
      </c>
      <c r="AD1669" s="301">
        <v>930</v>
      </c>
      <c r="AE1669" s="301">
        <f t="shared" si="156"/>
        <v>0</v>
      </c>
      <c r="AF1669" s="301"/>
      <c r="AG1669" s="301"/>
      <c r="AH1669" s="301"/>
      <c r="AI1669" s="301"/>
      <c r="AJ1669" s="301"/>
      <c r="AK1669" s="301"/>
      <c r="AL1669" s="301"/>
    </row>
    <row r="1670" spans="2:38" ht="14.25" customHeight="1">
      <c r="C1670" s="26"/>
      <c r="D1670" s="26"/>
      <c r="E1670" s="26"/>
      <c r="F1670" s="26"/>
      <c r="G1670" s="26"/>
      <c r="H1670" s="5"/>
      <c r="T1670" s="460" t="str">
        <f>IF($C$1="ENG",CONCATENATE("down to: ",B1720),CONCATENATE("вниз до: ",B1720))</f>
        <v>вниз до: Полотна скляні: ЕЛЕГАНТ</v>
      </c>
      <c r="U1670" s="460"/>
      <c r="V1670" s="460"/>
      <c r="W1670" s="460"/>
    </row>
    <row r="1671" spans="2:38" ht="14.25" customHeight="1">
      <c r="C1671" s="26"/>
      <c r="D1671" s="26"/>
      <c r="E1671" s="26"/>
      <c r="F1671" s="26"/>
      <c r="G1671" s="26"/>
      <c r="H1671" s="5"/>
    </row>
    <row r="1672" spans="2:38" ht="14.25" customHeight="1">
      <c r="C1672" s="26"/>
      <c r="D1672" s="26"/>
      <c r="E1672" s="26"/>
      <c r="F1672" s="26"/>
      <c r="G1672" s="26"/>
      <c r="H1672" s="5"/>
    </row>
    <row r="1673" spans="2:38" ht="14.25" customHeight="1">
      <c r="C1673" s="26"/>
      <c r="D1673" s="26"/>
      <c r="E1673" s="26"/>
      <c r="F1673" s="26"/>
      <c r="G1673" s="26"/>
      <c r="H1673" s="5"/>
    </row>
    <row r="1674" spans="2:38" ht="14.25" customHeight="1">
      <c r="C1674" s="26"/>
      <c r="D1674" s="26"/>
      <c r="E1674" s="26"/>
      <c r="F1674" s="26"/>
      <c r="G1674" s="26"/>
      <c r="H1674" s="5"/>
    </row>
    <row r="1675" spans="2:38" ht="14.25" customHeight="1">
      <c r="C1675" s="26"/>
      <c r="D1675" s="26"/>
      <c r="E1675" s="26"/>
      <c r="F1675" s="26"/>
      <c r="G1675" s="26"/>
      <c r="H1675" s="5"/>
    </row>
    <row r="1676" spans="2:38" ht="14.25" customHeight="1">
      <c r="C1676" s="26"/>
      <c r="D1676" s="26"/>
      <c r="E1676" s="26"/>
      <c r="F1676" s="26"/>
      <c r="G1676" s="26"/>
      <c r="H1676" s="5"/>
    </row>
    <row r="1677" spans="2:38" ht="14.25" customHeight="1">
      <c r="C1677" s="26"/>
      <c r="D1677" s="26"/>
      <c r="E1677" s="26"/>
      <c r="F1677" s="26"/>
      <c r="G1677" s="26"/>
      <c r="H1677" s="5"/>
    </row>
    <row r="1678" spans="2:38" ht="14.25" customHeight="1">
      <c r="C1678" s="26"/>
      <c r="D1678" s="26"/>
      <c r="E1678" s="26"/>
      <c r="F1678" s="26"/>
      <c r="G1678" s="26"/>
      <c r="H1678" s="5"/>
    </row>
    <row r="1679" spans="2:38" ht="14.25" customHeight="1">
      <c r="C1679" s="26"/>
      <c r="D1679" s="26"/>
      <c r="E1679" s="26"/>
      <c r="F1679" s="26"/>
      <c r="G1679" s="26"/>
      <c r="H1679" s="5"/>
    </row>
    <row r="1680" spans="2:38" ht="14.25" customHeight="1">
      <c r="C1680" s="26"/>
      <c r="D1680" s="26"/>
      <c r="E1680" s="26"/>
      <c r="F1680" s="26"/>
      <c r="G1680" s="26"/>
      <c r="H1680" s="5"/>
    </row>
    <row r="1681" spans="3:8" ht="14.25" customHeight="1">
      <c r="C1681" s="26"/>
      <c r="D1681" s="26"/>
      <c r="E1681" s="26"/>
      <c r="F1681" s="26"/>
      <c r="G1681" s="26"/>
      <c r="H1681" s="5"/>
    </row>
    <row r="1682" spans="3:8" ht="14.25" customHeight="1">
      <c r="C1682" s="26"/>
      <c r="D1682" s="26"/>
      <c r="E1682" s="26"/>
      <c r="F1682" s="26"/>
      <c r="G1682" s="26"/>
      <c r="H1682" s="5"/>
    </row>
    <row r="1683" spans="3:8" ht="14.25" customHeight="1">
      <c r="C1683" s="26"/>
      <c r="D1683" s="26"/>
      <c r="E1683" s="26"/>
      <c r="F1683" s="26"/>
      <c r="G1683" s="26"/>
      <c r="H1683" s="5"/>
    </row>
    <row r="1684" spans="3:8" ht="14.25" customHeight="1">
      <c r="C1684" s="26"/>
      <c r="D1684" s="26"/>
      <c r="E1684" s="26"/>
      <c r="F1684" s="26"/>
      <c r="G1684" s="26"/>
      <c r="H1684" s="5"/>
    </row>
    <row r="1685" spans="3:8" ht="14.25" customHeight="1">
      <c r="C1685" s="26"/>
      <c r="D1685" s="26"/>
      <c r="E1685" s="26"/>
      <c r="F1685" s="26"/>
      <c r="G1685" s="26"/>
      <c r="H1685" s="5"/>
    </row>
    <row r="1686" spans="3:8" ht="14.25" customHeight="1">
      <c r="C1686" s="26"/>
      <c r="D1686" s="26"/>
      <c r="E1686" s="26"/>
      <c r="F1686" s="26"/>
      <c r="G1686" s="26"/>
      <c r="H1686" s="5"/>
    </row>
    <row r="1687" spans="3:8" ht="14.25" customHeight="1">
      <c r="C1687" s="26"/>
      <c r="D1687" s="26"/>
      <c r="E1687" s="26"/>
      <c r="F1687" s="26"/>
      <c r="G1687" s="26"/>
      <c r="H1687" s="5"/>
    </row>
    <row r="1688" spans="3:8" ht="14.25" customHeight="1">
      <c r="C1688" s="26"/>
      <c r="D1688" s="26"/>
      <c r="E1688" s="26"/>
      <c r="F1688" s="26"/>
      <c r="G1688" s="26"/>
      <c r="H1688" s="5"/>
    </row>
    <row r="1689" spans="3:8" ht="14.25" customHeight="1">
      <c r="C1689" s="26"/>
      <c r="D1689" s="26"/>
      <c r="E1689" s="26"/>
      <c r="F1689" s="26"/>
      <c r="G1689" s="26"/>
      <c r="H1689" s="5"/>
    </row>
    <row r="1690" spans="3:8" ht="14.25" customHeight="1">
      <c r="C1690" s="26"/>
      <c r="D1690" s="26"/>
      <c r="E1690" s="26"/>
      <c r="F1690" s="26"/>
      <c r="G1690" s="26"/>
      <c r="H1690" s="5"/>
    </row>
    <row r="1691" spans="3:8" ht="14.25" customHeight="1">
      <c r="C1691" s="26"/>
      <c r="D1691" s="26"/>
      <c r="E1691" s="26"/>
      <c r="F1691" s="26"/>
      <c r="G1691" s="26"/>
      <c r="H1691" s="5"/>
    </row>
    <row r="1692" spans="3:8" ht="14.25" customHeight="1">
      <c r="C1692" s="26"/>
      <c r="D1692" s="26"/>
      <c r="E1692" s="26"/>
      <c r="F1692" s="26"/>
      <c r="G1692" s="26"/>
      <c r="H1692" s="5"/>
    </row>
    <row r="1693" spans="3:8" ht="14.25" customHeight="1">
      <c r="C1693" s="26"/>
      <c r="D1693" s="26"/>
      <c r="E1693" s="26"/>
      <c r="F1693" s="26"/>
      <c r="G1693" s="26"/>
      <c r="H1693" s="5"/>
    </row>
    <row r="1694" spans="3:8" ht="14.25" customHeight="1">
      <c r="C1694" s="26"/>
      <c r="D1694" s="26"/>
      <c r="E1694" s="26"/>
      <c r="F1694" s="26"/>
      <c r="G1694" s="26"/>
      <c r="H1694" s="5"/>
    </row>
    <row r="1695" spans="3:8" ht="14.25" customHeight="1">
      <c r="C1695" s="26"/>
      <c r="D1695" s="26"/>
      <c r="E1695" s="26"/>
      <c r="F1695" s="26"/>
      <c r="G1695" s="26"/>
      <c r="H1695" s="5"/>
    </row>
    <row r="1696" spans="3:8" ht="14.25" customHeight="1">
      <c r="C1696" s="26"/>
      <c r="D1696" s="26"/>
      <c r="E1696" s="26"/>
      <c r="F1696" s="26"/>
      <c r="G1696" s="26"/>
      <c r="H1696" s="5"/>
    </row>
    <row r="1697" spans="3:8" ht="14.25" customHeight="1">
      <c r="C1697" s="26"/>
      <c r="D1697" s="26"/>
      <c r="E1697" s="26"/>
      <c r="F1697" s="26"/>
      <c r="G1697" s="26"/>
      <c r="H1697" s="5"/>
    </row>
    <row r="1698" spans="3:8" ht="14.25" customHeight="1">
      <c r="C1698" s="26"/>
      <c r="D1698" s="26"/>
      <c r="E1698" s="26"/>
      <c r="F1698" s="26"/>
      <c r="G1698" s="26"/>
      <c r="H1698" s="5"/>
    </row>
    <row r="1699" spans="3:8" ht="14.25" customHeight="1">
      <c r="C1699" s="26"/>
      <c r="D1699" s="26"/>
      <c r="E1699" s="26"/>
      <c r="F1699" s="26"/>
      <c r="G1699" s="26"/>
      <c r="H1699" s="5"/>
    </row>
    <row r="1700" spans="3:8" ht="14.25" customHeight="1">
      <c r="C1700" s="26"/>
      <c r="D1700" s="26"/>
      <c r="E1700" s="26"/>
      <c r="F1700" s="26"/>
      <c r="G1700" s="26"/>
      <c r="H1700" s="5"/>
    </row>
    <row r="1701" spans="3:8" ht="14.25" customHeight="1">
      <c r="C1701" s="26"/>
      <c r="D1701" s="26"/>
      <c r="E1701" s="26"/>
      <c r="F1701" s="26"/>
      <c r="G1701" s="26"/>
      <c r="H1701" s="5"/>
    </row>
    <row r="1702" spans="3:8" ht="14.25" customHeight="1">
      <c r="C1702" s="26"/>
      <c r="D1702" s="26"/>
      <c r="E1702" s="26"/>
      <c r="F1702" s="26"/>
      <c r="G1702" s="26"/>
      <c r="H1702" s="5"/>
    </row>
    <row r="1703" spans="3:8" ht="14.25" customHeight="1">
      <c r="C1703" s="26"/>
      <c r="D1703" s="26"/>
      <c r="E1703" s="26"/>
      <c r="F1703" s="26"/>
      <c r="G1703" s="26"/>
      <c r="H1703" s="5"/>
    </row>
    <row r="1704" spans="3:8" ht="14.25" customHeight="1">
      <c r="C1704" s="26"/>
      <c r="D1704" s="26"/>
      <c r="E1704" s="26"/>
      <c r="F1704" s="26"/>
      <c r="G1704" s="26"/>
      <c r="H1704" s="5"/>
    </row>
    <row r="1705" spans="3:8" ht="14.25" customHeight="1">
      <c r="C1705" s="26"/>
      <c r="D1705" s="26"/>
      <c r="E1705" s="26"/>
      <c r="F1705" s="26"/>
      <c r="G1705" s="26"/>
      <c r="H1705" s="5"/>
    </row>
    <row r="1706" spans="3:8" ht="14.25" customHeight="1">
      <c r="C1706" s="26"/>
      <c r="D1706" s="26"/>
      <c r="E1706" s="26"/>
      <c r="F1706" s="26"/>
      <c r="G1706" s="26"/>
      <c r="H1706" s="5"/>
    </row>
    <row r="1707" spans="3:8" ht="14.25" customHeight="1">
      <c r="C1707" s="26"/>
      <c r="D1707" s="26"/>
      <c r="E1707" s="26"/>
      <c r="F1707" s="26"/>
      <c r="G1707" s="26"/>
      <c r="H1707" s="5"/>
    </row>
    <row r="1708" spans="3:8" ht="14.25" customHeight="1">
      <c r="C1708" s="26"/>
      <c r="D1708" s="26"/>
      <c r="E1708" s="26"/>
      <c r="F1708" s="26"/>
      <c r="G1708" s="26"/>
      <c r="H1708" s="5"/>
    </row>
    <row r="1709" spans="3:8" ht="14.25" customHeight="1">
      <c r="C1709" s="26"/>
      <c r="D1709" s="26"/>
      <c r="E1709" s="26"/>
      <c r="F1709" s="26"/>
      <c r="G1709" s="26"/>
      <c r="H1709" s="5"/>
    </row>
    <row r="1710" spans="3:8" ht="14.25" customHeight="1">
      <c r="C1710" s="26"/>
      <c r="D1710" s="26"/>
      <c r="E1710" s="26"/>
      <c r="F1710" s="26"/>
      <c r="G1710" s="26"/>
      <c r="H1710" s="5"/>
    </row>
    <row r="1711" spans="3:8" ht="14.25" customHeight="1">
      <c r="C1711" s="26"/>
      <c r="D1711" s="26"/>
      <c r="E1711" s="26"/>
      <c r="F1711" s="26"/>
      <c r="G1711" s="26"/>
      <c r="H1711" s="5"/>
    </row>
    <row r="1712" spans="3:8" ht="14.25" customHeight="1">
      <c r="C1712" s="26"/>
      <c r="D1712" s="26"/>
      <c r="E1712" s="26"/>
      <c r="F1712" s="26"/>
      <c r="G1712" s="26"/>
      <c r="H1712" s="5"/>
    </row>
    <row r="1713" spans="1:46" ht="14.25" customHeight="1">
      <c r="C1713" s="26"/>
      <c r="D1713" s="26"/>
      <c r="E1713" s="26"/>
      <c r="F1713" s="26"/>
      <c r="G1713" s="26"/>
      <c r="H1713" s="5"/>
    </row>
    <row r="1714" spans="1:46" ht="14.25" customHeight="1">
      <c r="C1714" s="26"/>
      <c r="D1714" s="26"/>
      <c r="E1714" s="26"/>
      <c r="F1714" s="26"/>
      <c r="G1714" s="26"/>
      <c r="H1714" s="5"/>
    </row>
    <row r="1715" spans="1:46" ht="14.25" customHeight="1">
      <c r="C1715" s="26"/>
      <c r="D1715" s="26"/>
      <c r="E1715" s="26"/>
      <c r="F1715" s="26"/>
      <c r="G1715" s="26"/>
      <c r="H1715" s="5"/>
    </row>
    <row r="1716" spans="1:46" ht="14.25" customHeight="1">
      <c r="C1716" s="26"/>
      <c r="D1716" s="26"/>
      <c r="E1716" s="26"/>
      <c r="F1716" s="26"/>
      <c r="G1716" s="26"/>
      <c r="H1716" s="5"/>
    </row>
    <row r="1717" spans="1:46" ht="14.25" customHeight="1">
      <c r="C1717" s="26"/>
      <c r="D1717" s="26"/>
      <c r="E1717" s="26"/>
      <c r="F1717" s="26"/>
      <c r="G1717" s="26"/>
      <c r="H1717" s="5"/>
    </row>
    <row r="1718" spans="1:46" ht="14.25" customHeight="1">
      <c r="C1718" s="26"/>
      <c r="D1718" s="26"/>
      <c r="E1718" s="26"/>
      <c r="F1718" s="26"/>
      <c r="G1718" s="26"/>
      <c r="H1718" s="5"/>
    </row>
    <row r="1719" spans="1:46" s="8" customFormat="1">
      <c r="B1719" s="1"/>
      <c r="C1719" s="26"/>
      <c r="D1719" s="26"/>
      <c r="E1719" s="26"/>
      <c r="F1719" s="26"/>
      <c r="G1719" s="26"/>
      <c r="H1719" s="5"/>
      <c r="I1719" s="1"/>
      <c r="J1719" s="1"/>
      <c r="K1719" s="1"/>
      <c r="AN1719" s="291"/>
      <c r="AO1719" s="291"/>
      <c r="AP1719" s="291"/>
      <c r="AQ1719" s="291"/>
      <c r="AR1719" s="291"/>
      <c r="AS1719" s="291"/>
      <c r="AT1719" s="291"/>
    </row>
    <row r="1720" spans="1:46" s="8" customFormat="1" ht="12.75" customHeight="1">
      <c r="B1720" s="421" t="str">
        <f>TITLE!$C$31</f>
        <v>Полотна скляні: ЕЛЕГАНТ</v>
      </c>
      <c r="C1720" s="421"/>
      <c r="D1720" s="122"/>
      <c r="E1720" s="122"/>
      <c r="F1720" s="122"/>
      <c r="G1720" s="122"/>
      <c r="H1720" s="122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S1720" s="125"/>
      <c r="T1720" s="419" t="str">
        <f>IF($C$1="ENG",CONCATENATE("up to: ",B1645),CONCATENATE("вгору до: ",B1645))</f>
        <v>вгору до: Полотна скляні: ЛАЙН</v>
      </c>
      <c r="U1720" s="419"/>
      <c r="V1720" s="419"/>
      <c r="W1720" s="419"/>
      <c r="AN1720" s="291"/>
      <c r="AO1720" s="291"/>
      <c r="AP1720" s="291"/>
      <c r="AQ1720" s="291"/>
      <c r="AR1720" s="291"/>
      <c r="AS1720" s="291"/>
      <c r="AT1720" s="291"/>
    </row>
    <row r="1721" spans="1:46" ht="4.5" customHeight="1">
      <c r="A1721" s="8"/>
      <c r="B1721" s="121"/>
      <c r="C1721" s="121"/>
      <c r="D1721" s="9"/>
      <c r="E1721" s="9"/>
      <c r="F1721" s="10"/>
      <c r="G1721" s="10"/>
      <c r="H1721" s="10"/>
      <c r="I1721" s="8"/>
      <c r="J1721" s="8"/>
      <c r="K1721" s="8"/>
      <c r="L1721" s="8"/>
      <c r="M1721" s="11"/>
      <c r="P1721" s="8"/>
      <c r="Q1721" s="11"/>
    </row>
    <row r="1722" spans="1:46" ht="12.75" customHeight="1">
      <c r="A1722" s="8"/>
      <c r="B1722" s="448" t="str">
        <f>IF($C$1="ENG","model","модель")</f>
        <v>модель</v>
      </c>
      <c r="C1722" s="126" t="str">
        <f>IF($C$1="ENG","cover:","покриття:")</f>
        <v>покриття:</v>
      </c>
      <c r="D1722" s="430" t="str">
        <f>IF($C$1="ENG","VERTO-CELL","VERTO-CELL")</f>
        <v>VERTO-CELL</v>
      </c>
      <c r="E1722" s="432"/>
      <c r="F1722" s="430" t="str">
        <f>IF($C$1="ENG","RESIST","RESIST")</f>
        <v>RESIST</v>
      </c>
      <c r="G1722" s="432"/>
      <c r="H1722" s="430" t="str">
        <f>IF($C$1="ENG","Verto LINE-3D","Verto LINE-3D")</f>
        <v>Verto LINE-3D</v>
      </c>
      <c r="I1722" s="432"/>
      <c r="J1722" s="430" t="str">
        <f>IF($C$1="ENG","ECO Shpon","ЕКО Шпон")</f>
        <v>ЕКО Шпон</v>
      </c>
      <c r="K1722" s="432"/>
      <c r="L1722" s="8"/>
      <c r="M1722" s="11"/>
      <c r="P1722" s="8"/>
      <c r="Q1722" s="11"/>
    </row>
    <row r="1723" spans="1:46" ht="24.75" customHeight="1">
      <c r="A1723" s="8"/>
      <c r="B1723" s="449"/>
      <c r="C1723" s="127" t="str">
        <f>IF($C$1="ENG","filling:","заповнення:")</f>
        <v>заповнення:</v>
      </c>
      <c r="D1723" s="441" t="str">
        <f>IF($C$1="ENG","softwood","клеєний сосновий брус")</f>
        <v>клеєний сосновий брус</v>
      </c>
      <c r="E1723" s="442"/>
      <c r="F1723" s="441" t="str">
        <f>IF($C$1="ENG","softwood","клеєний сосновий брус")</f>
        <v>клеєний сосновий брус</v>
      </c>
      <c r="G1723" s="442"/>
      <c r="H1723" s="441" t="str">
        <f>IF($C$1="ENG","softwood","клеєний сосновий брус")</f>
        <v>клеєний сосновий брус</v>
      </c>
      <c r="I1723" s="442"/>
      <c r="J1723" s="441" t="str">
        <f>IF($C$1="ENG","softwood","клеєний сосновий брус")</f>
        <v>клеєний сосновий брус</v>
      </c>
      <c r="K1723" s="442"/>
      <c r="L1723" s="8"/>
      <c r="M1723" s="11"/>
      <c r="P1723" s="8"/>
      <c r="Q1723" s="11"/>
    </row>
    <row r="1724" spans="1:46">
      <c r="A1724" s="8"/>
      <c r="B1724" s="450"/>
      <c r="C1724" s="128" t="str">
        <f>IF($C$1="ENG","glazing:","скління:")</f>
        <v>скління:</v>
      </c>
      <c r="D1724" s="424" t="str">
        <f>IF($C$1="ENG","Drawing / Satin (1)","Малюнок / Сатин (1)")</f>
        <v>Малюнок / Сатин (1)</v>
      </c>
      <c r="E1724" s="434"/>
      <c r="F1724" s="424" t="str">
        <f>IF($C$1="ENG","Drawing / Satin (1)","Малюнок / Сатин (1)")</f>
        <v>Малюнок / Сатин (1)</v>
      </c>
      <c r="G1724" s="434"/>
      <c r="H1724" s="424" t="str">
        <f>IF($C$1="ENG","Drawing / Satin (1)","Малюнок / Сатин (1)")</f>
        <v>Малюнок / Сатин (1)</v>
      </c>
      <c r="I1724" s="434"/>
      <c r="J1724" s="424" t="str">
        <f>IF($C$1="ENG","Drawing / Satin (1)","Малюнок / Сатин (1)")</f>
        <v>Малюнок / Сатин (1)</v>
      </c>
      <c r="K1724" s="434"/>
      <c r="L1724" s="108"/>
      <c r="M1724" s="20"/>
      <c r="N1724" s="108"/>
      <c r="O1724" s="20"/>
      <c r="P1724" s="108"/>
      <c r="Q1724" s="20"/>
      <c r="R1724" s="108"/>
      <c r="S1724" s="20"/>
      <c r="T1724" s="108"/>
      <c r="V1724" s="108"/>
      <c r="W1724" s="20"/>
      <c r="X1724" s="22"/>
      <c r="Y1724" s="22"/>
      <c r="Z1724" s="22"/>
      <c r="AA1724" s="22"/>
      <c r="AB1724" s="22"/>
    </row>
    <row r="1725" spans="1:46" ht="35.1" customHeight="1">
      <c r="A1725" s="8"/>
      <c r="B1725" s="13">
        <v>1</v>
      </c>
      <c r="C1725" s="14"/>
      <c r="D1725" s="15">
        <f t="shared" ref="D1725:D1731" si="158">IF(AC1725="","",(1-$W$2)*(AC1725/1.2))</f>
        <v>6500</v>
      </c>
      <c r="E1725" s="67">
        <f t="shared" ref="E1725:E1731" si="159">IF($W$5=0.2,D1725*1.2,D1725)/$W$4</f>
        <v>7800</v>
      </c>
      <c r="F1725" s="15">
        <f t="shared" ref="F1725:F1731" si="160">IF(AD1725="","",(1-$W$2)*(AD1725/1.2))</f>
        <v>7266.666666666667</v>
      </c>
      <c r="G1725" s="67">
        <f t="shared" ref="G1725:G1731" si="161">IF($W$5=0.2,F1725*1.2,F1725)/$W$4</f>
        <v>8720</v>
      </c>
      <c r="H1725" s="15">
        <f t="shared" ref="H1725:H1731" si="162">IF(AE1725="","",(1-$W$2)*(AE1725/1.2))</f>
        <v>7625</v>
      </c>
      <c r="I1725" s="67">
        <f t="shared" ref="I1725:I1731" si="163">IF($W$5=0.2,H1725*1.2,H1725)/$W$4</f>
        <v>9150</v>
      </c>
      <c r="J1725" s="15">
        <f>IF(AF1725="","",(1-$W$2)*(AF1725/1.2))</f>
        <v>7991.666666666667</v>
      </c>
      <c r="K1725" s="67">
        <f t="shared" ref="K1725:K1731" si="164">IF($W$5=0.2,J1725*1.2,J1725)/$W$4</f>
        <v>9590</v>
      </c>
      <c r="L1725" s="108"/>
      <c r="M1725" s="20"/>
      <c r="N1725" s="108"/>
      <c r="O1725" s="20"/>
      <c r="P1725" s="108"/>
      <c r="Q1725" s="20"/>
      <c r="R1725" s="108"/>
      <c r="S1725" s="20"/>
      <c r="T1725" s="108"/>
      <c r="V1725" s="108"/>
      <c r="W1725" s="20"/>
      <c r="AC1725" s="346">
        <v>7800</v>
      </c>
      <c r="AD1725" s="346">
        <v>8720</v>
      </c>
      <c r="AE1725" s="346">
        <v>9150</v>
      </c>
      <c r="AF1725" s="346">
        <v>9590</v>
      </c>
      <c r="AG1725" s="301">
        <v>7800</v>
      </c>
      <c r="AH1725" s="301">
        <f>AG1725/AC1725-1</f>
        <v>0</v>
      </c>
      <c r="AI1725" s="301">
        <v>8720</v>
      </c>
      <c r="AJ1725" s="301">
        <f>AI1725/AD1725-1</f>
        <v>0</v>
      </c>
      <c r="AK1725" s="301">
        <v>9150</v>
      </c>
      <c r="AL1725" s="301">
        <f>AK1725/AE1725-1</f>
        <v>0</v>
      </c>
      <c r="AM1725" s="301">
        <v>9590</v>
      </c>
      <c r="AN1725" s="301">
        <f>AM1725/AF1725-1</f>
        <v>0</v>
      </c>
      <c r="AO1725" s="1"/>
      <c r="AP1725" s="1"/>
    </row>
    <row r="1726" spans="1:46" ht="35.1" customHeight="1">
      <c r="A1726" s="8"/>
      <c r="B1726" s="16">
        <v>2</v>
      </c>
      <c r="C1726" s="17"/>
      <c r="D1726" s="18">
        <f t="shared" si="158"/>
        <v>7133.3333333333339</v>
      </c>
      <c r="E1726" s="69">
        <f t="shared" si="159"/>
        <v>8560</v>
      </c>
      <c r="F1726" s="18">
        <f t="shared" si="160"/>
        <v>7991.666666666667</v>
      </c>
      <c r="G1726" s="69">
        <f t="shared" si="161"/>
        <v>9590</v>
      </c>
      <c r="H1726" s="18">
        <f t="shared" si="162"/>
        <v>8333.3333333333339</v>
      </c>
      <c r="I1726" s="69">
        <f t="shared" si="163"/>
        <v>10000</v>
      </c>
      <c r="J1726" s="18">
        <f t="shared" ref="J1726:J1731" si="165">IF(AF1726="","",(1-$W$2)*(AF1726/1.2))</f>
        <v>8700</v>
      </c>
      <c r="K1726" s="69">
        <f t="shared" si="164"/>
        <v>10440</v>
      </c>
      <c r="L1726" s="108"/>
      <c r="M1726" s="20"/>
      <c r="N1726" s="108"/>
      <c r="O1726" s="20"/>
      <c r="P1726" s="108"/>
      <c r="Q1726" s="20"/>
      <c r="R1726" s="108"/>
      <c r="S1726" s="20"/>
      <c r="T1726" s="108"/>
      <c r="V1726" s="108"/>
      <c r="W1726" s="20"/>
      <c r="AC1726" s="346">
        <v>8560</v>
      </c>
      <c r="AD1726" s="346">
        <v>9590</v>
      </c>
      <c r="AE1726" s="346">
        <v>10000</v>
      </c>
      <c r="AF1726" s="346">
        <v>10440</v>
      </c>
      <c r="AG1726" s="301">
        <v>8560</v>
      </c>
      <c r="AH1726" s="301">
        <f t="shared" ref="AH1726:AH1731" si="166">AG1726/AC1726-1</f>
        <v>0</v>
      </c>
      <c r="AI1726" s="301">
        <v>9590</v>
      </c>
      <c r="AJ1726" s="301">
        <f t="shared" ref="AJ1726:AJ1731" si="167">AI1726/AD1726-1</f>
        <v>0</v>
      </c>
      <c r="AK1726" s="301">
        <v>10000</v>
      </c>
      <c r="AL1726" s="301">
        <f t="shared" ref="AL1726:AL1731" si="168">AK1726/AE1726-1</f>
        <v>0</v>
      </c>
      <c r="AM1726" s="301">
        <v>10440</v>
      </c>
      <c r="AN1726" s="301">
        <f t="shared" ref="AN1726:AN1731" si="169">AM1726/AF1726-1</f>
        <v>0</v>
      </c>
      <c r="AO1726" s="1"/>
      <c r="AP1726" s="1"/>
    </row>
    <row r="1727" spans="1:46" ht="35.1" customHeight="1">
      <c r="A1727" s="8"/>
      <c r="B1727" s="16">
        <v>3</v>
      </c>
      <c r="C1727" s="17"/>
      <c r="D1727" s="18">
        <f t="shared" si="158"/>
        <v>7133.3333333333339</v>
      </c>
      <c r="E1727" s="69">
        <f t="shared" si="159"/>
        <v>8560</v>
      </c>
      <c r="F1727" s="18">
        <f t="shared" si="160"/>
        <v>7991.666666666667</v>
      </c>
      <c r="G1727" s="69">
        <f t="shared" si="161"/>
        <v>9590</v>
      </c>
      <c r="H1727" s="18">
        <f t="shared" si="162"/>
        <v>8333.3333333333339</v>
      </c>
      <c r="I1727" s="69">
        <f t="shared" si="163"/>
        <v>10000</v>
      </c>
      <c r="J1727" s="18">
        <f t="shared" si="165"/>
        <v>8700</v>
      </c>
      <c r="K1727" s="69">
        <f t="shared" si="164"/>
        <v>10440</v>
      </c>
      <c r="L1727" s="108"/>
      <c r="M1727" s="20"/>
      <c r="N1727" s="108"/>
      <c r="O1727" s="20"/>
      <c r="P1727" s="108"/>
      <c r="Q1727" s="20"/>
      <c r="R1727" s="108"/>
      <c r="S1727" s="20"/>
      <c r="T1727" s="108"/>
      <c r="V1727" s="108"/>
      <c r="W1727" s="20"/>
      <c r="AC1727" s="346">
        <v>8560</v>
      </c>
      <c r="AD1727" s="346">
        <v>9590</v>
      </c>
      <c r="AE1727" s="346">
        <v>10000</v>
      </c>
      <c r="AF1727" s="346">
        <v>10440</v>
      </c>
      <c r="AG1727" s="301">
        <v>8560</v>
      </c>
      <c r="AH1727" s="301">
        <f t="shared" si="166"/>
        <v>0</v>
      </c>
      <c r="AI1727" s="301">
        <v>9590</v>
      </c>
      <c r="AJ1727" s="301">
        <f t="shared" si="167"/>
        <v>0</v>
      </c>
      <c r="AK1727" s="301">
        <v>10000</v>
      </c>
      <c r="AL1727" s="301">
        <f t="shared" si="168"/>
        <v>0</v>
      </c>
      <c r="AM1727" s="301">
        <v>10440</v>
      </c>
      <c r="AN1727" s="301">
        <f t="shared" si="169"/>
        <v>0</v>
      </c>
      <c r="AO1727" s="1"/>
      <c r="AP1727" s="1"/>
    </row>
    <row r="1728" spans="1:46" ht="35.1" customHeight="1">
      <c r="A1728" s="8"/>
      <c r="B1728" s="16">
        <v>4</v>
      </c>
      <c r="C1728" s="17"/>
      <c r="D1728" s="18">
        <f t="shared" si="158"/>
        <v>7133.3333333333339</v>
      </c>
      <c r="E1728" s="69">
        <f t="shared" si="159"/>
        <v>8560</v>
      </c>
      <c r="F1728" s="18">
        <f t="shared" si="160"/>
        <v>7991.666666666667</v>
      </c>
      <c r="G1728" s="69">
        <f t="shared" si="161"/>
        <v>9590</v>
      </c>
      <c r="H1728" s="18">
        <f t="shared" si="162"/>
        <v>8333.3333333333339</v>
      </c>
      <c r="I1728" s="69">
        <f t="shared" si="163"/>
        <v>10000</v>
      </c>
      <c r="J1728" s="18">
        <f t="shared" si="165"/>
        <v>8700</v>
      </c>
      <c r="K1728" s="69">
        <f t="shared" si="164"/>
        <v>10440</v>
      </c>
      <c r="L1728" s="108"/>
      <c r="M1728" s="20"/>
      <c r="N1728" s="108"/>
      <c r="O1728" s="20"/>
      <c r="P1728" s="108"/>
      <c r="Q1728" s="20"/>
      <c r="R1728" s="108"/>
      <c r="S1728" s="20"/>
      <c r="T1728" s="108"/>
      <c r="V1728" s="108"/>
      <c r="W1728" s="20"/>
      <c r="AC1728" s="346">
        <v>8560</v>
      </c>
      <c r="AD1728" s="346">
        <v>9590</v>
      </c>
      <c r="AE1728" s="346">
        <v>10000</v>
      </c>
      <c r="AF1728" s="346">
        <v>10440</v>
      </c>
      <c r="AG1728" s="301">
        <v>8560</v>
      </c>
      <c r="AH1728" s="301">
        <f t="shared" si="166"/>
        <v>0</v>
      </c>
      <c r="AI1728" s="301">
        <v>9590</v>
      </c>
      <c r="AJ1728" s="301">
        <f t="shared" si="167"/>
        <v>0</v>
      </c>
      <c r="AK1728" s="301">
        <v>10000</v>
      </c>
      <c r="AL1728" s="301">
        <f t="shared" si="168"/>
        <v>0</v>
      </c>
      <c r="AM1728" s="301">
        <v>10440</v>
      </c>
      <c r="AN1728" s="301">
        <f t="shared" si="169"/>
        <v>0</v>
      </c>
      <c r="AO1728" s="1"/>
      <c r="AP1728" s="1"/>
    </row>
    <row r="1729" spans="1:42" ht="35.1" customHeight="1">
      <c r="A1729" s="8"/>
      <c r="B1729" s="16">
        <v>5</v>
      </c>
      <c r="C1729" s="17"/>
      <c r="D1729" s="18">
        <f t="shared" si="158"/>
        <v>7133.3333333333339</v>
      </c>
      <c r="E1729" s="69">
        <f t="shared" si="159"/>
        <v>8560</v>
      </c>
      <c r="F1729" s="18">
        <f t="shared" si="160"/>
        <v>7991.666666666667</v>
      </c>
      <c r="G1729" s="69">
        <f t="shared" si="161"/>
        <v>9590</v>
      </c>
      <c r="H1729" s="18">
        <f t="shared" si="162"/>
        <v>8333.3333333333339</v>
      </c>
      <c r="I1729" s="69">
        <f t="shared" si="163"/>
        <v>10000</v>
      </c>
      <c r="J1729" s="18">
        <f t="shared" si="165"/>
        <v>8700</v>
      </c>
      <c r="K1729" s="69">
        <f t="shared" si="164"/>
        <v>10440</v>
      </c>
      <c r="L1729" s="108"/>
      <c r="M1729" s="20"/>
      <c r="N1729" s="108"/>
      <c r="O1729" s="20"/>
      <c r="P1729" s="108"/>
      <c r="Q1729" s="20"/>
      <c r="R1729" s="108"/>
      <c r="S1729" s="20"/>
      <c r="T1729" s="42"/>
      <c r="V1729" s="108"/>
      <c r="W1729" s="20"/>
      <c r="AC1729" s="346">
        <v>8560</v>
      </c>
      <c r="AD1729" s="346">
        <v>9590</v>
      </c>
      <c r="AE1729" s="346">
        <v>10000</v>
      </c>
      <c r="AF1729" s="346">
        <v>10440</v>
      </c>
      <c r="AG1729" s="301">
        <v>8560</v>
      </c>
      <c r="AH1729" s="301">
        <f t="shared" si="166"/>
        <v>0</v>
      </c>
      <c r="AI1729" s="301">
        <v>9590</v>
      </c>
      <c r="AJ1729" s="301">
        <f t="shared" si="167"/>
        <v>0</v>
      </c>
      <c r="AK1729" s="301">
        <v>10000</v>
      </c>
      <c r="AL1729" s="301">
        <f t="shared" si="168"/>
        <v>0</v>
      </c>
      <c r="AM1729" s="301">
        <v>10440</v>
      </c>
      <c r="AN1729" s="301">
        <f t="shared" si="169"/>
        <v>0</v>
      </c>
      <c r="AO1729" s="1"/>
      <c r="AP1729" s="1"/>
    </row>
    <row r="1730" spans="1:42" ht="35.1" customHeight="1">
      <c r="A1730" s="8"/>
      <c r="B1730" s="16">
        <v>6</v>
      </c>
      <c r="C1730" s="17"/>
      <c r="D1730" s="18">
        <f t="shared" si="158"/>
        <v>7133.3333333333339</v>
      </c>
      <c r="E1730" s="69">
        <f t="shared" si="159"/>
        <v>8560</v>
      </c>
      <c r="F1730" s="18">
        <f t="shared" si="160"/>
        <v>7991.666666666667</v>
      </c>
      <c r="G1730" s="69">
        <f t="shared" si="161"/>
        <v>9590</v>
      </c>
      <c r="H1730" s="18">
        <f t="shared" si="162"/>
        <v>8333.3333333333339</v>
      </c>
      <c r="I1730" s="69">
        <f t="shared" si="163"/>
        <v>10000</v>
      </c>
      <c r="J1730" s="18">
        <f t="shared" si="165"/>
        <v>8700</v>
      </c>
      <c r="K1730" s="69">
        <f t="shared" si="164"/>
        <v>10440</v>
      </c>
      <c r="L1730" s="108"/>
      <c r="M1730" s="20"/>
      <c r="N1730" s="108"/>
      <c r="O1730" s="20"/>
      <c r="P1730" s="108"/>
      <c r="Q1730" s="20"/>
      <c r="R1730" s="108"/>
      <c r="S1730" s="20"/>
      <c r="T1730" s="42"/>
      <c r="V1730" s="108"/>
      <c r="W1730" s="20"/>
      <c r="AC1730" s="346">
        <v>8560</v>
      </c>
      <c r="AD1730" s="346">
        <v>9590</v>
      </c>
      <c r="AE1730" s="346">
        <v>10000</v>
      </c>
      <c r="AF1730" s="346">
        <v>10440</v>
      </c>
      <c r="AG1730" s="301">
        <v>8560</v>
      </c>
      <c r="AH1730" s="301">
        <f t="shared" si="166"/>
        <v>0</v>
      </c>
      <c r="AI1730" s="301">
        <v>9590</v>
      </c>
      <c r="AJ1730" s="301">
        <f t="shared" si="167"/>
        <v>0</v>
      </c>
      <c r="AK1730" s="301">
        <v>10000</v>
      </c>
      <c r="AL1730" s="301">
        <f t="shared" si="168"/>
        <v>0</v>
      </c>
      <c r="AM1730" s="301">
        <v>10440</v>
      </c>
      <c r="AN1730" s="301">
        <f t="shared" si="169"/>
        <v>0</v>
      </c>
      <c r="AO1730" s="1"/>
      <c r="AP1730" s="1"/>
    </row>
    <row r="1731" spans="1:42" ht="34.5" customHeight="1">
      <c r="B1731" s="23">
        <v>7</v>
      </c>
      <c r="C1731" s="24"/>
      <c r="D1731" s="25">
        <f t="shared" si="158"/>
        <v>7133.3333333333339</v>
      </c>
      <c r="E1731" s="72">
        <f t="shared" si="159"/>
        <v>8560</v>
      </c>
      <c r="F1731" s="25">
        <f t="shared" si="160"/>
        <v>7991.666666666667</v>
      </c>
      <c r="G1731" s="72">
        <f t="shared" si="161"/>
        <v>9590</v>
      </c>
      <c r="H1731" s="25">
        <f t="shared" si="162"/>
        <v>8333.3333333333339</v>
      </c>
      <c r="I1731" s="72">
        <f t="shared" si="163"/>
        <v>10000</v>
      </c>
      <c r="J1731" s="25">
        <f t="shared" si="165"/>
        <v>8700</v>
      </c>
      <c r="K1731" s="72">
        <f t="shared" si="164"/>
        <v>10440</v>
      </c>
      <c r="L1731" s="8"/>
      <c r="P1731" s="8"/>
      <c r="AC1731" s="346">
        <v>8560</v>
      </c>
      <c r="AD1731" s="346">
        <v>9590</v>
      </c>
      <c r="AE1731" s="346">
        <v>10000</v>
      </c>
      <c r="AF1731" s="346">
        <v>10440</v>
      </c>
      <c r="AG1731" s="301">
        <v>8560</v>
      </c>
      <c r="AH1731" s="301">
        <f t="shared" si="166"/>
        <v>0</v>
      </c>
      <c r="AI1731" s="301">
        <v>9590</v>
      </c>
      <c r="AJ1731" s="301">
        <f t="shared" si="167"/>
        <v>0</v>
      </c>
      <c r="AK1731" s="301">
        <v>10000</v>
      </c>
      <c r="AL1731" s="301">
        <f t="shared" si="168"/>
        <v>0</v>
      </c>
      <c r="AM1731" s="301">
        <v>10440</v>
      </c>
      <c r="AN1731" s="301">
        <f t="shared" si="169"/>
        <v>0</v>
      </c>
      <c r="AO1731" s="1"/>
      <c r="AP1731" s="1"/>
    </row>
    <row r="1732" spans="1:42">
      <c r="C1732" s="26"/>
      <c r="D1732" s="26"/>
      <c r="E1732" s="60"/>
      <c r="F1732" s="10"/>
      <c r="G1732" s="10"/>
      <c r="H1732" s="10"/>
      <c r="I1732" s="8"/>
      <c r="J1732" s="8"/>
      <c r="K1732" s="8"/>
      <c r="L1732" s="8"/>
      <c r="P1732" s="8"/>
    </row>
    <row r="1733" spans="1:42" ht="12.75" customHeight="1">
      <c r="B1733" s="220" t="str">
        <f>IF($C$1="ENG","For additonal charge:","Послуги за додаткову плату:")</f>
        <v>Послуги за додаткову плату:</v>
      </c>
      <c r="C1733" s="221"/>
      <c r="D1733" s="221"/>
      <c r="E1733" s="222"/>
      <c r="F1733" s="26"/>
      <c r="G1733" s="60"/>
      <c r="H1733" s="10"/>
      <c r="I1733" s="8"/>
      <c r="J1733" s="8"/>
      <c r="K1733" s="8"/>
    </row>
    <row r="1734" spans="1:42" ht="4.5" customHeight="1">
      <c r="B1734" s="103"/>
      <c r="C1734" s="39"/>
      <c r="D1734" s="26"/>
      <c r="E1734" s="60"/>
      <c r="F1734" s="26"/>
      <c r="G1734" s="26"/>
      <c r="H1734" s="10"/>
      <c r="I1734" s="8"/>
      <c r="J1734" s="8"/>
      <c r="K1734" s="8"/>
    </row>
    <row r="1735" spans="1:42">
      <c r="B1735" s="446" t="str">
        <f>IF($C$1="ENG","glazing Triplex mat / black","скло Триплекс матовий / чорний")</f>
        <v>скло Триплекс матовий / чорний</v>
      </c>
      <c r="C1735" s="447"/>
      <c r="D1735" s="105">
        <f t="shared" ref="D1735:D1742" si="170">IF(AC1735="","",(1-$W$2)*(AC1735/1.2))</f>
        <v>1125</v>
      </c>
      <c r="E1735" s="96">
        <f t="shared" ref="E1735:E1741" si="171">IF($W$5=0.2,D1735*1.2,D1735)/$W$4</f>
        <v>1350</v>
      </c>
      <c r="F1735" s="26"/>
      <c r="G1735" s="26"/>
      <c r="I1735" s="11"/>
      <c r="J1735" s="11"/>
      <c r="K1735" s="19"/>
      <c r="AC1735" s="301">
        <v>1350</v>
      </c>
      <c r="AD1735" s="301">
        <v>1350</v>
      </c>
      <c r="AE1735" s="301">
        <f>AD1735/AC1735-1</f>
        <v>0</v>
      </c>
      <c r="AF1735" s="301"/>
      <c r="AG1735" s="301"/>
      <c r="AH1735" s="301"/>
      <c r="AI1735" s="301"/>
      <c r="AJ1735" s="301"/>
      <c r="AK1735" s="301"/>
      <c r="AL1735" s="301"/>
    </row>
    <row r="1736" spans="1:42">
      <c r="B1736" s="439" t="str">
        <f>IF($C$1="ENG","glazing Graphite / Bronze","скло Графіт / Бронза")</f>
        <v>скло Графіт / Бронза</v>
      </c>
      <c r="C1736" s="440"/>
      <c r="D1736" s="106">
        <f t="shared" si="170"/>
        <v>766.66666666666674</v>
      </c>
      <c r="E1736" s="97">
        <f t="shared" si="171"/>
        <v>920.00000000000011</v>
      </c>
      <c r="F1736" s="26"/>
      <c r="G1736" s="145"/>
      <c r="AC1736" s="301">
        <v>920</v>
      </c>
      <c r="AD1736" s="301">
        <v>920</v>
      </c>
      <c r="AE1736" s="301">
        <f t="shared" ref="AE1736:AE1741" si="172">AD1736/AC1736-1</f>
        <v>0</v>
      </c>
      <c r="AF1736" s="301"/>
      <c r="AG1736" s="301"/>
      <c r="AH1736" s="301"/>
      <c r="AI1736" s="301"/>
      <c r="AJ1736" s="301"/>
      <c r="AK1736" s="301"/>
      <c r="AL1736" s="301"/>
    </row>
    <row r="1737" spans="1:42">
      <c r="B1737" s="439" t="str">
        <f>IF($C$1="ENG","door lock Soft","замок Soft")</f>
        <v>замок Soft</v>
      </c>
      <c r="C1737" s="440"/>
      <c r="D1737" s="106">
        <f t="shared" si="170"/>
        <v>466.66666666666669</v>
      </c>
      <c r="E1737" s="97">
        <f t="shared" si="171"/>
        <v>560</v>
      </c>
      <c r="F1737" s="26"/>
      <c r="G1737" s="26"/>
      <c r="H1737" s="5"/>
      <c r="AC1737" s="301">
        <v>560</v>
      </c>
      <c r="AD1737" s="301">
        <v>560</v>
      </c>
      <c r="AE1737" s="301">
        <f t="shared" si="172"/>
        <v>0</v>
      </c>
      <c r="AF1737" s="301"/>
      <c r="AG1737" s="301"/>
      <c r="AH1737" s="301"/>
      <c r="AI1737" s="301"/>
      <c r="AJ1737" s="301"/>
      <c r="AK1737" s="301"/>
      <c r="AL1737" s="301"/>
    </row>
    <row r="1738" spans="1:42">
      <c r="B1738" s="439" t="str">
        <f>IF($C$1="ENG","door lock Magnet","замок Magnet")</f>
        <v>замок Magnet</v>
      </c>
      <c r="C1738" s="440"/>
      <c r="D1738" s="106">
        <f t="shared" si="170"/>
        <v>666.66666666666674</v>
      </c>
      <c r="E1738" s="97">
        <f t="shared" si="171"/>
        <v>800.00000000000011</v>
      </c>
      <c r="F1738" s="26"/>
      <c r="G1738" s="26"/>
      <c r="H1738" s="5"/>
      <c r="AC1738" s="301">
        <v>800</v>
      </c>
      <c r="AD1738" s="301">
        <v>800</v>
      </c>
      <c r="AE1738" s="301">
        <f t="shared" si="172"/>
        <v>0</v>
      </c>
      <c r="AF1738" s="301"/>
      <c r="AG1738" s="301"/>
      <c r="AH1738" s="301"/>
      <c r="AI1738" s="301"/>
      <c r="AJ1738" s="301"/>
      <c r="AK1738" s="301"/>
      <c r="AL1738" s="301"/>
    </row>
    <row r="1739" spans="1:42">
      <c r="B1739" s="439" t="str">
        <f>IF($C$1="ENG","cylinder incert","циліндр несиметричний")</f>
        <v>циліндр несиметричний</v>
      </c>
      <c r="C1739" s="440"/>
      <c r="D1739" s="137">
        <f t="shared" si="170"/>
        <v>325</v>
      </c>
      <c r="E1739" s="69">
        <f t="shared" si="171"/>
        <v>390</v>
      </c>
      <c r="F1739" s="26"/>
      <c r="G1739" s="26"/>
      <c r="AC1739" s="301">
        <v>390</v>
      </c>
      <c r="AD1739" s="301">
        <v>390</v>
      </c>
      <c r="AE1739" s="301">
        <f t="shared" si="172"/>
        <v>0</v>
      </c>
      <c r="AF1739" s="301"/>
      <c r="AG1739" s="301"/>
      <c r="AH1739" s="301"/>
      <c r="AI1739" s="301"/>
      <c r="AJ1739" s="301"/>
      <c r="AK1739" s="301"/>
      <c r="AL1739" s="301"/>
    </row>
    <row r="1740" spans="1:42">
      <c r="B1740" s="439" t="str">
        <f>IF($C$1="ENG","door hindge Prestige (1 unit)","завіса Prestige (1 шт)")</f>
        <v>завіса Prestige (1 шт)</v>
      </c>
      <c r="C1740" s="440"/>
      <c r="D1740" s="139">
        <f t="shared" si="170"/>
        <v>216.66666666666669</v>
      </c>
      <c r="E1740" s="69">
        <f t="shared" si="171"/>
        <v>260</v>
      </c>
      <c r="F1740" s="26"/>
      <c r="G1740" s="26"/>
      <c r="AC1740" s="301">
        <v>260</v>
      </c>
      <c r="AD1740" s="301">
        <v>260</v>
      </c>
      <c r="AE1740" s="301">
        <f t="shared" si="172"/>
        <v>0</v>
      </c>
      <c r="AF1740" s="301"/>
      <c r="AG1740" s="301"/>
      <c r="AH1740" s="301"/>
      <c r="AI1740" s="301"/>
      <c r="AJ1740" s="301"/>
      <c r="AK1740" s="301"/>
      <c r="AL1740" s="301"/>
    </row>
    <row r="1741" spans="1:42">
      <c r="B1741" s="439" t="str">
        <f>IF($C$1="ENG","door hinge caps (1 set)","накладка на завіси (1 к-т)")</f>
        <v>накладка на завіси (1 к-т)</v>
      </c>
      <c r="C1741" s="440"/>
      <c r="D1741" s="139">
        <f t="shared" si="170"/>
        <v>66.666666666666671</v>
      </c>
      <c r="E1741" s="69">
        <f t="shared" si="171"/>
        <v>80</v>
      </c>
      <c r="F1741" s="26"/>
      <c r="G1741" s="26"/>
      <c r="AC1741" s="301">
        <v>80</v>
      </c>
      <c r="AD1741" s="301">
        <v>80</v>
      </c>
      <c r="AE1741" s="301">
        <f t="shared" si="172"/>
        <v>0</v>
      </c>
      <c r="AF1741" s="301"/>
      <c r="AG1741" s="301"/>
      <c r="AH1741" s="301"/>
      <c r="AI1741" s="301"/>
      <c r="AJ1741" s="301"/>
      <c r="AK1741" s="301"/>
      <c r="AL1741" s="301"/>
    </row>
    <row r="1742" spans="1:42">
      <c r="B1742" s="439" t="str">
        <f>IF($C$1="ENG","door handle","дверна ручка")</f>
        <v>дверна ручка</v>
      </c>
      <c r="C1742" s="440"/>
      <c r="D1742" s="138" t="str">
        <f t="shared" si="170"/>
        <v/>
      </c>
      <c r="E1742" s="256" t="str">
        <f>IF($C$1="ENG","see Handles Price","див. Таблицю Ручки")</f>
        <v>див. Таблицю Ручки</v>
      </c>
      <c r="F1742" s="26"/>
      <c r="G1742" s="26"/>
      <c r="AC1742" s="301"/>
      <c r="AD1742" s="301"/>
      <c r="AE1742" s="301"/>
      <c r="AF1742" s="301"/>
      <c r="AG1742" s="301"/>
      <c r="AH1742" s="301"/>
      <c r="AI1742" s="301"/>
      <c r="AJ1742" s="301"/>
      <c r="AK1742" s="301"/>
      <c r="AL1742" s="301"/>
    </row>
    <row r="1743" spans="1:42" ht="14.25" customHeight="1">
      <c r="C1743" s="26"/>
      <c r="D1743" s="26"/>
      <c r="E1743" s="26"/>
      <c r="F1743" s="26"/>
      <c r="G1743" s="26"/>
      <c r="H1743" s="5"/>
      <c r="T1743" s="460" t="str">
        <f>IF($C$1="ENG",CONCATENATE("down to: ",B1793),CONCATENATE("вниз до: ",B1793))</f>
        <v>вниз до: Полотна скляні: ГЛАСФОРД</v>
      </c>
      <c r="U1743" s="460"/>
      <c r="V1743" s="460"/>
      <c r="W1743" s="460"/>
    </row>
    <row r="1744" spans="1:42" ht="14.25" customHeight="1">
      <c r="C1744" s="26"/>
      <c r="D1744" s="26"/>
      <c r="E1744" s="26"/>
      <c r="F1744" s="26"/>
      <c r="G1744" s="26"/>
      <c r="H1744" s="5"/>
    </row>
    <row r="1745" spans="3:8" ht="14.25" customHeight="1">
      <c r="C1745" s="26"/>
      <c r="D1745" s="26"/>
      <c r="E1745" s="26"/>
      <c r="F1745" s="26"/>
      <c r="G1745" s="26"/>
      <c r="H1745" s="5"/>
    </row>
    <row r="1746" spans="3:8" ht="14.25" customHeight="1">
      <c r="C1746" s="26"/>
      <c r="D1746" s="26"/>
      <c r="E1746" s="26"/>
      <c r="F1746" s="26"/>
      <c r="G1746" s="26"/>
      <c r="H1746" s="5"/>
    </row>
    <row r="1747" spans="3:8" ht="14.25" customHeight="1">
      <c r="C1747" s="26"/>
      <c r="D1747" s="26"/>
      <c r="E1747" s="26"/>
      <c r="F1747" s="26"/>
      <c r="G1747" s="26"/>
      <c r="H1747" s="5"/>
    </row>
    <row r="1748" spans="3:8" ht="14.25" customHeight="1">
      <c r="C1748" s="26"/>
      <c r="D1748" s="26"/>
      <c r="E1748" s="26"/>
      <c r="F1748" s="26"/>
      <c r="G1748" s="26"/>
      <c r="H1748" s="5"/>
    </row>
    <row r="1749" spans="3:8" ht="14.25" customHeight="1">
      <c r="C1749" s="26"/>
      <c r="D1749" s="26"/>
      <c r="E1749" s="26"/>
      <c r="F1749" s="26"/>
      <c r="G1749" s="26"/>
      <c r="H1749" s="5"/>
    </row>
    <row r="1750" spans="3:8" ht="14.25" customHeight="1">
      <c r="C1750" s="26"/>
      <c r="D1750" s="26"/>
      <c r="E1750" s="26"/>
      <c r="F1750" s="26"/>
      <c r="G1750" s="26"/>
      <c r="H1750" s="5"/>
    </row>
    <row r="1751" spans="3:8" ht="14.25" customHeight="1">
      <c r="C1751" s="26"/>
      <c r="D1751" s="26"/>
      <c r="E1751" s="26"/>
      <c r="F1751" s="26"/>
      <c r="G1751" s="26"/>
      <c r="H1751" s="5"/>
    </row>
    <row r="1752" spans="3:8" ht="14.25" customHeight="1">
      <c r="C1752" s="26"/>
      <c r="D1752" s="26"/>
      <c r="E1752" s="26"/>
      <c r="F1752" s="26"/>
      <c r="G1752" s="26"/>
      <c r="H1752" s="5"/>
    </row>
    <row r="1753" spans="3:8" ht="14.25" customHeight="1">
      <c r="C1753" s="26"/>
      <c r="D1753" s="26"/>
      <c r="E1753" s="26"/>
      <c r="F1753" s="26"/>
      <c r="G1753" s="26"/>
      <c r="H1753" s="5"/>
    </row>
    <row r="1754" spans="3:8" ht="14.25" customHeight="1">
      <c r="C1754" s="26"/>
      <c r="D1754" s="26"/>
      <c r="E1754" s="26"/>
      <c r="F1754" s="26"/>
      <c r="G1754" s="26"/>
      <c r="H1754" s="5"/>
    </row>
    <row r="1755" spans="3:8" ht="14.25" customHeight="1">
      <c r="C1755" s="26"/>
      <c r="D1755" s="26"/>
      <c r="E1755" s="26"/>
      <c r="F1755" s="26"/>
      <c r="G1755" s="26"/>
      <c r="H1755" s="5"/>
    </row>
    <row r="1756" spans="3:8" ht="14.25" customHeight="1">
      <c r="C1756" s="26"/>
      <c r="D1756" s="26"/>
      <c r="E1756" s="26"/>
      <c r="F1756" s="26"/>
      <c r="G1756" s="26"/>
      <c r="H1756" s="5"/>
    </row>
    <row r="1757" spans="3:8" ht="14.25" customHeight="1">
      <c r="C1757" s="26"/>
      <c r="D1757" s="26"/>
      <c r="E1757" s="26"/>
      <c r="F1757" s="26"/>
      <c r="G1757" s="26"/>
      <c r="H1757" s="5"/>
    </row>
    <row r="1758" spans="3:8" ht="14.25" customHeight="1">
      <c r="C1758" s="26"/>
      <c r="D1758" s="26"/>
      <c r="E1758" s="26"/>
      <c r="F1758" s="26"/>
      <c r="G1758" s="26"/>
      <c r="H1758" s="5"/>
    </row>
    <row r="1759" spans="3:8" ht="14.25" customHeight="1">
      <c r="C1759" s="26"/>
      <c r="D1759" s="26"/>
      <c r="E1759" s="26"/>
      <c r="F1759" s="26"/>
      <c r="G1759" s="26"/>
      <c r="H1759" s="5"/>
    </row>
    <row r="1760" spans="3:8" ht="14.25" customHeight="1">
      <c r="C1760" s="26"/>
      <c r="D1760" s="26"/>
      <c r="E1760" s="26"/>
      <c r="F1760" s="26"/>
      <c r="G1760" s="26"/>
      <c r="H1760" s="5"/>
    </row>
    <row r="1761" spans="3:8" ht="14.25" customHeight="1">
      <c r="C1761" s="26"/>
      <c r="D1761" s="26"/>
      <c r="E1761" s="26"/>
      <c r="F1761" s="26"/>
      <c r="G1761" s="26"/>
      <c r="H1761" s="5"/>
    </row>
    <row r="1762" spans="3:8" ht="14.25" customHeight="1">
      <c r="C1762" s="26"/>
      <c r="D1762" s="26"/>
      <c r="E1762" s="26"/>
      <c r="F1762" s="26"/>
      <c r="G1762" s="26"/>
      <c r="H1762" s="5"/>
    </row>
    <row r="1763" spans="3:8" ht="14.25" customHeight="1">
      <c r="C1763" s="26"/>
      <c r="D1763" s="26"/>
      <c r="E1763" s="26"/>
      <c r="F1763" s="26"/>
      <c r="G1763" s="26"/>
      <c r="H1763" s="5"/>
    </row>
    <row r="1764" spans="3:8" ht="14.25" customHeight="1">
      <c r="C1764" s="26"/>
      <c r="D1764" s="26"/>
      <c r="E1764" s="26"/>
      <c r="F1764" s="26"/>
      <c r="G1764" s="26"/>
      <c r="H1764" s="5"/>
    </row>
    <row r="1765" spans="3:8" ht="14.25" customHeight="1">
      <c r="C1765" s="26"/>
      <c r="D1765" s="26"/>
      <c r="E1765" s="26"/>
      <c r="F1765" s="26"/>
      <c r="G1765" s="26"/>
      <c r="H1765" s="5"/>
    </row>
    <row r="1766" spans="3:8" ht="14.25" customHeight="1">
      <c r="C1766" s="26"/>
      <c r="D1766" s="26"/>
      <c r="E1766" s="26"/>
      <c r="F1766" s="26"/>
      <c r="G1766" s="26"/>
      <c r="H1766" s="5"/>
    </row>
    <row r="1767" spans="3:8" ht="14.25" customHeight="1">
      <c r="C1767" s="26"/>
      <c r="D1767" s="26"/>
      <c r="E1767" s="26"/>
      <c r="F1767" s="26"/>
      <c r="G1767" s="26"/>
      <c r="H1767" s="5"/>
    </row>
    <row r="1768" spans="3:8" ht="14.25" customHeight="1">
      <c r="C1768" s="26"/>
      <c r="D1768" s="26"/>
      <c r="E1768" s="26"/>
      <c r="F1768" s="26"/>
      <c r="G1768" s="26"/>
      <c r="H1768" s="5"/>
    </row>
    <row r="1769" spans="3:8" ht="14.25" customHeight="1">
      <c r="C1769" s="26"/>
      <c r="D1769" s="26"/>
      <c r="E1769" s="26"/>
      <c r="F1769" s="26"/>
      <c r="G1769" s="26"/>
      <c r="H1769" s="5"/>
    </row>
    <row r="1770" spans="3:8" ht="14.25" customHeight="1">
      <c r="C1770" s="26"/>
      <c r="D1770" s="26"/>
      <c r="E1770" s="26"/>
      <c r="F1770" s="26"/>
      <c r="G1770" s="26"/>
      <c r="H1770" s="5"/>
    </row>
    <row r="1771" spans="3:8" ht="14.25" customHeight="1">
      <c r="C1771" s="26"/>
      <c r="D1771" s="26"/>
      <c r="E1771" s="26"/>
      <c r="F1771" s="26"/>
      <c r="G1771" s="26"/>
      <c r="H1771" s="5"/>
    </row>
    <row r="1772" spans="3:8" ht="14.25" customHeight="1">
      <c r="C1772" s="26"/>
      <c r="D1772" s="26"/>
      <c r="E1772" s="26"/>
      <c r="F1772" s="26"/>
      <c r="G1772" s="26"/>
      <c r="H1772" s="5"/>
    </row>
    <row r="1773" spans="3:8" ht="14.25" customHeight="1">
      <c r="C1773" s="26"/>
      <c r="D1773" s="26"/>
      <c r="E1773" s="26"/>
      <c r="F1773" s="26"/>
      <c r="G1773" s="26"/>
      <c r="H1773" s="5"/>
    </row>
    <row r="1774" spans="3:8" ht="14.25" customHeight="1">
      <c r="C1774" s="26"/>
      <c r="D1774" s="26"/>
      <c r="E1774" s="26"/>
      <c r="F1774" s="26"/>
      <c r="G1774" s="26"/>
      <c r="H1774" s="5"/>
    </row>
    <row r="1775" spans="3:8" ht="14.25" customHeight="1">
      <c r="C1775" s="26"/>
      <c r="D1775" s="26"/>
      <c r="E1775" s="26"/>
      <c r="F1775" s="26"/>
      <c r="G1775" s="26"/>
      <c r="H1775" s="5"/>
    </row>
    <row r="1776" spans="3:8" ht="14.25" customHeight="1">
      <c r="C1776" s="26"/>
      <c r="D1776" s="26"/>
      <c r="E1776" s="26"/>
      <c r="F1776" s="26"/>
      <c r="G1776" s="26"/>
      <c r="H1776" s="5"/>
    </row>
    <row r="1777" spans="3:8" ht="14.25" customHeight="1">
      <c r="C1777" s="26"/>
      <c r="D1777" s="26"/>
      <c r="E1777" s="26"/>
      <c r="F1777" s="26"/>
      <c r="G1777" s="26"/>
      <c r="H1777" s="5"/>
    </row>
    <row r="1778" spans="3:8" ht="14.25" customHeight="1">
      <c r="C1778" s="26"/>
      <c r="D1778" s="26"/>
      <c r="E1778" s="26"/>
      <c r="F1778" s="26"/>
      <c r="G1778" s="26"/>
      <c r="H1778" s="5"/>
    </row>
    <row r="1779" spans="3:8" ht="14.25" customHeight="1">
      <c r="C1779" s="26"/>
      <c r="D1779" s="26"/>
      <c r="E1779" s="26"/>
      <c r="F1779" s="26"/>
      <c r="G1779" s="26"/>
      <c r="H1779" s="5"/>
    </row>
    <row r="1780" spans="3:8" ht="14.25" customHeight="1">
      <c r="C1780" s="26"/>
      <c r="D1780" s="26"/>
      <c r="E1780" s="26"/>
      <c r="F1780" s="26"/>
      <c r="G1780" s="26"/>
      <c r="H1780" s="5"/>
    </row>
    <row r="1781" spans="3:8" ht="14.25" customHeight="1">
      <c r="C1781" s="26"/>
      <c r="D1781" s="26"/>
      <c r="E1781" s="26"/>
      <c r="F1781" s="26"/>
      <c r="G1781" s="26"/>
      <c r="H1781" s="5"/>
    </row>
    <row r="1782" spans="3:8" ht="14.25" customHeight="1">
      <c r="C1782" s="26"/>
      <c r="D1782" s="26"/>
      <c r="E1782" s="26"/>
      <c r="F1782" s="26"/>
      <c r="G1782" s="26"/>
      <c r="H1782" s="5"/>
    </row>
    <row r="1783" spans="3:8" ht="14.25" customHeight="1">
      <c r="C1783" s="26"/>
      <c r="D1783" s="26"/>
      <c r="E1783" s="26"/>
      <c r="F1783" s="26"/>
      <c r="G1783" s="26"/>
      <c r="H1783" s="5"/>
    </row>
    <row r="1784" spans="3:8" ht="14.25" customHeight="1">
      <c r="C1784" s="26"/>
      <c r="D1784" s="26"/>
      <c r="E1784" s="26"/>
      <c r="F1784" s="26"/>
      <c r="G1784" s="26"/>
      <c r="H1784" s="5"/>
    </row>
    <row r="1785" spans="3:8" ht="14.25" customHeight="1">
      <c r="C1785" s="26"/>
      <c r="D1785" s="26"/>
      <c r="E1785" s="26"/>
      <c r="F1785" s="26"/>
      <c r="G1785" s="26"/>
      <c r="H1785" s="5"/>
    </row>
    <row r="1786" spans="3:8" ht="14.25" customHeight="1">
      <c r="C1786" s="26"/>
      <c r="D1786" s="26"/>
      <c r="E1786" s="26"/>
      <c r="F1786" s="26"/>
      <c r="G1786" s="26"/>
      <c r="H1786" s="5"/>
    </row>
    <row r="1787" spans="3:8" ht="14.25" customHeight="1">
      <c r="C1787" s="26"/>
      <c r="D1787" s="26"/>
      <c r="E1787" s="26"/>
      <c r="F1787" s="26"/>
      <c r="G1787" s="26"/>
      <c r="H1787" s="5"/>
    </row>
    <row r="1788" spans="3:8" ht="14.25" customHeight="1">
      <c r="C1788" s="26"/>
      <c r="D1788" s="26"/>
      <c r="E1788" s="26"/>
      <c r="F1788" s="26"/>
      <c r="G1788" s="26"/>
      <c r="H1788" s="5"/>
    </row>
    <row r="1789" spans="3:8" ht="14.25" customHeight="1">
      <c r="C1789" s="26"/>
      <c r="D1789" s="26"/>
      <c r="E1789" s="26"/>
      <c r="F1789" s="26"/>
      <c r="G1789" s="26"/>
      <c r="H1789" s="5"/>
    </row>
    <row r="1790" spans="3:8" ht="14.25" customHeight="1">
      <c r="C1790" s="26"/>
      <c r="D1790" s="26"/>
      <c r="E1790" s="26"/>
      <c r="F1790" s="26"/>
      <c r="G1790" s="26"/>
      <c r="H1790" s="5"/>
    </row>
    <row r="1791" spans="3:8" ht="14.25" customHeight="1">
      <c r="C1791" s="26"/>
      <c r="D1791" s="26"/>
      <c r="E1791" s="26"/>
      <c r="F1791" s="26"/>
      <c r="G1791" s="26"/>
      <c r="H1791" s="5"/>
    </row>
    <row r="1792" spans="3:8" ht="14.25" customHeight="1">
      <c r="C1792" s="26"/>
      <c r="D1792" s="26"/>
      <c r="E1792" s="26"/>
      <c r="F1792" s="26"/>
      <c r="G1792" s="26"/>
      <c r="H1792" s="5"/>
    </row>
    <row r="1793" spans="1:46" s="8" customFormat="1">
      <c r="B1793" s="421" t="str">
        <f>TITLE!$C$32</f>
        <v>Полотна скляні: ГЛАСФОРД</v>
      </c>
      <c r="C1793" s="421"/>
      <c r="D1793" s="122"/>
      <c r="E1793" s="122"/>
      <c r="F1793" s="122"/>
      <c r="G1793" s="122"/>
      <c r="H1793" s="122"/>
      <c r="I1793" s="125"/>
      <c r="J1793" s="125"/>
      <c r="K1793" s="125"/>
      <c r="L1793" s="125"/>
      <c r="M1793" s="125"/>
      <c r="N1793" s="125"/>
      <c r="O1793" s="125"/>
      <c r="P1793" s="125"/>
      <c r="Q1793" s="125"/>
      <c r="R1793" s="125"/>
      <c r="S1793" s="125"/>
      <c r="T1793" s="419" t="str">
        <f>IF($C$1="ENG",CONCATENATE("up to: ",B1720),CONCATENATE("вгору до: ",B1720))</f>
        <v>вгору до: Полотна скляні: ЕЛЕГАНТ</v>
      </c>
      <c r="U1793" s="419"/>
      <c r="V1793" s="419"/>
      <c r="W1793" s="419"/>
      <c r="AE1793" s="301">
        <f>AD1793/100*12+AD1793</f>
        <v>0</v>
      </c>
      <c r="AF1793" s="301" t="e">
        <f>AE1793/AD1793-1</f>
        <v>#DIV/0!</v>
      </c>
      <c r="AN1793" s="291"/>
      <c r="AO1793" s="291"/>
      <c r="AP1793" s="291"/>
      <c r="AQ1793" s="291"/>
      <c r="AR1793" s="291"/>
      <c r="AS1793" s="291"/>
      <c r="AT1793" s="291"/>
    </row>
    <row r="1794" spans="1:46" s="8" customFormat="1" ht="5.0999999999999996" customHeight="1">
      <c r="T1794" s="119"/>
      <c r="U1794" s="119"/>
      <c r="V1794" s="119"/>
      <c r="W1794" s="119"/>
      <c r="AN1794" s="291"/>
      <c r="AO1794" s="291"/>
      <c r="AP1794" s="291"/>
      <c r="AQ1794" s="291"/>
      <c r="AR1794" s="291"/>
      <c r="AS1794" s="291"/>
      <c r="AT1794" s="291"/>
    </row>
    <row r="1795" spans="1:46" ht="12.75" customHeight="1">
      <c r="A1795" s="8"/>
      <c r="B1795" s="448" t="str">
        <f>IF($C$1="ENG","model","модель")</f>
        <v>модель</v>
      </c>
      <c r="C1795" s="126" t="str">
        <f>IF($C$1="ENG","cover:","покриття:")</f>
        <v>покриття:</v>
      </c>
      <c r="D1795" s="430" t="str">
        <f>IF($C$1="ENG","GLASS","СКЛО")</f>
        <v>СКЛО</v>
      </c>
      <c r="E1795" s="432"/>
      <c r="F1795" s="10"/>
      <c r="G1795" s="10"/>
      <c r="H1795" s="10"/>
      <c r="I1795" s="8"/>
      <c r="J1795" s="8"/>
      <c r="K1795" s="8"/>
      <c r="L1795" s="8"/>
      <c r="M1795" s="11"/>
      <c r="P1795" s="8"/>
      <c r="Q1795" s="11"/>
    </row>
    <row r="1796" spans="1:46" ht="12.75" customHeight="1">
      <c r="A1796" s="8"/>
      <c r="B1796" s="449"/>
      <c r="C1796" s="127" t="str">
        <f>IF($C$1="ENG","filling:","заповнення:")</f>
        <v>заповнення:</v>
      </c>
      <c r="D1796" s="441" t="str">
        <f>IF($C$1="ENG","tempered glass","гартоване скло")</f>
        <v>гартоване скло</v>
      </c>
      <c r="E1796" s="442"/>
      <c r="F1796" s="10"/>
      <c r="G1796" s="10"/>
      <c r="H1796" s="10"/>
      <c r="I1796" s="8"/>
      <c r="J1796" s="8"/>
      <c r="K1796" s="8"/>
      <c r="L1796" s="8"/>
      <c r="M1796" s="11"/>
      <c r="P1796" s="8"/>
      <c r="Q1796" s="11"/>
    </row>
    <row r="1797" spans="1:46">
      <c r="A1797" s="8"/>
      <c r="B1797" s="450"/>
      <c r="C1797" s="128" t="str">
        <f>IF($C$1="ENG","glazing:","скління:")</f>
        <v>скління:</v>
      </c>
      <c r="D1797" s="424" t="str">
        <f>IF($C$1="ENG","Drawing / Satin (1)","Малюнок / Сатин (1)")</f>
        <v>Малюнок / Сатин (1)</v>
      </c>
      <c r="E1797" s="434"/>
      <c r="F1797" s="10"/>
      <c r="G1797" s="10"/>
      <c r="H1797" s="10"/>
      <c r="I1797" s="8"/>
      <c r="J1797" s="8"/>
      <c r="K1797" s="8"/>
      <c r="L1797" s="40"/>
      <c r="M1797" s="41"/>
      <c r="N1797" s="19"/>
      <c r="O1797" s="19"/>
      <c r="P1797" s="40"/>
      <c r="Q1797" s="41"/>
      <c r="R1797" s="19"/>
      <c r="S1797" s="19"/>
      <c r="T1797" s="42"/>
      <c r="U1797" s="30"/>
      <c r="W1797" s="20"/>
      <c r="X1797" s="22"/>
      <c r="Y1797" s="22"/>
      <c r="Z1797" s="22"/>
      <c r="AA1797" s="22"/>
      <c r="AB1797" s="22"/>
    </row>
    <row r="1798" spans="1:46" ht="35.1" customHeight="1">
      <c r="A1798" s="8"/>
      <c r="B1798" s="13">
        <v>1</v>
      </c>
      <c r="C1798" s="14"/>
      <c r="D1798" s="15">
        <f>IF(AC1798="","",(1-$W$2)*(AC1798/1.2))</f>
        <v>13750</v>
      </c>
      <c r="E1798" s="67">
        <f>IF($W$5=0.2,D1798*1.2,D1798)/$W$4</f>
        <v>16500</v>
      </c>
      <c r="F1798" s="10"/>
      <c r="G1798" s="10"/>
      <c r="H1798" s="10"/>
      <c r="I1798" s="45"/>
      <c r="J1798" s="8"/>
      <c r="K1798" s="43"/>
      <c r="L1798" s="8"/>
      <c r="M1798" s="44"/>
      <c r="N1798" s="19"/>
      <c r="O1798" s="11"/>
      <c r="P1798" s="8"/>
      <c r="Q1798" s="44"/>
      <c r="R1798" s="19"/>
      <c r="S1798" s="11"/>
      <c r="T1798" s="42"/>
      <c r="U1798" s="30"/>
      <c r="W1798" s="20"/>
      <c r="AC1798" s="346">
        <v>16500</v>
      </c>
      <c r="AD1798" s="301">
        <v>16500</v>
      </c>
      <c r="AE1798" s="301">
        <f>AD1798/AC1798-1</f>
        <v>0</v>
      </c>
      <c r="AF1798" s="301"/>
      <c r="AG1798" s="301"/>
      <c r="AH1798" s="301"/>
      <c r="AI1798" s="301"/>
      <c r="AJ1798" s="301"/>
      <c r="AK1798" s="301"/>
      <c r="AL1798" s="301"/>
    </row>
    <row r="1799" spans="1:46" ht="35.1" customHeight="1">
      <c r="A1799" s="8"/>
      <c r="B1799" s="16">
        <v>2</v>
      </c>
      <c r="C1799" s="17"/>
      <c r="D1799" s="18">
        <f>IF(AC1799="","",(1-$W$2)*(AC1799/1.2))</f>
        <v>14375</v>
      </c>
      <c r="E1799" s="69">
        <f>IF($W$5=0.2,D1799*1.2,D1799)/$W$4</f>
        <v>17250</v>
      </c>
      <c r="F1799" s="10"/>
      <c r="G1799" s="10"/>
      <c r="H1799" s="10"/>
      <c r="I1799" s="45"/>
      <c r="J1799" s="8"/>
      <c r="K1799" s="43"/>
      <c r="L1799" s="8"/>
      <c r="M1799" s="41"/>
      <c r="N1799" s="19"/>
      <c r="O1799" s="11"/>
      <c r="P1799" s="8"/>
      <c r="Q1799" s="41"/>
      <c r="R1799" s="19"/>
      <c r="S1799" s="11"/>
      <c r="T1799" s="42"/>
      <c r="U1799" s="30"/>
      <c r="W1799" s="20"/>
      <c r="AC1799" s="346">
        <v>17250</v>
      </c>
      <c r="AD1799" s="301">
        <v>17250</v>
      </c>
      <c r="AE1799" s="301">
        <f t="shared" ref="AE1799:AE1802" si="173">AD1799/AC1799-1</f>
        <v>0</v>
      </c>
      <c r="AF1799" s="301"/>
      <c r="AG1799" s="301"/>
      <c r="AH1799" s="301"/>
      <c r="AI1799" s="301"/>
      <c r="AJ1799" s="301"/>
      <c r="AK1799" s="301"/>
      <c r="AL1799" s="301"/>
    </row>
    <row r="1800" spans="1:46" ht="35.1" customHeight="1">
      <c r="A1800" s="8"/>
      <c r="B1800" s="16">
        <v>3</v>
      </c>
      <c r="C1800" s="17"/>
      <c r="D1800" s="18">
        <f>IF(AC1800="","",(1-$W$2)*(AC1800/1.2))</f>
        <v>14375</v>
      </c>
      <c r="E1800" s="69">
        <f>IF($W$5=0.2,D1800*1.2,D1800)/$W$4</f>
        <v>17250</v>
      </c>
      <c r="F1800" s="10"/>
      <c r="G1800" s="10"/>
      <c r="H1800" s="10"/>
      <c r="I1800" s="45"/>
      <c r="J1800" s="8"/>
      <c r="K1800" s="8"/>
      <c r="L1800" s="8"/>
      <c r="M1800" s="41"/>
      <c r="N1800" s="19"/>
      <c r="O1800" s="11"/>
      <c r="P1800" s="8"/>
      <c r="Q1800" s="41"/>
      <c r="R1800" s="19"/>
      <c r="S1800" s="11"/>
      <c r="T1800" s="42"/>
      <c r="U1800" s="30"/>
      <c r="W1800" s="20"/>
      <c r="AC1800" s="346">
        <v>17250</v>
      </c>
      <c r="AD1800" s="301">
        <v>17250</v>
      </c>
      <c r="AE1800" s="301">
        <f t="shared" si="173"/>
        <v>0</v>
      </c>
      <c r="AF1800" s="301"/>
      <c r="AG1800" s="301"/>
      <c r="AH1800" s="301"/>
      <c r="AI1800" s="301"/>
      <c r="AJ1800" s="301"/>
      <c r="AK1800" s="301"/>
      <c r="AL1800" s="301"/>
    </row>
    <row r="1801" spans="1:46" ht="35.1" customHeight="1">
      <c r="A1801" s="8"/>
      <c r="B1801" s="16">
        <v>4</v>
      </c>
      <c r="C1801" s="17"/>
      <c r="D1801" s="18">
        <f>IF(AC1801="","",(1-$W$2)*(AC1801/1.2))</f>
        <v>14375</v>
      </c>
      <c r="E1801" s="69">
        <f>IF($W$5=0.2,D1801*1.2,D1801)/$W$4</f>
        <v>17250</v>
      </c>
      <c r="F1801" s="10"/>
      <c r="G1801" s="10"/>
      <c r="H1801" s="10"/>
      <c r="I1801" s="45"/>
      <c r="J1801" s="8"/>
      <c r="K1801" s="8"/>
      <c r="L1801" s="8"/>
      <c r="M1801" s="41"/>
      <c r="N1801" s="19"/>
      <c r="O1801" s="11"/>
      <c r="P1801" s="8"/>
      <c r="Q1801" s="41"/>
      <c r="R1801" s="19"/>
      <c r="S1801" s="11"/>
      <c r="T1801" s="42"/>
      <c r="U1801" s="30"/>
      <c r="W1801" s="20"/>
      <c r="AC1801" s="346">
        <v>17250</v>
      </c>
      <c r="AD1801" s="301">
        <v>17250</v>
      </c>
      <c r="AE1801" s="301">
        <f t="shared" si="173"/>
        <v>0</v>
      </c>
      <c r="AF1801" s="301"/>
      <c r="AG1801" s="301"/>
      <c r="AH1801" s="301"/>
      <c r="AI1801" s="301"/>
      <c r="AJ1801" s="301"/>
      <c r="AK1801" s="301"/>
      <c r="AL1801" s="301"/>
    </row>
    <row r="1802" spans="1:46" ht="34.5" customHeight="1">
      <c r="B1802" s="23">
        <v>5</v>
      </c>
      <c r="C1802" s="24"/>
      <c r="D1802" s="25">
        <f>IF(AC1802="","",(1-$W$2)*(AC1802/1.2))</f>
        <v>14375</v>
      </c>
      <c r="E1802" s="72">
        <f>IF($W$5=0.2,D1802*1.2,D1802)/$W$4</f>
        <v>17250</v>
      </c>
      <c r="F1802" s="10"/>
      <c r="G1802" s="10"/>
      <c r="H1802" s="10"/>
      <c r="I1802" s="45"/>
      <c r="J1802" s="8"/>
      <c r="K1802" s="8"/>
      <c r="L1802" s="8"/>
      <c r="P1802" s="8"/>
      <c r="AC1802" s="346">
        <v>17250</v>
      </c>
      <c r="AD1802" s="301">
        <v>17250</v>
      </c>
      <c r="AE1802" s="301">
        <f t="shared" si="173"/>
        <v>0</v>
      </c>
      <c r="AF1802" s="301"/>
      <c r="AG1802" s="301"/>
      <c r="AH1802" s="301"/>
      <c r="AI1802" s="301"/>
      <c r="AJ1802" s="301"/>
      <c r="AK1802" s="301"/>
      <c r="AL1802" s="301"/>
    </row>
    <row r="1803" spans="1:46">
      <c r="C1803" s="26"/>
      <c r="D1803" s="26"/>
      <c r="E1803" s="60"/>
      <c r="F1803" s="10"/>
      <c r="G1803" s="10"/>
      <c r="H1803" s="10"/>
      <c r="I1803" s="8"/>
      <c r="J1803" s="8"/>
      <c r="K1803" s="8"/>
      <c r="L1803" s="8"/>
      <c r="P1803" s="8"/>
    </row>
    <row r="1804" spans="1:46" ht="12.75" customHeight="1">
      <c r="B1804" s="220" t="str">
        <f>IF($C$1="ENG","For additonal charge:","Послуги за додаткову плату:")</f>
        <v>Послуги за додаткову плату:</v>
      </c>
      <c r="C1804" s="221"/>
      <c r="D1804" s="221"/>
      <c r="E1804" s="222"/>
      <c r="F1804" s="39"/>
      <c r="G1804" s="39"/>
      <c r="H1804" s="10"/>
      <c r="I1804" s="8"/>
      <c r="J1804" s="8"/>
      <c r="K1804" s="8"/>
    </row>
    <row r="1805" spans="1:46" ht="4.5" customHeight="1">
      <c r="B1805" s="27"/>
      <c r="C1805" s="26"/>
      <c r="D1805" s="26"/>
      <c r="E1805" s="60"/>
      <c r="F1805" s="26"/>
      <c r="G1805" s="26"/>
      <c r="H1805" s="10"/>
      <c r="I1805" s="8"/>
      <c r="J1805" s="8"/>
      <c r="K1805" s="8"/>
    </row>
    <row r="1806" spans="1:46">
      <c r="B1806" s="446" t="str">
        <f>IF($C$1="ENG","door leaf with width 100","полотно розміром 100")</f>
        <v>полотно розміром 100</v>
      </c>
      <c r="C1806" s="447"/>
      <c r="D1806" s="105">
        <f t="shared" ref="D1806:D1811" si="174">IF(AC1806="","",(1-$W$2)*(AC1806/1.2))</f>
        <v>2750</v>
      </c>
      <c r="E1806" s="67">
        <f t="shared" ref="E1806:E1811" si="175">IF($W$5=0.2,D1806*1.2,D1806)/$W$4</f>
        <v>3300</v>
      </c>
      <c r="F1806" s="26"/>
      <c r="G1806" s="26"/>
      <c r="H1806" s="10"/>
      <c r="I1806" s="8"/>
      <c r="J1806" s="8"/>
      <c r="K1806" s="8"/>
      <c r="AC1806" s="310">
        <v>3300</v>
      </c>
      <c r="AD1806" s="301">
        <v>3300</v>
      </c>
      <c r="AE1806" s="301">
        <f>AD1806/AC1806-1</f>
        <v>0</v>
      </c>
      <c r="AF1806" s="301"/>
      <c r="AG1806" s="301"/>
      <c r="AH1806" s="301"/>
      <c r="AI1806" s="301"/>
      <c r="AJ1806" s="301"/>
      <c r="AK1806" s="301"/>
      <c r="AL1806" s="301"/>
    </row>
    <row r="1807" spans="1:46">
      <c r="B1807" s="439" t="str">
        <f>IF($C$1="ENG","glazing Triplex mat / black","скло Триплекс матовий / чорний")</f>
        <v>скло Триплекс матовий / чорний</v>
      </c>
      <c r="C1807" s="440"/>
      <c r="D1807" s="106">
        <f t="shared" si="174"/>
        <v>1725</v>
      </c>
      <c r="E1807" s="69">
        <f t="shared" si="175"/>
        <v>2070</v>
      </c>
      <c r="F1807" s="26"/>
      <c r="G1807" s="26"/>
      <c r="I1807" s="11"/>
      <c r="J1807" s="11"/>
      <c r="K1807" s="19"/>
      <c r="AC1807" s="310">
        <v>2070</v>
      </c>
      <c r="AD1807" s="301">
        <v>2070</v>
      </c>
      <c r="AE1807" s="301">
        <f>AD1807/AC1807-1</f>
        <v>0</v>
      </c>
      <c r="AF1807" s="301"/>
      <c r="AG1807" s="301"/>
      <c r="AH1807" s="301"/>
      <c r="AI1807" s="301"/>
      <c r="AJ1807" s="301"/>
      <c r="AK1807" s="301"/>
      <c r="AL1807" s="301"/>
    </row>
    <row r="1808" spans="1:46">
      <c r="B1808" s="439" t="str">
        <f>IF($C$1="ENG","glazing Graphite / Bronze","скло Графіт / Бронза")</f>
        <v>скло Графіт / Бронза</v>
      </c>
      <c r="C1808" s="440"/>
      <c r="D1808" s="106">
        <f t="shared" si="174"/>
        <v>1375</v>
      </c>
      <c r="E1808" s="69">
        <f t="shared" si="175"/>
        <v>1650</v>
      </c>
      <c r="F1808" s="26"/>
      <c r="G1808" s="26"/>
      <c r="AC1808" s="310">
        <v>1650</v>
      </c>
      <c r="AD1808" s="301">
        <v>1650</v>
      </c>
      <c r="AE1808" s="301">
        <f t="shared" ref="AE1807:AE1811" si="176">AD1808/AC1808-1</f>
        <v>0</v>
      </c>
      <c r="AF1808" s="301"/>
      <c r="AG1808" s="301"/>
      <c r="AH1808" s="301"/>
      <c r="AI1808" s="301"/>
      <c r="AJ1808" s="301"/>
      <c r="AK1808" s="301"/>
      <c r="AL1808" s="301"/>
    </row>
    <row r="1809" spans="2:38">
      <c r="B1809" s="439" t="str">
        <f>IF($C$1="ENG","glazing Mirror","скло Дзеркало")</f>
        <v>скло Дзеркало</v>
      </c>
      <c r="C1809" s="440"/>
      <c r="D1809" s="106">
        <f t="shared" si="174"/>
        <v>4500</v>
      </c>
      <c r="E1809" s="69">
        <f t="shared" si="175"/>
        <v>5400</v>
      </c>
      <c r="F1809" s="26"/>
      <c r="G1809" s="26"/>
      <c r="AC1809" s="310">
        <v>5400</v>
      </c>
      <c r="AD1809" s="301">
        <v>5400</v>
      </c>
      <c r="AE1809" s="301">
        <f t="shared" si="176"/>
        <v>0</v>
      </c>
      <c r="AF1809" s="301"/>
      <c r="AG1809" s="301"/>
      <c r="AH1809" s="301"/>
      <c r="AI1809" s="301"/>
      <c r="AJ1809" s="301"/>
      <c r="AK1809" s="301"/>
      <c r="AL1809" s="301"/>
    </row>
    <row r="1810" spans="2:38">
      <c r="B1810" s="439" t="str">
        <f>IF($C$1="ENG","door lock Glass regular key / cylinder","замок Glass під ключ / циліндр")</f>
        <v>замок Glass під ключ / циліндр</v>
      </c>
      <c r="C1810" s="440"/>
      <c r="D1810" s="18">
        <f t="shared" si="174"/>
        <v>1033.3333333333335</v>
      </c>
      <c r="E1810" s="69">
        <f t="shared" si="175"/>
        <v>1240.0000000000002</v>
      </c>
      <c r="F1810" s="26"/>
      <c r="G1810" s="26"/>
      <c r="AC1810" s="310">
        <v>1240</v>
      </c>
      <c r="AD1810" s="301">
        <v>1240</v>
      </c>
      <c r="AE1810" s="301">
        <f t="shared" si="176"/>
        <v>0</v>
      </c>
      <c r="AF1810" s="301"/>
      <c r="AG1810" s="301"/>
      <c r="AH1810" s="301"/>
      <c r="AI1810" s="301"/>
      <c r="AJ1810" s="301"/>
      <c r="AK1810" s="301"/>
      <c r="AL1810" s="301"/>
    </row>
    <row r="1811" spans="2:38" ht="14.25" customHeight="1">
      <c r="B1811" s="439" t="str">
        <f>IF($C$1="ENG","door lock Glass bathroom lock","замок Glass сантехнічний")</f>
        <v>замок Glass сантехнічний</v>
      </c>
      <c r="C1811" s="440"/>
      <c r="D1811" s="25">
        <f t="shared" si="174"/>
        <v>2450</v>
      </c>
      <c r="E1811" s="72">
        <f t="shared" si="175"/>
        <v>2940</v>
      </c>
      <c r="F1811" s="145"/>
      <c r="G1811" s="26"/>
      <c r="T1811" s="460" t="str">
        <f>IF($C$1="ENG",CONCATENATE("down to: ",B1861),CONCATENATE("вниз до: ",B1861))</f>
        <v>вниз до: Полотна: ДОБОР LADA</v>
      </c>
      <c r="U1811" s="460"/>
      <c r="V1811" s="460"/>
      <c r="W1811" s="460"/>
      <c r="AC1811" s="310">
        <v>2940</v>
      </c>
      <c r="AD1811" s="301">
        <v>2940</v>
      </c>
      <c r="AE1811" s="301">
        <f t="shared" si="176"/>
        <v>0</v>
      </c>
      <c r="AF1811" s="301"/>
      <c r="AG1811" s="301"/>
      <c r="AH1811" s="301"/>
      <c r="AI1811" s="301"/>
      <c r="AJ1811" s="301"/>
      <c r="AK1811" s="301"/>
      <c r="AL1811" s="301"/>
    </row>
    <row r="1812" spans="2:38" ht="14.25" customHeight="1">
      <c r="C1812" s="26"/>
      <c r="D1812" s="26"/>
      <c r="E1812" s="26"/>
      <c r="F1812" s="26"/>
      <c r="G1812" s="26"/>
      <c r="H1812" s="5"/>
    </row>
    <row r="1813" spans="2:38" ht="14.25" customHeight="1">
      <c r="C1813" s="26"/>
      <c r="D1813" s="26"/>
      <c r="E1813" s="26"/>
      <c r="F1813" s="26"/>
      <c r="G1813" s="26"/>
      <c r="H1813" s="5"/>
    </row>
    <row r="1814" spans="2:38" ht="14.25" customHeight="1">
      <c r="C1814" s="26"/>
      <c r="D1814" s="26"/>
      <c r="E1814" s="26"/>
      <c r="F1814" s="26"/>
      <c r="G1814" s="26"/>
      <c r="H1814" s="5"/>
    </row>
    <row r="1815" spans="2:38" ht="14.25" customHeight="1">
      <c r="C1815" s="26"/>
      <c r="D1815" s="26"/>
      <c r="E1815" s="26"/>
      <c r="F1815" s="26"/>
      <c r="G1815" s="26"/>
      <c r="H1815" s="5"/>
    </row>
    <row r="1816" spans="2:38" ht="14.25" customHeight="1">
      <c r="C1816" s="26"/>
      <c r="D1816" s="26"/>
      <c r="E1816" s="26"/>
      <c r="F1816" s="26"/>
      <c r="G1816" s="26"/>
      <c r="H1816" s="5"/>
    </row>
    <row r="1817" spans="2:38" ht="14.25" customHeight="1">
      <c r="C1817" s="26"/>
      <c r="D1817" s="26"/>
      <c r="E1817" s="26"/>
      <c r="F1817" s="26"/>
      <c r="G1817" s="26"/>
      <c r="H1817" s="5"/>
    </row>
    <row r="1818" spans="2:38" ht="14.25" customHeight="1">
      <c r="C1818" s="26"/>
      <c r="D1818" s="26"/>
      <c r="E1818" s="26"/>
      <c r="F1818" s="26"/>
      <c r="G1818" s="26"/>
      <c r="H1818" s="5"/>
    </row>
    <row r="1819" spans="2:38" ht="14.25" customHeight="1">
      <c r="C1819" s="26"/>
      <c r="D1819" s="26"/>
      <c r="E1819" s="26"/>
      <c r="F1819" s="26"/>
      <c r="G1819" s="26"/>
      <c r="H1819" s="5"/>
    </row>
    <row r="1820" spans="2:38" ht="14.25" customHeight="1">
      <c r="C1820" s="26"/>
      <c r="D1820" s="26"/>
      <c r="E1820" s="26"/>
      <c r="F1820" s="26"/>
      <c r="G1820" s="26"/>
      <c r="H1820" s="5"/>
    </row>
    <row r="1821" spans="2:38" ht="14.25" customHeight="1">
      <c r="C1821" s="26"/>
      <c r="D1821" s="26"/>
      <c r="E1821" s="26"/>
      <c r="F1821" s="26"/>
      <c r="G1821" s="26"/>
      <c r="H1821" s="5"/>
    </row>
    <row r="1822" spans="2:38" ht="14.25" customHeight="1">
      <c r="C1822" s="26"/>
      <c r="D1822" s="26"/>
      <c r="E1822" s="26"/>
      <c r="F1822" s="26"/>
      <c r="G1822" s="26"/>
      <c r="H1822" s="5"/>
    </row>
    <row r="1823" spans="2:38" ht="14.25" customHeight="1">
      <c r="C1823" s="26"/>
      <c r="D1823" s="26"/>
      <c r="E1823" s="26"/>
      <c r="F1823" s="26"/>
      <c r="G1823" s="26"/>
      <c r="H1823" s="5"/>
    </row>
    <row r="1824" spans="2:38" ht="14.25" customHeight="1">
      <c r="C1824" s="26"/>
      <c r="D1824" s="26"/>
      <c r="E1824" s="26"/>
      <c r="F1824" s="26"/>
      <c r="G1824" s="26"/>
      <c r="H1824" s="5"/>
    </row>
    <row r="1825" spans="3:8" ht="14.25" customHeight="1">
      <c r="C1825" s="26"/>
      <c r="D1825" s="26"/>
      <c r="E1825" s="26"/>
      <c r="F1825" s="26"/>
      <c r="G1825" s="26"/>
      <c r="H1825" s="5"/>
    </row>
    <row r="1826" spans="3:8" ht="14.25" customHeight="1">
      <c r="C1826" s="26"/>
      <c r="D1826" s="26"/>
      <c r="E1826" s="26"/>
      <c r="F1826" s="26"/>
      <c r="G1826" s="26"/>
      <c r="H1826" s="5"/>
    </row>
    <row r="1827" spans="3:8" ht="14.25" customHeight="1">
      <c r="C1827" s="26"/>
      <c r="D1827" s="26"/>
      <c r="E1827" s="26"/>
      <c r="F1827" s="26"/>
      <c r="G1827" s="26"/>
      <c r="H1827" s="5"/>
    </row>
    <row r="1828" spans="3:8" ht="14.25" customHeight="1">
      <c r="C1828" s="26"/>
      <c r="D1828" s="26"/>
      <c r="E1828" s="26"/>
      <c r="F1828" s="26"/>
      <c r="G1828" s="26"/>
      <c r="H1828" s="5"/>
    </row>
    <row r="1829" spans="3:8" ht="14.25" customHeight="1">
      <c r="C1829" s="26"/>
      <c r="D1829" s="26"/>
      <c r="E1829" s="26"/>
      <c r="F1829" s="26"/>
      <c r="G1829" s="26"/>
      <c r="H1829" s="5"/>
    </row>
    <row r="1830" spans="3:8" ht="14.25" customHeight="1">
      <c r="C1830" s="26"/>
      <c r="D1830" s="26"/>
      <c r="E1830" s="26"/>
      <c r="F1830" s="26"/>
      <c r="G1830" s="26"/>
      <c r="H1830" s="5"/>
    </row>
    <row r="1831" spans="3:8" ht="14.25" customHeight="1">
      <c r="C1831" s="26"/>
      <c r="D1831" s="26"/>
      <c r="E1831" s="26"/>
      <c r="F1831" s="26"/>
      <c r="G1831" s="26"/>
      <c r="H1831" s="5"/>
    </row>
    <row r="1832" spans="3:8" ht="14.25" customHeight="1">
      <c r="C1832" s="26"/>
      <c r="D1832" s="26"/>
      <c r="E1832" s="26"/>
      <c r="F1832" s="26"/>
      <c r="G1832" s="26"/>
      <c r="H1832" s="5"/>
    </row>
    <row r="1833" spans="3:8" ht="14.25" customHeight="1">
      <c r="C1833" s="26"/>
      <c r="D1833" s="26"/>
      <c r="E1833" s="26"/>
      <c r="F1833" s="26"/>
      <c r="G1833" s="26"/>
      <c r="H1833" s="5"/>
    </row>
    <row r="1834" spans="3:8" ht="14.25" customHeight="1">
      <c r="C1834" s="26"/>
      <c r="D1834" s="26"/>
      <c r="E1834" s="26"/>
      <c r="F1834" s="26"/>
      <c r="G1834" s="26"/>
      <c r="H1834" s="5"/>
    </row>
    <row r="1835" spans="3:8" ht="14.25" customHeight="1">
      <c r="C1835" s="26"/>
      <c r="D1835" s="26"/>
      <c r="E1835" s="26"/>
      <c r="F1835" s="26"/>
      <c r="G1835" s="26"/>
      <c r="H1835" s="5"/>
    </row>
    <row r="1836" spans="3:8" ht="14.25" customHeight="1">
      <c r="C1836" s="26"/>
      <c r="D1836" s="26"/>
      <c r="E1836" s="26"/>
      <c r="F1836" s="26"/>
      <c r="G1836" s="26"/>
      <c r="H1836" s="5"/>
    </row>
    <row r="1837" spans="3:8" ht="14.25" customHeight="1">
      <c r="C1837" s="26"/>
      <c r="D1837" s="26"/>
      <c r="E1837" s="26"/>
      <c r="F1837" s="26"/>
      <c r="G1837" s="26"/>
      <c r="H1837" s="5"/>
    </row>
    <row r="1838" spans="3:8" ht="14.25" customHeight="1">
      <c r="C1838" s="26"/>
      <c r="D1838" s="26"/>
      <c r="E1838" s="26"/>
      <c r="F1838" s="26"/>
      <c r="G1838" s="26"/>
      <c r="H1838" s="5"/>
    </row>
    <row r="1839" spans="3:8" ht="14.25" customHeight="1">
      <c r="C1839" s="26"/>
      <c r="D1839" s="26"/>
      <c r="E1839" s="26"/>
      <c r="F1839" s="26"/>
      <c r="G1839" s="26"/>
      <c r="H1839" s="5"/>
    </row>
    <row r="1840" spans="3:8" ht="14.25" customHeight="1">
      <c r="C1840" s="26"/>
      <c r="D1840" s="26"/>
      <c r="E1840" s="26"/>
      <c r="F1840" s="26"/>
      <c r="G1840" s="26"/>
      <c r="H1840" s="5"/>
    </row>
    <row r="1841" spans="3:8" ht="14.25" customHeight="1">
      <c r="C1841" s="26"/>
      <c r="D1841" s="26"/>
      <c r="E1841" s="26"/>
      <c r="F1841" s="26"/>
      <c r="G1841" s="26"/>
      <c r="H1841" s="5"/>
    </row>
    <row r="1842" spans="3:8" ht="14.25" customHeight="1">
      <c r="C1842" s="26"/>
      <c r="D1842" s="26"/>
      <c r="E1842" s="26"/>
      <c r="F1842" s="26"/>
      <c r="G1842" s="26"/>
      <c r="H1842" s="5"/>
    </row>
    <row r="1843" spans="3:8" ht="14.25" customHeight="1">
      <c r="C1843" s="26"/>
      <c r="D1843" s="26"/>
      <c r="E1843" s="26"/>
      <c r="F1843" s="26"/>
      <c r="G1843" s="26"/>
      <c r="H1843" s="5"/>
    </row>
    <row r="1844" spans="3:8" ht="14.25" customHeight="1">
      <c r="C1844" s="26"/>
      <c r="D1844" s="26"/>
      <c r="E1844" s="26"/>
      <c r="F1844" s="26"/>
      <c r="G1844" s="26"/>
      <c r="H1844" s="5"/>
    </row>
    <row r="1845" spans="3:8" ht="14.25" customHeight="1">
      <c r="C1845" s="26"/>
      <c r="D1845" s="26"/>
      <c r="E1845" s="26"/>
      <c r="F1845" s="26"/>
      <c r="G1845" s="26"/>
      <c r="H1845" s="5"/>
    </row>
    <row r="1846" spans="3:8" ht="14.25" customHeight="1">
      <c r="C1846" s="26"/>
      <c r="D1846" s="26"/>
      <c r="E1846" s="26"/>
      <c r="F1846" s="26"/>
      <c r="G1846" s="26"/>
      <c r="H1846" s="5"/>
    </row>
    <row r="1847" spans="3:8" ht="14.25" customHeight="1">
      <c r="C1847" s="26"/>
      <c r="D1847" s="26"/>
      <c r="E1847" s="26"/>
      <c r="F1847" s="26"/>
      <c r="G1847" s="26"/>
      <c r="H1847" s="5"/>
    </row>
    <row r="1848" spans="3:8" ht="14.25" customHeight="1">
      <c r="C1848" s="26"/>
      <c r="D1848" s="26"/>
      <c r="E1848" s="26"/>
      <c r="F1848" s="26"/>
      <c r="G1848" s="26"/>
      <c r="H1848" s="5"/>
    </row>
    <row r="1849" spans="3:8" ht="14.25" customHeight="1">
      <c r="C1849" s="26"/>
      <c r="D1849" s="26"/>
      <c r="E1849" s="26"/>
      <c r="F1849" s="26"/>
      <c r="G1849" s="26"/>
      <c r="H1849" s="5"/>
    </row>
    <row r="1850" spans="3:8" ht="14.25" customHeight="1">
      <c r="C1850" s="26"/>
      <c r="D1850" s="26"/>
      <c r="E1850" s="26"/>
      <c r="F1850" s="26"/>
      <c r="G1850" s="26"/>
      <c r="H1850" s="5"/>
    </row>
    <row r="1851" spans="3:8" ht="14.25" customHeight="1">
      <c r="C1851" s="26"/>
      <c r="D1851" s="26"/>
      <c r="E1851" s="26"/>
      <c r="F1851" s="26"/>
      <c r="G1851" s="26"/>
      <c r="H1851" s="5"/>
    </row>
    <row r="1852" spans="3:8" ht="14.25" customHeight="1">
      <c r="C1852" s="26"/>
      <c r="D1852" s="26"/>
      <c r="E1852" s="26"/>
      <c r="F1852" s="26"/>
      <c r="G1852" s="26"/>
      <c r="H1852" s="5"/>
    </row>
    <row r="1853" spans="3:8" ht="14.25" customHeight="1">
      <c r="C1853" s="26"/>
      <c r="D1853" s="26"/>
      <c r="E1853" s="26"/>
      <c r="F1853" s="26"/>
      <c r="G1853" s="26"/>
      <c r="H1853" s="5"/>
    </row>
    <row r="1854" spans="3:8" ht="14.25" customHeight="1">
      <c r="C1854" s="26"/>
      <c r="D1854" s="26"/>
      <c r="E1854" s="26"/>
      <c r="F1854" s="26"/>
      <c r="G1854" s="26"/>
      <c r="H1854" s="5"/>
    </row>
    <row r="1855" spans="3:8" ht="14.25" customHeight="1">
      <c r="C1855" s="26"/>
      <c r="D1855" s="26"/>
      <c r="E1855" s="26"/>
      <c r="F1855" s="26"/>
      <c r="G1855" s="26"/>
      <c r="H1855" s="5"/>
    </row>
    <row r="1856" spans="3:8" ht="14.25" customHeight="1">
      <c r="C1856" s="26"/>
      <c r="D1856" s="26"/>
      <c r="E1856" s="26"/>
      <c r="F1856" s="26"/>
      <c r="G1856" s="26"/>
      <c r="H1856" s="5"/>
    </row>
    <row r="1857" spans="2:44" ht="14.25" customHeight="1">
      <c r="C1857" s="26"/>
      <c r="D1857" s="26"/>
      <c r="E1857" s="26"/>
      <c r="F1857" s="26"/>
      <c r="G1857" s="26"/>
      <c r="H1857" s="5"/>
    </row>
    <row r="1858" spans="2:44" ht="14.25" customHeight="1">
      <c r="C1858" s="26"/>
      <c r="D1858" s="26"/>
      <c r="E1858" s="26"/>
      <c r="F1858" s="26"/>
      <c r="G1858" s="26"/>
      <c r="H1858" s="5"/>
    </row>
    <row r="1859" spans="2:44" ht="14.25" customHeight="1">
      <c r="C1859" s="26"/>
      <c r="D1859" s="26"/>
      <c r="E1859" s="26"/>
      <c r="F1859" s="26"/>
      <c r="G1859" s="26"/>
      <c r="H1859" s="5"/>
    </row>
    <row r="1860" spans="2:44" ht="14.25" customHeight="1">
      <c r="C1860" s="26"/>
      <c r="D1860" s="26"/>
      <c r="E1860" s="26"/>
      <c r="F1860" s="26"/>
      <c r="G1860" s="26"/>
      <c r="H1860" s="5"/>
    </row>
    <row r="1861" spans="2:44" ht="14.25" customHeight="1">
      <c r="B1861" s="462" t="str">
        <f>TITLE!$C$33</f>
        <v>Полотна: ДОБОР LADA</v>
      </c>
      <c r="C1861" s="463"/>
      <c r="D1861" s="122"/>
      <c r="E1861" s="122"/>
      <c r="F1861" s="122"/>
      <c r="G1861" s="122"/>
      <c r="H1861" s="122"/>
      <c r="I1861" s="125"/>
      <c r="J1861" s="125"/>
      <c r="K1861" s="125"/>
      <c r="L1861" s="125"/>
      <c r="M1861" s="125"/>
      <c r="N1861" s="125"/>
      <c r="O1861" s="125"/>
      <c r="P1861" s="125"/>
      <c r="Q1861" s="125"/>
      <c r="R1861" s="125"/>
      <c r="S1861" s="419" t="str">
        <f>IF($C$1="ENG",CONCATENATE("up to: ",B1793),CONCATENATE("вгору до: ",B1793))</f>
        <v>вгору до: Полотна скляні: ГЛАСФОРД</v>
      </c>
      <c r="T1861" s="419"/>
      <c r="U1861" s="419"/>
      <c r="V1861" s="419"/>
      <c r="W1861" s="419"/>
    </row>
    <row r="1862" spans="2:44" ht="14.25" customHeight="1">
      <c r="B1862" s="151"/>
      <c r="C1862" s="152"/>
      <c r="D1862" s="9"/>
      <c r="E1862" s="9"/>
      <c r="F1862" s="10"/>
      <c r="G1862" s="10"/>
      <c r="H1862" s="10"/>
      <c r="I1862" s="8"/>
      <c r="J1862" s="8"/>
      <c r="K1862" s="8"/>
      <c r="L1862" s="8"/>
      <c r="M1862" s="11"/>
      <c r="P1862" s="8"/>
      <c r="Q1862" s="11"/>
    </row>
    <row r="1863" spans="2:44" ht="14.25" customHeight="1">
      <c r="B1863" s="448" t="str">
        <f>IF($C$1="ENG","model","модель")</f>
        <v>модель</v>
      </c>
      <c r="C1863" s="126" t="str">
        <f>IF($C$1="ENG","cover:","покриття:")</f>
        <v>покриття:</v>
      </c>
      <c r="D1863" s="430" t="str">
        <f>IF($C$1="ENG","Verto-CELL","Verto-CELL")</f>
        <v>Verto-CELL</v>
      </c>
      <c r="E1863" s="432"/>
      <c r="F1863" s="430" t="str">
        <f>IF($C$1="ENG","UNI-MAT","UNI-MAT")</f>
        <v>UNI-MAT</v>
      </c>
      <c r="G1863" s="432"/>
      <c r="H1863" s="430" t="str">
        <f>IF($C$1="ENG","RESIST","RESIST")</f>
        <v>RESIST</v>
      </c>
      <c r="I1863" s="432"/>
      <c r="J1863" s="430" t="str">
        <f>IF($C$1="ENG","Verto LINE-3D","Verto LINE-3D")</f>
        <v>Verto LINE-3D</v>
      </c>
      <c r="K1863" s="432"/>
      <c r="L1863" s="430" t="str">
        <f>IF($C$1="ENG","ECO Shpon","ЕКО Шпон")</f>
        <v>ЕКО Шпон</v>
      </c>
      <c r="M1863" s="432"/>
      <c r="P1863" s="20"/>
      <c r="Q1863" s="20"/>
    </row>
    <row r="1864" spans="2:44" ht="27.75" customHeight="1">
      <c r="B1864" s="449"/>
      <c r="C1864" s="127" t="str">
        <f>IF($C$1="ENG","filling:","заповнення:")</f>
        <v>заповнення:</v>
      </c>
      <c r="D1864" s="441" t="str">
        <f>IF($C$1="ENG","softwood","клеєний сосновий брус")</f>
        <v>клеєний сосновий брус</v>
      </c>
      <c r="E1864" s="442"/>
      <c r="F1864" s="441" t="str">
        <f>IF($C$1="ENG","softwood","клеєний сосновий брус")</f>
        <v>клеєний сосновий брус</v>
      </c>
      <c r="G1864" s="442"/>
      <c r="H1864" s="441" t="str">
        <f>IF($C$1="ENG","softwood","клеєний сосновий брус")</f>
        <v>клеєний сосновий брус</v>
      </c>
      <c r="I1864" s="442"/>
      <c r="J1864" s="441" t="str">
        <f>IF($C$1="ENG","softwood","клеєний сосновий брус")</f>
        <v>клеєний сосновий брус</v>
      </c>
      <c r="K1864" s="442"/>
      <c r="L1864" s="441" t="str">
        <f>IF($C$1="ENG","softwood","клеєний сосновий брус")</f>
        <v>клеєний сосновий брус</v>
      </c>
      <c r="M1864" s="442"/>
      <c r="P1864" s="20"/>
      <c r="Q1864" s="20"/>
      <c r="X1864" s="407"/>
    </row>
    <row r="1865" spans="2:44" ht="14.25" customHeight="1">
      <c r="B1865" s="450"/>
      <c r="C1865" s="128" t="str">
        <f>IF($C$1="ENG","glazing:","скління:")</f>
        <v>скління:</v>
      </c>
      <c r="D1865" s="424" t="str">
        <f>IF($C$1="ENG","Satin","Сатин")</f>
        <v>Сатин</v>
      </c>
      <c r="E1865" s="434"/>
      <c r="F1865" s="424" t="str">
        <f>IF($C$1="ENG","Satin","Сатин")</f>
        <v>Сатин</v>
      </c>
      <c r="G1865" s="434"/>
      <c r="H1865" s="424" t="str">
        <f>IF($C$1="ENG","Satin","Сатин")</f>
        <v>Сатин</v>
      </c>
      <c r="I1865" s="434"/>
      <c r="J1865" s="424" t="str">
        <f>IF($C$1="ENG","Satin","Сатин")</f>
        <v>Сатин</v>
      </c>
      <c r="K1865" s="434"/>
      <c r="L1865" s="424" t="str">
        <f>IF($C$1="ENG","Satin","Сатин")</f>
        <v>Сатин</v>
      </c>
      <c r="M1865" s="434"/>
      <c r="N1865" s="108"/>
      <c r="O1865" s="20"/>
      <c r="P1865" s="20"/>
      <c r="Q1865" s="20"/>
      <c r="R1865" s="108"/>
      <c r="S1865" s="20"/>
      <c r="T1865" s="108"/>
      <c r="V1865" s="108"/>
      <c r="W1865" s="20"/>
    </row>
    <row r="1866" spans="2:44" ht="34.5" customHeight="1">
      <c r="B1866" s="13" t="s">
        <v>53</v>
      </c>
      <c r="C1866" s="14"/>
      <c r="D1866" s="15">
        <f>IF(AC1866="","",(1-$W$2)*(AC1866/1.2))</f>
        <v>4933.3333333333339</v>
      </c>
      <c r="E1866" s="67">
        <f>IF($W$5=0.2,D1866*1.2,D1866)/$W$4</f>
        <v>5920.0000000000009</v>
      </c>
      <c r="F1866" s="15">
        <f>IF(AD1866="","",(1-$W$2)*(AD1866/1.2))</f>
        <v>5658.3333333333339</v>
      </c>
      <c r="G1866" s="67">
        <f>IF($W$5=0.2,F1866*1.2,F1866)/$W$4</f>
        <v>6790.0000000000009</v>
      </c>
      <c r="H1866" s="15">
        <f>IF(AE1866="","",(1-$W$2)*(AE1866/1.2))</f>
        <v>5841.666666666667</v>
      </c>
      <c r="I1866" s="67">
        <f>IF($W$5=0.2,H1866*1.2,H1866)/$W$4</f>
        <v>7010</v>
      </c>
      <c r="J1866" s="15">
        <f>IF(AF1866="","",(1-$W$2)*(AF1866/1.2))</f>
        <v>6200</v>
      </c>
      <c r="K1866" s="67">
        <f>IF($W$5=0.2,J1866*1.2,J1866)/$W$4</f>
        <v>7440</v>
      </c>
      <c r="L1866" s="15">
        <f>IF(AG1866="","",(1-$W$2)*(AG1866/1.2))</f>
        <v>6433.3333333333339</v>
      </c>
      <c r="M1866" s="67">
        <f>IF($W$5=0.2,L1866*1.2,L1866)/$W$4</f>
        <v>7720</v>
      </c>
      <c r="N1866" s="108"/>
      <c r="O1866" s="20"/>
      <c r="P1866" s="20"/>
      <c r="Q1866" s="20"/>
      <c r="R1866" s="108"/>
      <c r="S1866" s="20"/>
      <c r="T1866" s="108"/>
      <c r="V1866" s="108"/>
      <c r="W1866" s="20"/>
      <c r="AC1866" s="346">
        <v>5920</v>
      </c>
      <c r="AD1866" s="346">
        <v>6790</v>
      </c>
      <c r="AE1866" s="346">
        <v>7010</v>
      </c>
      <c r="AF1866" s="346">
        <v>7440</v>
      </c>
      <c r="AG1866" s="346">
        <v>7720</v>
      </c>
      <c r="AH1866" s="301">
        <v>5920</v>
      </c>
      <c r="AI1866" s="301">
        <f>AH1866/AC1866-1</f>
        <v>0</v>
      </c>
      <c r="AJ1866" s="301">
        <v>6790</v>
      </c>
      <c r="AK1866" s="301">
        <f>AJ1866/AD1866-1</f>
        <v>0</v>
      </c>
      <c r="AL1866" s="301">
        <v>7010</v>
      </c>
      <c r="AM1866" s="301">
        <f>AL1866/AE1866-1</f>
        <v>0</v>
      </c>
      <c r="AN1866" s="301">
        <v>7440</v>
      </c>
      <c r="AO1866" s="301">
        <f>AN1866/AF1866-1</f>
        <v>0</v>
      </c>
      <c r="AP1866" s="301">
        <v>7720</v>
      </c>
      <c r="AQ1866" s="301">
        <f>AP1866/AG1866-1</f>
        <v>0</v>
      </c>
      <c r="AR1866" s="347"/>
    </row>
    <row r="1867" spans="2:44" ht="34.5" customHeight="1">
      <c r="B1867" s="16" t="s">
        <v>54</v>
      </c>
      <c r="C1867" s="17"/>
      <c r="D1867" s="18">
        <f>IF(AC1867="","",(1-$W$2)*(AC1867/1.2))</f>
        <v>5033.3333333333339</v>
      </c>
      <c r="E1867" s="69">
        <f>IF($W$5=0.2,D1867*1.2,D1867)/$W$4</f>
        <v>6040.0000000000009</v>
      </c>
      <c r="F1867" s="18">
        <f>IF(AD1867="","",(1-$W$2)*(AD1867/1.2))</f>
        <v>5766.666666666667</v>
      </c>
      <c r="G1867" s="69">
        <f>IF($W$5=0.2,F1867*1.2,F1867)/$W$4</f>
        <v>6920</v>
      </c>
      <c r="H1867" s="18">
        <f>IF(AE1867="","",(1-$W$2)*(AE1867/1.2))</f>
        <v>5966.666666666667</v>
      </c>
      <c r="I1867" s="69">
        <f>IF($W$5=0.2,H1867*1.2,H1867)/$W$4</f>
        <v>7160</v>
      </c>
      <c r="J1867" s="18">
        <f>IF(AF1867="","",(1-$W$2)*(AF1867/1.2))</f>
        <v>6325</v>
      </c>
      <c r="K1867" s="69">
        <f>IF($W$5=0.2,J1867*1.2,J1867)/$W$4</f>
        <v>7590</v>
      </c>
      <c r="L1867" s="18">
        <f>IF(AG1867="","",(1-$W$2)*(AG1867/1.2))</f>
        <v>6958.3333333333339</v>
      </c>
      <c r="M1867" s="69">
        <f>IF($W$5=0.2,L1867*1.2,L1867)/$W$4</f>
        <v>8350</v>
      </c>
      <c r="N1867" s="108"/>
      <c r="O1867" s="20"/>
      <c r="P1867" s="20"/>
      <c r="Q1867" s="20"/>
      <c r="R1867" s="108"/>
      <c r="S1867" s="20"/>
      <c r="T1867" s="108"/>
      <c r="V1867" s="108"/>
      <c r="W1867" s="20"/>
      <c r="AC1867" s="346">
        <v>6040</v>
      </c>
      <c r="AD1867" s="346">
        <v>6920</v>
      </c>
      <c r="AE1867" s="346">
        <v>7160</v>
      </c>
      <c r="AF1867" s="346">
        <v>7590</v>
      </c>
      <c r="AG1867" s="346">
        <v>8350</v>
      </c>
      <c r="AH1867" s="301">
        <v>6040</v>
      </c>
      <c r="AI1867" s="301">
        <f t="shared" ref="AI1867:AI1870" si="177">AH1867/AC1867-1</f>
        <v>0</v>
      </c>
      <c r="AJ1867" s="301">
        <v>6920</v>
      </c>
      <c r="AK1867" s="301">
        <f t="shared" ref="AK1867:AK1870" si="178">AJ1867/AD1867-1</f>
        <v>0</v>
      </c>
      <c r="AL1867" s="301">
        <v>7160</v>
      </c>
      <c r="AM1867" s="301">
        <f t="shared" ref="AM1867:AM1870" si="179">AL1867/AE1867-1</f>
        <v>0</v>
      </c>
      <c r="AN1867" s="301">
        <v>7590</v>
      </c>
      <c r="AO1867" s="301">
        <f t="shared" ref="AO1867:AO1870" si="180">AN1867/AF1867-1</f>
        <v>0</v>
      </c>
      <c r="AP1867" s="301">
        <v>8350</v>
      </c>
      <c r="AQ1867" s="301">
        <f t="shared" ref="AQ1867:AQ1870" si="181">AP1867/AG1867-1</f>
        <v>0</v>
      </c>
      <c r="AR1867" s="347"/>
    </row>
    <row r="1868" spans="2:44" ht="34.5" customHeight="1">
      <c r="B1868" s="16" t="s">
        <v>55</v>
      </c>
      <c r="C1868" s="17"/>
      <c r="D1868" s="18">
        <f>IF(AC1868="","",(1-$W$2)*(AC1868/1.2))</f>
        <v>4933.3333333333339</v>
      </c>
      <c r="E1868" s="69">
        <f>IF($W$5=0.2,D1868*1.2,D1868)/$W$4</f>
        <v>5920.0000000000009</v>
      </c>
      <c r="F1868" s="18">
        <f>IF(AD1868="","",(1-$W$2)*(AD1868/1.2))</f>
        <v>5650</v>
      </c>
      <c r="G1868" s="69">
        <f>IF($W$5=0.2,F1868*1.2,F1868)/$W$4</f>
        <v>6780</v>
      </c>
      <c r="H1868" s="18">
        <f>IF(AE1868="","",(1-$W$2)*(AE1868/1.2))</f>
        <v>5841.666666666667</v>
      </c>
      <c r="I1868" s="69">
        <f>IF($W$5=0.2,H1868*1.2,H1868)/$W$4</f>
        <v>7010</v>
      </c>
      <c r="J1868" s="18">
        <f>IF(AF1868="","",(1-$W$2)*(AF1868/1.2))</f>
        <v>6200</v>
      </c>
      <c r="K1868" s="69">
        <f>IF($W$5=0.2,J1868*1.2,J1868)/$W$4</f>
        <v>7440</v>
      </c>
      <c r="L1868" s="18">
        <f>IF(AG1868="","",(1-$W$2)*(AG1868/1.2))</f>
        <v>6433.3333333333339</v>
      </c>
      <c r="M1868" s="69">
        <f>IF($W$5=0.2,L1868*1.2,L1868)/$W$4</f>
        <v>7720</v>
      </c>
      <c r="N1868" s="108"/>
      <c r="O1868" s="20"/>
      <c r="P1868" s="20"/>
      <c r="Q1868" s="20"/>
      <c r="R1868" s="108"/>
      <c r="S1868" s="20"/>
      <c r="T1868" s="108"/>
      <c r="V1868" s="108"/>
      <c r="W1868" s="20"/>
      <c r="AC1868" s="346">
        <v>5920</v>
      </c>
      <c r="AD1868" s="346">
        <v>6780</v>
      </c>
      <c r="AE1868" s="346">
        <v>7010</v>
      </c>
      <c r="AF1868" s="346">
        <v>7440</v>
      </c>
      <c r="AG1868" s="346">
        <v>7720</v>
      </c>
      <c r="AH1868" s="301">
        <v>5920</v>
      </c>
      <c r="AI1868" s="301">
        <f t="shared" si="177"/>
        <v>0</v>
      </c>
      <c r="AJ1868" s="301">
        <v>6780</v>
      </c>
      <c r="AK1868" s="301">
        <f t="shared" si="178"/>
        <v>0</v>
      </c>
      <c r="AL1868" s="301">
        <v>7010</v>
      </c>
      <c r="AM1868" s="301">
        <f t="shared" si="179"/>
        <v>0</v>
      </c>
      <c r="AN1868" s="301">
        <v>7440</v>
      </c>
      <c r="AO1868" s="301">
        <f t="shared" si="180"/>
        <v>0</v>
      </c>
      <c r="AP1868" s="301">
        <v>7720</v>
      </c>
      <c r="AQ1868" s="301">
        <f t="shared" si="181"/>
        <v>0</v>
      </c>
      <c r="AR1868" s="347"/>
    </row>
    <row r="1869" spans="2:44" ht="34.5" customHeight="1">
      <c r="B1869" s="16" t="s">
        <v>56</v>
      </c>
      <c r="C1869" s="17"/>
      <c r="D1869" s="18">
        <f>IF(AC1869="","",(1-$W$2)*(AC1869/1.2))</f>
        <v>5108.3333333333339</v>
      </c>
      <c r="E1869" s="69">
        <f>IF($W$5=0.2,D1869*1.2,D1869)/$W$4</f>
        <v>6130.0000000000009</v>
      </c>
      <c r="F1869" s="18">
        <f>IF(AD1869="","",(1-$W$2)*(AD1869/1.2))</f>
        <v>5875</v>
      </c>
      <c r="G1869" s="69">
        <f>IF($W$5=0.2,F1869*1.2,F1869)/$W$4</f>
        <v>7050</v>
      </c>
      <c r="H1869" s="18">
        <f>IF(AE1869="","",(1-$W$2)*(AE1869/1.2))</f>
        <v>6033.3333333333339</v>
      </c>
      <c r="I1869" s="69">
        <f>IF($W$5=0.2,H1869*1.2,H1869)/$W$4</f>
        <v>7240.0000000000009</v>
      </c>
      <c r="J1869" s="18">
        <f>IF(AF1869="","",(1-$W$2)*(AF1869/1.2))</f>
        <v>6383.3333333333339</v>
      </c>
      <c r="K1869" s="69">
        <f>IF($W$5=0.2,J1869*1.2,J1869)/$W$4</f>
        <v>7660</v>
      </c>
      <c r="L1869" s="18">
        <f>IF(AG1869="","",(1-$W$2)*(AG1869/1.2))</f>
        <v>6591.666666666667</v>
      </c>
      <c r="M1869" s="69">
        <f>IF($W$5=0.2,L1869*1.2,L1869)/$W$4</f>
        <v>7910</v>
      </c>
      <c r="N1869" s="108"/>
      <c r="O1869" s="20"/>
      <c r="P1869" s="20"/>
      <c r="Q1869" s="20"/>
      <c r="R1869" s="108"/>
      <c r="S1869" s="20"/>
      <c r="T1869" s="108"/>
      <c r="V1869" s="108"/>
      <c r="W1869" s="20"/>
      <c r="AC1869" s="346">
        <v>6130</v>
      </c>
      <c r="AD1869" s="346">
        <v>7050</v>
      </c>
      <c r="AE1869" s="346">
        <v>7240</v>
      </c>
      <c r="AF1869" s="346">
        <v>7660</v>
      </c>
      <c r="AG1869" s="346">
        <v>7910</v>
      </c>
      <c r="AH1869" s="301">
        <v>6130</v>
      </c>
      <c r="AI1869" s="301">
        <f t="shared" si="177"/>
        <v>0</v>
      </c>
      <c r="AJ1869" s="301">
        <v>7050</v>
      </c>
      <c r="AK1869" s="301">
        <f t="shared" si="178"/>
        <v>0</v>
      </c>
      <c r="AL1869" s="301">
        <v>7240</v>
      </c>
      <c r="AM1869" s="301">
        <f t="shared" si="179"/>
        <v>0</v>
      </c>
      <c r="AN1869" s="301">
        <v>7660</v>
      </c>
      <c r="AO1869" s="301">
        <f t="shared" si="180"/>
        <v>0</v>
      </c>
      <c r="AP1869" s="301">
        <v>7910</v>
      </c>
      <c r="AQ1869" s="301">
        <f t="shared" si="181"/>
        <v>0</v>
      </c>
      <c r="AR1869" s="347"/>
    </row>
    <row r="1870" spans="2:44" ht="34.5" customHeight="1">
      <c r="B1870" s="23" t="s">
        <v>57</v>
      </c>
      <c r="C1870" s="24"/>
      <c r="D1870" s="25">
        <f>IF(AC1870="","",(1-$W$2)*(AC1870/1.2))</f>
        <v>5291.666666666667</v>
      </c>
      <c r="E1870" s="72">
        <f>IF($W$5=0.2,D1870*1.2,D1870)/$W$4</f>
        <v>6350</v>
      </c>
      <c r="F1870" s="25">
        <f>IF(AD1870="","",(1-$W$2)*(AD1870/1.2))</f>
        <v>6066.666666666667</v>
      </c>
      <c r="G1870" s="72">
        <f>IF($W$5=0.2,F1870*1.2,F1870)/$W$4</f>
        <v>7280</v>
      </c>
      <c r="H1870" s="25">
        <f>IF(AE1870="","",(1-$W$2)*(AE1870/1.2))</f>
        <v>6216.666666666667</v>
      </c>
      <c r="I1870" s="72">
        <f>IF($W$5=0.2,H1870*1.2,H1870)/$W$4</f>
        <v>7460</v>
      </c>
      <c r="J1870" s="25">
        <f>IF(AF1870="","",(1-$W$2)*(AF1870/1.2))</f>
        <v>6591.666666666667</v>
      </c>
      <c r="K1870" s="72">
        <f>IF($W$5=0.2,J1870*1.2,J1870)/$W$4</f>
        <v>7910</v>
      </c>
      <c r="L1870" s="25">
        <f>IF(AG1870="","",(1-$W$2)*(AG1870/1.2))</f>
        <v>6791.666666666667</v>
      </c>
      <c r="M1870" s="72">
        <f>IF($W$5=0.2,L1870*1.2,L1870)/$W$4</f>
        <v>8150</v>
      </c>
      <c r="P1870" s="20"/>
      <c r="Q1870" s="20"/>
      <c r="AC1870" s="346">
        <v>6350</v>
      </c>
      <c r="AD1870" s="346">
        <v>7280</v>
      </c>
      <c r="AE1870" s="346">
        <v>7460</v>
      </c>
      <c r="AF1870" s="346">
        <v>7910</v>
      </c>
      <c r="AG1870" s="346">
        <v>8150</v>
      </c>
      <c r="AH1870" s="301">
        <v>6350</v>
      </c>
      <c r="AI1870" s="301">
        <f t="shared" si="177"/>
        <v>0</v>
      </c>
      <c r="AJ1870" s="301">
        <v>7280</v>
      </c>
      <c r="AK1870" s="301">
        <f t="shared" si="178"/>
        <v>0</v>
      </c>
      <c r="AL1870" s="301">
        <v>7460</v>
      </c>
      <c r="AM1870" s="301">
        <f t="shared" si="179"/>
        <v>0</v>
      </c>
      <c r="AN1870" s="301">
        <v>7910</v>
      </c>
      <c r="AO1870" s="301">
        <f t="shared" si="180"/>
        <v>0</v>
      </c>
      <c r="AP1870" s="301">
        <v>8150</v>
      </c>
      <c r="AQ1870" s="301">
        <f t="shared" si="181"/>
        <v>0</v>
      </c>
      <c r="AR1870" s="347"/>
    </row>
    <row r="1871" spans="2:44" ht="14.25" customHeight="1">
      <c r="C1871" s="26"/>
      <c r="D1871" s="26"/>
      <c r="E1871" s="60"/>
      <c r="F1871" s="10"/>
      <c r="G1871" s="10"/>
      <c r="H1871" s="10"/>
      <c r="I1871" s="147"/>
      <c r="J1871" s="48"/>
      <c r="K1871" s="48"/>
      <c r="L1871" s="8"/>
      <c r="P1871" s="20"/>
      <c r="Q1871" s="20"/>
    </row>
    <row r="1872" spans="2:44">
      <c r="B1872" s="220" t="str">
        <f>IF($C$1="ENG","For additonal charge:","Послуги за додаткову плату:")</f>
        <v>Послуги за додаткову плату:</v>
      </c>
      <c r="C1872" s="221"/>
      <c r="D1872" s="221"/>
      <c r="E1872" s="222"/>
      <c r="F1872" s="26"/>
      <c r="G1872" s="60"/>
      <c r="H1872" s="10"/>
      <c r="I1872" s="8"/>
      <c r="J1872" s="8"/>
      <c r="K1872" s="8"/>
    </row>
    <row r="1873" spans="2:38" ht="5.0999999999999996" customHeight="1">
      <c r="B1873" s="27"/>
      <c r="C1873" s="26"/>
      <c r="D1873" s="26"/>
      <c r="E1873" s="60"/>
      <c r="F1873" s="26"/>
      <c r="G1873" s="26"/>
      <c r="H1873" s="10"/>
      <c r="I1873" s="8"/>
      <c r="J1873" s="8"/>
      <c r="K1873" s="8"/>
    </row>
    <row r="1874" spans="2:38">
      <c r="B1874" s="439" t="str">
        <f>IF($C$1="ENG","glazing Graphite / Bronze","скло Графіт / Бронза")</f>
        <v>скло Графіт / Бронза</v>
      </c>
      <c r="C1874" s="440"/>
      <c r="D1874" s="106">
        <f>IF(AC1874="","",(1-$W$2)*(AC1874/1.2))</f>
        <v>425</v>
      </c>
      <c r="E1874" s="96">
        <f>IF($W$5=0.2,D1874*1.2,D1874)/$W$4</f>
        <v>510</v>
      </c>
      <c r="F1874" s="26"/>
      <c r="G1874" s="26"/>
      <c r="H1874" s="5"/>
      <c r="AC1874" s="310">
        <v>510</v>
      </c>
      <c r="AD1874" s="301">
        <v>510</v>
      </c>
      <c r="AE1874" s="301">
        <f>AD1874/AC1874-1</f>
        <v>0</v>
      </c>
      <c r="AF1874" s="301"/>
      <c r="AG1874" s="301"/>
      <c r="AH1874" s="301"/>
      <c r="AI1874" s="301"/>
      <c r="AJ1874" s="301"/>
      <c r="AK1874" s="301"/>
      <c r="AL1874" s="301"/>
    </row>
    <row r="1875" spans="2:38">
      <c r="B1875" s="439" t="str">
        <f>IF($C$1="ENG","door hindge Prestige (1 unit)","завіса Prestige (1 шт)")</f>
        <v>завіса Prestige (1 шт)</v>
      </c>
      <c r="C1875" s="440"/>
      <c r="D1875" s="139">
        <f>IF(AC1875="","",(1-$W$2)*(AC1875/1.2))</f>
        <v>225</v>
      </c>
      <c r="E1875" s="97">
        <f>IF($W$5=0.2,D1875*1.2,D1875)/$W$4</f>
        <v>270</v>
      </c>
      <c r="F1875" s="26"/>
      <c r="G1875" s="26"/>
      <c r="AC1875" s="310">
        <v>270</v>
      </c>
      <c r="AD1875" s="301">
        <v>270</v>
      </c>
      <c r="AE1875" s="301">
        <f t="shared" ref="AE1875:AE1876" si="182">AD1875/AC1875-1</f>
        <v>0</v>
      </c>
      <c r="AF1875" s="301"/>
      <c r="AG1875" s="301"/>
      <c r="AH1875" s="301"/>
      <c r="AI1875" s="301"/>
      <c r="AJ1875" s="301"/>
      <c r="AK1875" s="301"/>
      <c r="AL1875" s="301"/>
    </row>
    <row r="1876" spans="2:38">
      <c r="B1876" s="439" t="str">
        <f>IF($C$1="ENG","door hinge caps (1 set)","накладка на завіси (1 к-т)")</f>
        <v>накладка на завіси (1 к-т)</v>
      </c>
      <c r="C1876" s="440"/>
      <c r="D1876" s="139">
        <f>IF(AC1876="","",(1-$W$2)*(AC1876/1.2))</f>
        <v>66.666666666666671</v>
      </c>
      <c r="E1876" s="338">
        <f>IF($W$5=0.2,D1876*1.2,D1876)/$W$4</f>
        <v>80</v>
      </c>
      <c r="F1876" s="26"/>
      <c r="G1876" s="26"/>
      <c r="AC1876" s="310">
        <v>80</v>
      </c>
      <c r="AD1876" s="301">
        <v>80</v>
      </c>
      <c r="AE1876" s="301">
        <f t="shared" si="182"/>
        <v>0</v>
      </c>
      <c r="AF1876" s="301"/>
      <c r="AG1876" s="301"/>
      <c r="AH1876" s="301"/>
      <c r="AI1876" s="301"/>
      <c r="AJ1876" s="301"/>
      <c r="AK1876" s="301"/>
      <c r="AL1876" s="301"/>
    </row>
    <row r="1877" spans="2:38" ht="14.25" customHeight="1">
      <c r="C1877" s="26"/>
      <c r="D1877" s="26"/>
      <c r="E1877" s="26"/>
      <c r="F1877" s="26"/>
      <c r="G1877" s="26"/>
      <c r="H1877" s="5"/>
      <c r="T1877" s="460" t="str">
        <f>IF($C$1="ENG",CONCATENATE("down to: ",B1927),CONCATENATE("вниз до: ",B1927))</f>
        <v>вниз до: Полотна: ДОБОРИ</v>
      </c>
      <c r="U1877" s="460"/>
      <c r="V1877" s="460"/>
      <c r="W1877" s="460"/>
    </row>
    <row r="1878" spans="2:38" ht="14.25" customHeight="1">
      <c r="C1878" s="26"/>
      <c r="D1878" s="26"/>
      <c r="E1878" s="26"/>
      <c r="F1878" s="26"/>
      <c r="G1878" s="26"/>
      <c r="H1878" s="5"/>
    </row>
    <row r="1879" spans="2:38" ht="14.25" customHeight="1">
      <c r="C1879" s="26"/>
      <c r="D1879" s="26"/>
      <c r="E1879" s="26"/>
      <c r="F1879" s="26"/>
      <c r="G1879" s="26"/>
      <c r="H1879" s="5"/>
    </row>
    <row r="1880" spans="2:38" ht="14.25" customHeight="1">
      <c r="C1880" s="26"/>
      <c r="D1880" s="26"/>
      <c r="E1880" s="26"/>
      <c r="F1880" s="26"/>
      <c r="G1880" s="26"/>
      <c r="H1880" s="5"/>
    </row>
    <row r="1881" spans="2:38" ht="14.25" customHeight="1">
      <c r="C1881" s="26"/>
      <c r="D1881" s="26"/>
      <c r="E1881" s="26"/>
      <c r="F1881" s="26"/>
      <c r="G1881" s="26"/>
      <c r="H1881" s="5"/>
    </row>
    <row r="1882" spans="2:38" ht="14.25" customHeight="1">
      <c r="C1882" s="26"/>
      <c r="D1882" s="26"/>
      <c r="E1882" s="26"/>
      <c r="F1882" s="26"/>
      <c r="G1882" s="26"/>
      <c r="H1882" s="5"/>
    </row>
    <row r="1883" spans="2:38" ht="14.25" customHeight="1">
      <c r="C1883" s="26"/>
      <c r="D1883" s="26"/>
      <c r="E1883" s="26"/>
      <c r="F1883" s="26"/>
      <c r="G1883" s="26"/>
      <c r="H1883" s="5"/>
    </row>
    <row r="1884" spans="2:38" ht="14.25" customHeight="1">
      <c r="C1884" s="26"/>
      <c r="D1884" s="26"/>
      <c r="E1884" s="26"/>
      <c r="F1884" s="26"/>
      <c r="G1884" s="26"/>
      <c r="H1884" s="5"/>
    </row>
    <row r="1885" spans="2:38" ht="14.25" customHeight="1">
      <c r="C1885" s="26"/>
      <c r="D1885" s="26"/>
      <c r="E1885" s="26"/>
      <c r="F1885" s="26"/>
      <c r="G1885" s="26"/>
      <c r="H1885" s="5"/>
    </row>
    <row r="1886" spans="2:38" ht="14.25" customHeight="1">
      <c r="C1886" s="26"/>
      <c r="D1886" s="26"/>
      <c r="E1886" s="26"/>
      <c r="F1886" s="26"/>
      <c r="G1886" s="26"/>
      <c r="H1886" s="5"/>
    </row>
    <row r="1887" spans="2:38" ht="14.25" customHeight="1">
      <c r="C1887" s="26"/>
      <c r="D1887" s="26"/>
      <c r="E1887" s="26"/>
      <c r="F1887" s="26"/>
      <c r="G1887" s="26"/>
      <c r="H1887" s="5"/>
    </row>
    <row r="1888" spans="2:38" ht="14.25" customHeight="1">
      <c r="C1888" s="26"/>
      <c r="D1888" s="26"/>
      <c r="E1888" s="26"/>
      <c r="F1888" s="26"/>
      <c r="G1888" s="26"/>
      <c r="H1888" s="5"/>
    </row>
    <row r="1889" spans="3:8" ht="14.25" customHeight="1">
      <c r="C1889" s="26"/>
      <c r="D1889" s="26"/>
      <c r="E1889" s="26"/>
      <c r="F1889" s="26"/>
      <c r="G1889" s="26"/>
      <c r="H1889" s="5"/>
    </row>
    <row r="1890" spans="3:8" ht="14.25" customHeight="1">
      <c r="C1890" s="26"/>
      <c r="D1890" s="26"/>
      <c r="E1890" s="26"/>
      <c r="F1890" s="26"/>
      <c r="G1890" s="26"/>
      <c r="H1890" s="5"/>
    </row>
    <row r="1891" spans="3:8" ht="14.25" customHeight="1">
      <c r="C1891" s="26"/>
      <c r="D1891" s="26"/>
      <c r="E1891" s="26"/>
      <c r="F1891" s="26"/>
      <c r="G1891" s="26"/>
      <c r="H1891" s="5"/>
    </row>
    <row r="1892" spans="3:8" ht="14.25" customHeight="1">
      <c r="C1892" s="26"/>
      <c r="D1892" s="26"/>
      <c r="E1892" s="26"/>
      <c r="F1892" s="26"/>
      <c r="G1892" s="26"/>
      <c r="H1892" s="5"/>
    </row>
    <row r="1893" spans="3:8" ht="14.25" customHeight="1">
      <c r="C1893" s="26"/>
      <c r="D1893" s="26"/>
      <c r="E1893" s="26"/>
      <c r="F1893" s="26"/>
      <c r="G1893" s="26"/>
      <c r="H1893" s="5"/>
    </row>
    <row r="1894" spans="3:8" ht="14.25" customHeight="1">
      <c r="C1894" s="26"/>
      <c r="D1894" s="26"/>
      <c r="E1894" s="26"/>
      <c r="F1894" s="26"/>
      <c r="G1894" s="26"/>
      <c r="H1894" s="5"/>
    </row>
    <row r="1895" spans="3:8" ht="14.25" customHeight="1">
      <c r="C1895" s="26"/>
      <c r="D1895" s="26"/>
      <c r="E1895" s="26"/>
      <c r="F1895" s="26"/>
      <c r="G1895" s="26"/>
      <c r="H1895" s="5"/>
    </row>
    <row r="1896" spans="3:8" ht="14.25" customHeight="1">
      <c r="C1896" s="26"/>
      <c r="D1896" s="26"/>
      <c r="E1896" s="26"/>
      <c r="F1896" s="26"/>
      <c r="G1896" s="26"/>
      <c r="H1896" s="5"/>
    </row>
    <row r="1897" spans="3:8" ht="14.25" customHeight="1">
      <c r="C1897" s="26"/>
      <c r="D1897" s="26"/>
      <c r="E1897" s="26"/>
      <c r="F1897" s="26"/>
      <c r="G1897" s="26"/>
      <c r="H1897" s="5"/>
    </row>
    <row r="1898" spans="3:8" ht="14.25" customHeight="1">
      <c r="C1898" s="26"/>
      <c r="D1898" s="26"/>
      <c r="E1898" s="26"/>
      <c r="F1898" s="26"/>
      <c r="G1898" s="26"/>
      <c r="H1898" s="5"/>
    </row>
    <row r="1899" spans="3:8" ht="14.25" customHeight="1">
      <c r="C1899" s="26"/>
      <c r="D1899" s="26"/>
      <c r="E1899" s="26"/>
      <c r="F1899" s="26"/>
      <c r="G1899" s="26"/>
      <c r="H1899" s="5"/>
    </row>
    <row r="1900" spans="3:8" ht="14.25" customHeight="1">
      <c r="C1900" s="26"/>
      <c r="D1900" s="26"/>
      <c r="E1900" s="26"/>
      <c r="F1900" s="26"/>
      <c r="G1900" s="26"/>
      <c r="H1900" s="5"/>
    </row>
    <row r="1901" spans="3:8" ht="14.25" customHeight="1">
      <c r="C1901" s="26"/>
      <c r="D1901" s="26"/>
      <c r="E1901" s="26"/>
      <c r="F1901" s="26"/>
      <c r="G1901" s="26"/>
      <c r="H1901" s="5"/>
    </row>
    <row r="1902" spans="3:8" ht="14.25" customHeight="1">
      <c r="C1902" s="26"/>
      <c r="D1902" s="26"/>
      <c r="E1902" s="26"/>
      <c r="F1902" s="26"/>
      <c r="G1902" s="26"/>
      <c r="H1902" s="5"/>
    </row>
    <row r="1903" spans="3:8" ht="14.25" customHeight="1">
      <c r="C1903" s="26"/>
      <c r="D1903" s="26"/>
      <c r="E1903" s="26"/>
      <c r="F1903" s="26"/>
      <c r="G1903" s="26"/>
      <c r="H1903" s="5"/>
    </row>
    <row r="1904" spans="3:8" ht="14.25" customHeight="1">
      <c r="C1904" s="26"/>
      <c r="D1904" s="26"/>
      <c r="E1904" s="26"/>
      <c r="F1904" s="26"/>
      <c r="G1904" s="26"/>
      <c r="H1904" s="5"/>
    </row>
    <row r="1905" spans="3:8" ht="14.25" customHeight="1">
      <c r="C1905" s="26"/>
      <c r="D1905" s="26"/>
      <c r="E1905" s="26"/>
      <c r="F1905" s="26"/>
      <c r="G1905" s="26"/>
      <c r="H1905" s="5"/>
    </row>
    <row r="1906" spans="3:8" ht="14.25" customHeight="1">
      <c r="C1906" s="26"/>
      <c r="D1906" s="26"/>
      <c r="E1906" s="26"/>
      <c r="F1906" s="26"/>
      <c r="G1906" s="26"/>
      <c r="H1906" s="5"/>
    </row>
    <row r="1907" spans="3:8" ht="14.25" customHeight="1">
      <c r="C1907" s="26"/>
      <c r="D1907" s="26"/>
      <c r="E1907" s="26"/>
      <c r="F1907" s="26"/>
      <c r="G1907" s="26"/>
      <c r="H1907" s="5"/>
    </row>
    <row r="1908" spans="3:8" ht="14.25" customHeight="1">
      <c r="C1908" s="26"/>
      <c r="D1908" s="26"/>
      <c r="E1908" s="26"/>
      <c r="F1908" s="26"/>
      <c r="G1908" s="26"/>
      <c r="H1908" s="5"/>
    </row>
    <row r="1909" spans="3:8" ht="14.25" customHeight="1">
      <c r="C1909" s="26"/>
      <c r="D1909" s="26"/>
      <c r="E1909" s="26"/>
      <c r="F1909" s="26"/>
      <c r="G1909" s="26"/>
      <c r="H1909" s="5"/>
    </row>
    <row r="1910" spans="3:8" ht="14.25" customHeight="1">
      <c r="C1910" s="26"/>
      <c r="D1910" s="26"/>
      <c r="E1910" s="26"/>
      <c r="F1910" s="26"/>
      <c r="G1910" s="26"/>
      <c r="H1910" s="5"/>
    </row>
    <row r="1911" spans="3:8" ht="14.25" customHeight="1">
      <c r="C1911" s="26"/>
      <c r="D1911" s="26"/>
      <c r="E1911" s="26"/>
      <c r="F1911" s="26"/>
      <c r="G1911" s="26"/>
      <c r="H1911" s="5"/>
    </row>
    <row r="1912" spans="3:8" ht="14.25" customHeight="1">
      <c r="C1912" s="26"/>
      <c r="D1912" s="26"/>
      <c r="E1912" s="26"/>
      <c r="F1912" s="26"/>
      <c r="G1912" s="26"/>
      <c r="H1912" s="5"/>
    </row>
    <row r="1913" spans="3:8" ht="14.25" customHeight="1">
      <c r="C1913" s="26"/>
      <c r="D1913" s="26"/>
      <c r="E1913" s="26"/>
      <c r="F1913" s="26"/>
      <c r="G1913" s="26"/>
      <c r="H1913" s="5"/>
    </row>
    <row r="1914" spans="3:8" ht="14.25" customHeight="1">
      <c r="C1914" s="26"/>
      <c r="D1914" s="26"/>
      <c r="E1914" s="26"/>
      <c r="F1914" s="26"/>
      <c r="G1914" s="26"/>
      <c r="H1914" s="5"/>
    </row>
    <row r="1915" spans="3:8" ht="14.25" customHeight="1">
      <c r="C1915" s="26"/>
      <c r="D1915" s="26"/>
      <c r="E1915" s="26"/>
      <c r="F1915" s="26"/>
      <c r="G1915" s="26"/>
      <c r="H1915" s="5"/>
    </row>
    <row r="1916" spans="3:8" ht="14.25" customHeight="1">
      <c r="C1916" s="26"/>
      <c r="D1916" s="26"/>
      <c r="E1916" s="26"/>
      <c r="F1916" s="26"/>
      <c r="G1916" s="26"/>
      <c r="H1916" s="5"/>
    </row>
    <row r="1917" spans="3:8" ht="14.25" customHeight="1">
      <c r="C1917" s="26"/>
      <c r="D1917" s="26"/>
      <c r="E1917" s="26"/>
      <c r="F1917" s="26"/>
      <c r="G1917" s="26"/>
      <c r="H1917" s="5"/>
    </row>
    <row r="1918" spans="3:8" ht="14.25" customHeight="1">
      <c r="C1918" s="26"/>
      <c r="D1918" s="26"/>
      <c r="E1918" s="26"/>
      <c r="F1918" s="26"/>
      <c r="G1918" s="26"/>
      <c r="H1918" s="5"/>
    </row>
    <row r="1919" spans="3:8" ht="14.25" customHeight="1">
      <c r="C1919" s="26"/>
      <c r="D1919" s="26"/>
      <c r="E1919" s="26"/>
      <c r="F1919" s="26"/>
      <c r="G1919" s="26"/>
      <c r="H1919" s="5"/>
    </row>
    <row r="1920" spans="3:8" ht="14.25" customHeight="1">
      <c r="C1920" s="26"/>
      <c r="D1920" s="26"/>
      <c r="E1920" s="26"/>
      <c r="F1920" s="26"/>
      <c r="G1920" s="26"/>
      <c r="H1920" s="5"/>
    </row>
    <row r="1921" spans="1:46" ht="14.25" customHeight="1">
      <c r="C1921" s="26"/>
      <c r="D1921" s="26"/>
      <c r="E1921" s="26"/>
      <c r="F1921" s="26"/>
      <c r="G1921" s="26"/>
      <c r="H1921" s="5"/>
    </row>
    <row r="1922" spans="1:46" ht="14.25" customHeight="1">
      <c r="C1922" s="26"/>
      <c r="D1922" s="26"/>
      <c r="E1922" s="26"/>
      <c r="F1922" s="26"/>
      <c r="G1922" s="26"/>
      <c r="H1922" s="5"/>
    </row>
    <row r="1923" spans="1:46" ht="14.25" customHeight="1">
      <c r="C1923" s="26"/>
      <c r="D1923" s="26"/>
      <c r="E1923" s="26"/>
      <c r="F1923" s="26"/>
      <c r="G1923" s="26"/>
      <c r="H1923" s="5"/>
    </row>
    <row r="1924" spans="1:46" ht="14.25" customHeight="1">
      <c r="C1924" s="26"/>
      <c r="D1924" s="26"/>
      <c r="E1924" s="26"/>
      <c r="F1924" s="26"/>
      <c r="G1924" s="26"/>
      <c r="H1924" s="5"/>
    </row>
    <row r="1925" spans="1:46" ht="14.25" customHeight="1">
      <c r="C1925" s="26"/>
      <c r="D1925" s="26"/>
      <c r="E1925" s="26"/>
      <c r="F1925" s="26"/>
      <c r="G1925" s="26"/>
      <c r="H1925" s="5"/>
      <c r="AE1925" s="301">
        <f>AD1925/100*12+AD1925</f>
        <v>0</v>
      </c>
      <c r="AF1925" s="301" t="e">
        <f>AE1925/AD1925-1</f>
        <v>#DIV/0!</v>
      </c>
    </row>
    <row r="1926" spans="1:46" s="8" customFormat="1">
      <c r="B1926" s="1"/>
      <c r="C1926" s="26"/>
      <c r="D1926" s="26"/>
      <c r="E1926" s="26"/>
      <c r="F1926" s="26"/>
      <c r="G1926" s="26"/>
      <c r="H1926" s="5"/>
      <c r="I1926" s="1"/>
      <c r="J1926" s="1"/>
      <c r="K1926" s="1"/>
      <c r="AN1926" s="291"/>
      <c r="AO1926" s="291"/>
      <c r="AP1926" s="291"/>
      <c r="AQ1926" s="291"/>
      <c r="AR1926" s="291"/>
      <c r="AS1926" s="291"/>
      <c r="AT1926" s="291"/>
    </row>
    <row r="1927" spans="1:46" s="8" customFormat="1" ht="12.75" customHeight="1">
      <c r="B1927" s="462" t="str">
        <f>TITLE!C34</f>
        <v>Полотна: ДОБОРИ</v>
      </c>
      <c r="C1927" s="463"/>
      <c r="D1927" s="122"/>
      <c r="E1927" s="122"/>
      <c r="F1927" s="122"/>
      <c r="G1927" s="122"/>
      <c r="H1927" s="122"/>
      <c r="I1927" s="125"/>
      <c r="J1927" s="125"/>
      <c r="K1927" s="125"/>
      <c r="L1927" s="125"/>
      <c r="M1927" s="125"/>
      <c r="N1927" s="125"/>
      <c r="O1927" s="125"/>
      <c r="P1927" s="125"/>
      <c r="Q1927" s="125"/>
      <c r="R1927" s="125"/>
      <c r="S1927" s="419" t="str">
        <f>IF($C$1="ENG",CONCATENATE("up to: ",B1861),CONCATENATE("вгору до: ",B1861))</f>
        <v>вгору до: Полотна: ДОБОР LADA</v>
      </c>
      <c r="T1927" s="419"/>
      <c r="U1927" s="419"/>
      <c r="V1927" s="419"/>
      <c r="W1927" s="419"/>
      <c r="AN1927" s="291"/>
      <c r="AO1927" s="291"/>
      <c r="AP1927" s="291"/>
      <c r="AQ1927" s="291"/>
      <c r="AR1927" s="291"/>
      <c r="AS1927" s="291"/>
      <c r="AT1927" s="291"/>
    </row>
    <row r="1928" spans="1:46" ht="4.5" customHeight="1">
      <c r="A1928" s="8"/>
      <c r="B1928" s="151"/>
      <c r="C1928" s="152"/>
      <c r="D1928" s="9"/>
      <c r="E1928" s="9"/>
      <c r="F1928" s="10"/>
      <c r="G1928" s="10"/>
      <c r="H1928" s="10"/>
      <c r="I1928" s="8"/>
      <c r="J1928" s="8"/>
      <c r="K1928" s="8"/>
      <c r="L1928" s="8"/>
      <c r="M1928" s="11"/>
      <c r="P1928" s="8"/>
      <c r="Q1928" s="11"/>
    </row>
    <row r="1929" spans="1:46" ht="12.75" customHeight="1">
      <c r="A1929" s="8"/>
      <c r="B1929" s="448" t="str">
        <f>IF($C$1="ENG","model","модель")</f>
        <v>модель</v>
      </c>
      <c r="C1929" s="126" t="str">
        <f>IF($C$1="ENG","cover:","покриття:")</f>
        <v>покриття:</v>
      </c>
      <c r="D1929" s="430" t="str">
        <f>IF($C$1="ENG","SIMPL / V-CELL","SIMPL / V-CELL")</f>
        <v>SIMPL / V-CELL</v>
      </c>
      <c r="E1929" s="432"/>
      <c r="F1929" s="430" t="str">
        <f>IF($C$1="ENG","UNI-MAT","UNI-MAT")</f>
        <v>UNI-MAT</v>
      </c>
      <c r="G1929" s="432"/>
      <c r="H1929" s="430" t="str">
        <f>IF($C$1="ENG","RESIST","RESIST")</f>
        <v>RESIST</v>
      </c>
      <c r="I1929" s="432"/>
      <c r="J1929" s="46"/>
      <c r="K1929" s="46"/>
      <c r="L1929" s="8"/>
      <c r="M1929" s="11"/>
      <c r="P1929" s="8"/>
      <c r="Q1929" s="11"/>
    </row>
    <row r="1930" spans="1:46" ht="12.75" customHeight="1">
      <c r="A1930" s="8"/>
      <c r="B1930" s="449"/>
      <c r="C1930" s="127" t="str">
        <f>IF($C$1="ENG","filling:","заповнення:")</f>
        <v>заповнення:</v>
      </c>
      <c r="D1930" s="441" t="str">
        <f>IF($C$1="ENG","honeycomb core ","сотове заповнення")</f>
        <v>сотове заповнення</v>
      </c>
      <c r="E1930" s="442"/>
      <c r="F1930" s="441" t="str">
        <f>IF($C$1="ENG","honeycomb core ","сотове заповнення")</f>
        <v>сотове заповнення</v>
      </c>
      <c r="G1930" s="442"/>
      <c r="H1930" s="441" t="str">
        <f>IF($C$1="ENG","honeycomb core ","сотове заповнення")</f>
        <v>сотове заповнення</v>
      </c>
      <c r="I1930" s="442"/>
      <c r="J1930" s="150"/>
      <c r="K1930" s="150"/>
      <c r="L1930" s="8"/>
      <c r="M1930" s="11"/>
      <c r="P1930" s="8"/>
      <c r="Q1930" s="11"/>
      <c r="Z1930" s="407"/>
    </row>
    <row r="1931" spans="1:46" ht="12.75" customHeight="1">
      <c r="A1931" s="8"/>
      <c r="B1931" s="450"/>
      <c r="C1931" s="128" t="str">
        <f>IF($C$1="ENG","glazing:","скління:")</f>
        <v>скління:</v>
      </c>
      <c r="D1931" s="424" t="str">
        <f>IF($C$1="ENG","Satin (Б)","Сатин (Б)")</f>
        <v>Сатин (Б)</v>
      </c>
      <c r="E1931" s="434"/>
      <c r="F1931" s="424" t="str">
        <f>IF($C$1="ENG","Satin (Б)","Сатин (Б)")</f>
        <v>Сатин (Б)</v>
      </c>
      <c r="G1931" s="434"/>
      <c r="H1931" s="424" t="str">
        <f>IF($C$1="ENG","Satin (Б)","Сатин (Б)")</f>
        <v>Сатин (Б)</v>
      </c>
      <c r="I1931" s="434"/>
      <c r="J1931" s="47"/>
      <c r="K1931" s="135"/>
      <c r="L1931" s="108"/>
      <c r="M1931" s="20"/>
      <c r="N1931" s="108"/>
      <c r="O1931" s="20"/>
      <c r="P1931" s="108"/>
      <c r="Q1931" s="20"/>
      <c r="R1931" s="108"/>
      <c r="S1931" s="20"/>
      <c r="T1931" s="108"/>
      <c r="V1931" s="108"/>
      <c r="W1931" s="20"/>
      <c r="X1931" s="22"/>
      <c r="Y1931" s="22"/>
      <c r="Z1931" s="22"/>
      <c r="AA1931" s="22"/>
      <c r="AB1931" s="22"/>
      <c r="AD1931" s="309">
        <f>AD1932/AC1932-1</f>
        <v>0.1515151515151516</v>
      </c>
      <c r="AE1931" s="309">
        <f>AE1932/AD1932-1</f>
        <v>0.10902255639097747</v>
      </c>
    </row>
    <row r="1932" spans="1:46" ht="35.1" customHeight="1">
      <c r="A1932" s="8"/>
      <c r="B1932" s="13" t="s">
        <v>4</v>
      </c>
      <c r="C1932" s="14"/>
      <c r="D1932" s="53">
        <f>IF(AC1932="","",(1-$W$2)*(AC1932/1.2))</f>
        <v>1925</v>
      </c>
      <c r="E1932" s="89">
        <f>IF($W$5=0.2,D1932*1.2,D1932)/$W$4</f>
        <v>2310</v>
      </c>
      <c r="F1932" s="15">
        <f>IF(AD1932="","",(1-$W$2)*(AD1932/1.2))</f>
        <v>2216.666666666667</v>
      </c>
      <c r="G1932" s="67">
        <f>IF($W$5=0.2,F1932*1.2,F1932)/$W$4</f>
        <v>2660.0000000000005</v>
      </c>
      <c r="H1932" s="15">
        <f>IF(AE1932="","",(1-$W$2)*(AE1932/1.2))</f>
        <v>2458.3333333333335</v>
      </c>
      <c r="I1932" s="67">
        <f>IF($W$5=0.2,H1932*1.2,H1932)/$W$4</f>
        <v>2950</v>
      </c>
      <c r="J1932" s="28"/>
      <c r="K1932" s="62"/>
      <c r="L1932" s="108"/>
      <c r="M1932" s="20"/>
      <c r="N1932" s="108"/>
      <c r="O1932" s="20"/>
      <c r="P1932" s="108"/>
      <c r="Q1932" s="20"/>
      <c r="R1932" s="108"/>
      <c r="S1932" s="20"/>
      <c r="T1932" s="108"/>
      <c r="V1932" s="108"/>
      <c r="W1932" s="20"/>
      <c r="AC1932" s="346">
        <v>2310</v>
      </c>
      <c r="AD1932" s="346">
        <v>2660</v>
      </c>
      <c r="AE1932" s="346">
        <v>2950</v>
      </c>
      <c r="AF1932" s="301">
        <v>2310</v>
      </c>
      <c r="AG1932" s="301">
        <f>AF1932/AC1932-1</f>
        <v>0</v>
      </c>
      <c r="AH1932" s="301">
        <v>2660</v>
      </c>
      <c r="AI1932" s="301">
        <f>AH1932/AD1932-1</f>
        <v>0</v>
      </c>
      <c r="AJ1932" s="301">
        <v>2950</v>
      </c>
      <c r="AK1932" s="301">
        <f>AJ1932/AE1932-1</f>
        <v>0</v>
      </c>
      <c r="AL1932" s="301"/>
      <c r="AO1932" s="1"/>
    </row>
    <row r="1933" spans="1:46" ht="34.5" customHeight="1">
      <c r="B1933" s="23" t="s">
        <v>5</v>
      </c>
      <c r="C1933" s="24"/>
      <c r="D1933" s="25">
        <f>IF(AC1933="","",(1-$W$2)*(AC1933/1.2))</f>
        <v>3858.3333333333335</v>
      </c>
      <c r="E1933" s="72">
        <f>IF($W$5=0.2,D1933*1.2,D1933)/$W$4</f>
        <v>4630</v>
      </c>
      <c r="F1933" s="25">
        <f>IF(AD1933="","",(1-$W$2)*(AD1933/1.2))</f>
        <v>4291.666666666667</v>
      </c>
      <c r="G1933" s="72">
        <f>IF($W$5=0.2,F1933*1.2,F1933)/$W$4</f>
        <v>5150</v>
      </c>
      <c r="H1933" s="25">
        <f>IF(AE1933="","",(1-$W$2)*(AE1933/1.2))</f>
        <v>4433.3333333333339</v>
      </c>
      <c r="I1933" s="72">
        <f>IF($W$5=0.2,H1933*1.2,H1933)/$W$4</f>
        <v>5320.0000000000009</v>
      </c>
      <c r="J1933" s="28"/>
      <c r="K1933" s="147"/>
      <c r="L1933" s="8"/>
      <c r="P1933" s="8"/>
      <c r="AC1933" s="346">
        <v>4630</v>
      </c>
      <c r="AD1933" s="346">
        <v>5150</v>
      </c>
      <c r="AE1933" s="346">
        <v>5320</v>
      </c>
      <c r="AF1933" s="301">
        <v>4630</v>
      </c>
      <c r="AG1933" s="301">
        <f>AF1933/AC1933-1</f>
        <v>0</v>
      </c>
      <c r="AH1933" s="301">
        <v>5150</v>
      </c>
      <c r="AI1933" s="301">
        <f>AH1933/AD1933-1</f>
        <v>0</v>
      </c>
      <c r="AJ1933" s="301">
        <v>5320</v>
      </c>
      <c r="AK1933" s="301">
        <f>AJ1933/AE1933-1</f>
        <v>0</v>
      </c>
      <c r="AL1933" s="301"/>
      <c r="AN1933" s="1"/>
      <c r="AO1933" s="1"/>
    </row>
    <row r="1934" spans="1:46">
      <c r="C1934" s="26"/>
      <c r="D1934" s="26"/>
      <c r="E1934" s="60"/>
      <c r="F1934" s="10"/>
      <c r="G1934" s="10"/>
      <c r="H1934" s="10"/>
      <c r="I1934" s="147"/>
      <c r="J1934" s="48"/>
      <c r="K1934" s="48"/>
      <c r="L1934" s="8"/>
      <c r="P1934" s="8"/>
    </row>
    <row r="1935" spans="1:46" ht="12.75" customHeight="1">
      <c r="B1935" s="220" t="str">
        <f>IF($C$1="ENG","For additonal charge:","Послуги за додаткову плату:")</f>
        <v>Послуги за додаткову плату:</v>
      </c>
      <c r="C1935" s="221"/>
      <c r="D1935" s="221"/>
      <c r="E1935" s="222"/>
      <c r="F1935" s="39"/>
      <c r="G1935" s="39"/>
      <c r="H1935" s="10"/>
      <c r="I1935" s="87"/>
      <c r="J1935" s="8"/>
      <c r="K1935" s="8"/>
    </row>
    <row r="1936" spans="1:46" ht="4.5" customHeight="1">
      <c r="B1936" s="27"/>
      <c r="C1936" s="26"/>
      <c r="D1936" s="26"/>
      <c r="E1936" s="60"/>
      <c r="F1936" s="39"/>
      <c r="G1936" s="26"/>
      <c r="H1936" s="10"/>
      <c r="I1936" s="8"/>
      <c r="J1936" s="8"/>
      <c r="K1936" s="8"/>
    </row>
    <row r="1937" spans="2:38">
      <c r="B1937" s="446" t="str">
        <f>IF($C$1="ENG","third door hindge","третя завіса")</f>
        <v>третя завіса</v>
      </c>
      <c r="C1937" s="447"/>
      <c r="D1937" s="136">
        <f t="shared" ref="D1937:D1942" si="183">IF(AC1937="","",(1-$W$2)*(AC1937/1.2))</f>
        <v>66.666666666666671</v>
      </c>
      <c r="E1937" s="96">
        <f t="shared" ref="E1937:E1942" si="184">IF($W$5=0.2,D1937*1.2,D1937)/$W$4</f>
        <v>80</v>
      </c>
      <c r="F1937" s="39"/>
      <c r="G1937" s="26"/>
      <c r="H1937" s="10"/>
      <c r="I1937" s="8"/>
      <c r="J1937" s="8"/>
      <c r="K1937" s="8"/>
      <c r="AC1937" s="310">
        <v>80</v>
      </c>
      <c r="AD1937" s="301">
        <v>80</v>
      </c>
      <c r="AE1937" s="301">
        <f>AD1937/AC1937-1</f>
        <v>0</v>
      </c>
      <c r="AF1937" s="301"/>
      <c r="AG1937" s="301"/>
      <c r="AH1937" s="301"/>
      <c r="AI1937" s="301"/>
      <c r="AJ1937" s="301"/>
      <c r="AK1937" s="301"/>
      <c r="AL1937" s="301"/>
    </row>
    <row r="1938" spans="2:38">
      <c r="B1938" s="284" t="str">
        <f>IF($C$1="ENG","glazing Triplex mat / black","скло Триплекс матовий / чорний")</f>
        <v>скло Триплекс матовий / чорний</v>
      </c>
      <c r="C1938" s="283" t="str">
        <f>IF($C$1="ENG","mod.Б","мод.Б")</f>
        <v>мод.Б</v>
      </c>
      <c r="D1938" s="285">
        <f t="shared" si="183"/>
        <v>941.66666666666674</v>
      </c>
      <c r="E1938" s="97">
        <f t="shared" si="184"/>
        <v>1130</v>
      </c>
      <c r="F1938" s="39"/>
      <c r="G1938" s="26"/>
      <c r="I1938" s="19"/>
      <c r="J1938" s="11"/>
      <c r="K1938" s="19"/>
      <c r="AC1938" s="346">
        <v>1130</v>
      </c>
      <c r="AD1938" s="301">
        <v>1130</v>
      </c>
      <c r="AE1938" s="301">
        <f t="shared" ref="AE1938:AE1942" si="185">AD1938/AC1938-1</f>
        <v>0</v>
      </c>
      <c r="AF1938" s="301"/>
      <c r="AG1938" s="301"/>
      <c r="AH1938" s="301"/>
      <c r="AI1938" s="301"/>
      <c r="AJ1938" s="301"/>
      <c r="AK1938" s="301"/>
      <c r="AL1938" s="301"/>
    </row>
    <row r="1939" spans="2:38">
      <c r="B1939" s="284" t="str">
        <f>IF($C$1="ENG","glazing Graphite / Bronze","скло Графіт / Бронза")</f>
        <v>скло Графіт / Бронза</v>
      </c>
      <c r="C1939" s="283" t="str">
        <f>IF($C$1="ENG","mod.Б","мод.Б")</f>
        <v>мод.Б</v>
      </c>
      <c r="D1939" s="285">
        <f t="shared" si="183"/>
        <v>616.66666666666674</v>
      </c>
      <c r="E1939" s="97">
        <f t="shared" si="184"/>
        <v>740.00000000000011</v>
      </c>
      <c r="F1939" s="39"/>
      <c r="G1939" s="26"/>
      <c r="I1939" s="19"/>
      <c r="J1939" s="11"/>
      <c r="K1939" s="19"/>
      <c r="AC1939" s="346">
        <v>740</v>
      </c>
      <c r="AD1939" s="301">
        <v>740</v>
      </c>
      <c r="AE1939" s="301">
        <f t="shared" si="185"/>
        <v>0</v>
      </c>
      <c r="AF1939" s="301"/>
      <c r="AG1939" s="301"/>
      <c r="AH1939" s="301"/>
      <c r="AI1939" s="301"/>
      <c r="AJ1939" s="301"/>
      <c r="AK1939" s="301"/>
      <c r="AL1939" s="301"/>
    </row>
    <row r="1940" spans="2:38">
      <c r="B1940" s="439" t="str">
        <f>IF($C$1="ENG","door hindge Prestige (1 unit)","завіса Prestige (1 шт)")</f>
        <v>завіса Prestige (1 шт)</v>
      </c>
      <c r="C1940" s="440"/>
      <c r="D1940" s="139">
        <f t="shared" si="183"/>
        <v>216.66666666666669</v>
      </c>
      <c r="E1940" s="97">
        <f t="shared" si="184"/>
        <v>260</v>
      </c>
      <c r="F1940" s="39"/>
      <c r="G1940" s="26"/>
      <c r="AC1940" s="310">
        <v>260</v>
      </c>
      <c r="AD1940" s="301">
        <v>260</v>
      </c>
      <c r="AE1940" s="301">
        <f t="shared" si="185"/>
        <v>0</v>
      </c>
      <c r="AF1940" s="301"/>
      <c r="AG1940" s="301"/>
      <c r="AH1940" s="301"/>
      <c r="AI1940" s="301"/>
      <c r="AJ1940" s="301"/>
      <c r="AK1940" s="301"/>
      <c r="AL1940" s="301"/>
    </row>
    <row r="1941" spans="2:38">
      <c r="B1941" s="439" t="str">
        <f>IF($C$1="ENG","door hinge caps (1 set)","накладка на завіси (1 к-т)")</f>
        <v>накладка на завіси (1 к-т)</v>
      </c>
      <c r="C1941" s="440"/>
      <c r="D1941" s="139">
        <f t="shared" si="183"/>
        <v>66.666666666666671</v>
      </c>
      <c r="E1941" s="97">
        <f t="shared" si="184"/>
        <v>80</v>
      </c>
      <c r="F1941" s="26"/>
      <c r="G1941" s="26"/>
      <c r="AC1941" s="310">
        <v>80</v>
      </c>
      <c r="AD1941" s="301">
        <v>80</v>
      </c>
      <c r="AE1941" s="301">
        <f t="shared" si="185"/>
        <v>0</v>
      </c>
      <c r="AF1941" s="301"/>
      <c r="AG1941" s="301"/>
      <c r="AH1941" s="301"/>
      <c r="AI1941" s="301"/>
      <c r="AJ1941" s="301"/>
      <c r="AK1941" s="301"/>
      <c r="AL1941" s="301"/>
    </row>
    <row r="1942" spans="2:38" ht="12" customHeight="1">
      <c r="B1942" s="284" t="str">
        <f>IF($C$1="ENG","perforated chipboard","ДСП трубчасте")</f>
        <v>ДСП трубчасте</v>
      </c>
      <c r="C1942" s="283" t="str">
        <f>IF($C$1="ENG","mod.A","мод.A")</f>
        <v>мод.A</v>
      </c>
      <c r="D1942" s="138">
        <f t="shared" si="183"/>
        <v>775</v>
      </c>
      <c r="E1942" s="98">
        <f t="shared" si="184"/>
        <v>930</v>
      </c>
      <c r="F1942" s="26"/>
      <c r="G1942" s="26"/>
      <c r="AC1942" s="310">
        <v>930</v>
      </c>
      <c r="AD1942" s="301">
        <v>930</v>
      </c>
      <c r="AE1942" s="301">
        <f t="shared" si="185"/>
        <v>0</v>
      </c>
      <c r="AF1942" s="301"/>
      <c r="AG1942" s="301"/>
      <c r="AH1942" s="301"/>
      <c r="AI1942" s="301"/>
      <c r="AJ1942" s="301"/>
      <c r="AK1942" s="301"/>
      <c r="AL1942" s="301"/>
    </row>
    <row r="1943" spans="2:38" ht="14.25" customHeight="1">
      <c r="C1943" s="26"/>
      <c r="D1943" s="26"/>
      <c r="E1943" s="26"/>
      <c r="F1943" s="26"/>
      <c r="G1943" s="26"/>
      <c r="H1943" s="5"/>
      <c r="T1943" s="460" t="str">
        <f>IF($C$1="ENG",CONCATENATE("down to: ",B1993),CONCATENATE("вниз до: ",B1993))</f>
        <v>вниз до: Розсувна система Verto-SLIDE</v>
      </c>
      <c r="U1943" s="460"/>
      <c r="V1943" s="460"/>
      <c r="W1943" s="460"/>
    </row>
    <row r="1944" spans="2:38" ht="14.25" customHeight="1">
      <c r="C1944" s="26"/>
      <c r="D1944" s="26"/>
      <c r="E1944" s="26"/>
      <c r="F1944" s="26"/>
      <c r="G1944" s="26"/>
      <c r="H1944" s="5"/>
    </row>
    <row r="1945" spans="2:38" ht="14.25" customHeight="1">
      <c r="C1945" s="26"/>
      <c r="D1945" s="26"/>
      <c r="E1945" s="26"/>
      <c r="F1945" s="26"/>
      <c r="G1945" s="26"/>
      <c r="H1945" s="5"/>
    </row>
    <row r="1946" spans="2:38" ht="14.25" customHeight="1">
      <c r="C1946" s="26"/>
      <c r="D1946" s="26"/>
      <c r="E1946" s="26"/>
      <c r="F1946" s="26"/>
      <c r="G1946" s="26"/>
      <c r="H1946" s="5"/>
    </row>
    <row r="1947" spans="2:38" ht="14.25" customHeight="1">
      <c r="C1947" s="26"/>
      <c r="D1947" s="26"/>
      <c r="E1947" s="26"/>
      <c r="F1947" s="26"/>
      <c r="G1947" s="26"/>
      <c r="H1947" s="5"/>
    </row>
    <row r="1948" spans="2:38" ht="14.25" customHeight="1">
      <c r="C1948" s="26"/>
      <c r="D1948" s="26"/>
      <c r="E1948" s="26"/>
      <c r="F1948" s="26"/>
      <c r="G1948" s="26"/>
      <c r="H1948" s="5"/>
    </row>
    <row r="1949" spans="2:38" ht="14.25" customHeight="1">
      <c r="C1949" s="26"/>
      <c r="D1949" s="26"/>
      <c r="E1949" s="26"/>
      <c r="F1949" s="26"/>
      <c r="G1949" s="26"/>
      <c r="H1949" s="5"/>
    </row>
    <row r="1950" spans="2:38" ht="14.25" customHeight="1">
      <c r="C1950" s="26"/>
      <c r="D1950" s="26"/>
      <c r="E1950" s="26"/>
      <c r="F1950" s="26"/>
      <c r="G1950" s="26"/>
      <c r="H1950" s="5"/>
    </row>
    <row r="1951" spans="2:38" ht="14.25" customHeight="1">
      <c r="C1951" s="26"/>
      <c r="D1951" s="26"/>
      <c r="E1951" s="26"/>
      <c r="F1951" s="26"/>
      <c r="G1951" s="26"/>
      <c r="H1951" s="5"/>
    </row>
    <row r="1952" spans="2:38" ht="14.25" customHeight="1">
      <c r="C1952" s="26"/>
      <c r="D1952" s="26"/>
      <c r="E1952" s="26"/>
      <c r="F1952" s="26"/>
      <c r="G1952" s="26"/>
      <c r="H1952" s="5"/>
    </row>
    <row r="1953" spans="3:8" ht="14.25" customHeight="1">
      <c r="C1953" s="26"/>
      <c r="D1953" s="26"/>
      <c r="E1953" s="26"/>
      <c r="F1953" s="26"/>
      <c r="G1953" s="26"/>
      <c r="H1953" s="5"/>
    </row>
    <row r="1954" spans="3:8" ht="14.25" customHeight="1">
      <c r="C1954" s="26"/>
      <c r="D1954" s="26"/>
      <c r="E1954" s="26"/>
      <c r="F1954" s="26"/>
      <c r="G1954" s="26"/>
      <c r="H1954" s="5"/>
    </row>
    <row r="1955" spans="3:8" ht="14.25" customHeight="1">
      <c r="C1955" s="26"/>
      <c r="D1955" s="26"/>
      <c r="E1955" s="26"/>
      <c r="F1955" s="26"/>
      <c r="G1955" s="26"/>
      <c r="H1955" s="5"/>
    </row>
    <row r="1956" spans="3:8" ht="14.25" customHeight="1">
      <c r="C1956" s="26"/>
      <c r="D1956" s="26"/>
      <c r="E1956" s="26"/>
      <c r="F1956" s="26"/>
      <c r="G1956" s="26"/>
      <c r="H1956" s="5"/>
    </row>
    <row r="1957" spans="3:8" ht="14.25" customHeight="1">
      <c r="C1957" s="26"/>
      <c r="D1957" s="26"/>
      <c r="E1957" s="26"/>
      <c r="F1957" s="26"/>
      <c r="G1957" s="26"/>
      <c r="H1957" s="5"/>
    </row>
    <row r="1958" spans="3:8" ht="14.25" customHeight="1">
      <c r="C1958" s="26"/>
      <c r="D1958" s="26"/>
      <c r="E1958" s="26"/>
      <c r="F1958" s="26"/>
      <c r="G1958" s="26"/>
      <c r="H1958" s="5"/>
    </row>
    <row r="1959" spans="3:8" ht="14.25" customHeight="1">
      <c r="C1959" s="26"/>
      <c r="D1959" s="26"/>
      <c r="E1959" s="26"/>
      <c r="F1959" s="26"/>
      <c r="G1959" s="26"/>
      <c r="H1959" s="5"/>
    </row>
    <row r="1960" spans="3:8" ht="14.25" customHeight="1">
      <c r="C1960" s="26"/>
      <c r="D1960" s="26"/>
      <c r="E1960" s="26"/>
      <c r="F1960" s="26"/>
      <c r="G1960" s="26"/>
      <c r="H1960" s="5"/>
    </row>
    <row r="1961" spans="3:8" ht="14.25" customHeight="1">
      <c r="C1961" s="26"/>
      <c r="D1961" s="26"/>
      <c r="E1961" s="26"/>
      <c r="F1961" s="26"/>
      <c r="G1961" s="26"/>
      <c r="H1961" s="5"/>
    </row>
    <row r="1962" spans="3:8" ht="14.25" customHeight="1">
      <c r="C1962" s="26"/>
      <c r="D1962" s="26"/>
      <c r="E1962" s="26"/>
      <c r="F1962" s="26"/>
      <c r="G1962" s="26"/>
      <c r="H1962" s="5"/>
    </row>
    <row r="1963" spans="3:8" ht="14.25" customHeight="1">
      <c r="C1963" s="26"/>
      <c r="D1963" s="26"/>
      <c r="E1963" s="26"/>
      <c r="F1963" s="26"/>
      <c r="G1963" s="26"/>
      <c r="H1963" s="5"/>
    </row>
    <row r="1964" spans="3:8" ht="14.25" customHeight="1">
      <c r="C1964" s="26"/>
      <c r="D1964" s="26"/>
      <c r="E1964" s="26"/>
      <c r="F1964" s="26"/>
      <c r="G1964" s="26"/>
      <c r="H1964" s="5"/>
    </row>
    <row r="1965" spans="3:8" ht="14.25" customHeight="1">
      <c r="C1965" s="26"/>
      <c r="D1965" s="26"/>
      <c r="E1965" s="26"/>
      <c r="F1965" s="26"/>
      <c r="G1965" s="26"/>
      <c r="H1965" s="5"/>
    </row>
    <row r="1966" spans="3:8" ht="14.25" customHeight="1">
      <c r="C1966" s="26"/>
      <c r="D1966" s="26"/>
      <c r="E1966" s="26"/>
      <c r="F1966" s="26"/>
      <c r="G1966" s="26"/>
      <c r="H1966" s="5"/>
    </row>
    <row r="1967" spans="3:8" ht="14.25" customHeight="1">
      <c r="C1967" s="26"/>
      <c r="D1967" s="26"/>
      <c r="E1967" s="26"/>
      <c r="F1967" s="26"/>
      <c r="G1967" s="26"/>
      <c r="H1967" s="5"/>
    </row>
    <row r="1968" spans="3:8" ht="14.25" customHeight="1">
      <c r="C1968" s="26"/>
      <c r="D1968" s="26"/>
      <c r="E1968" s="26"/>
      <c r="F1968" s="26"/>
      <c r="G1968" s="26"/>
      <c r="H1968" s="5"/>
    </row>
    <row r="1969" spans="3:8" ht="14.25" customHeight="1">
      <c r="C1969" s="26"/>
      <c r="D1969" s="26"/>
      <c r="E1969" s="26"/>
      <c r="F1969" s="26"/>
      <c r="G1969" s="26"/>
      <c r="H1969" s="5"/>
    </row>
    <row r="1970" spans="3:8" ht="14.25" customHeight="1">
      <c r="C1970" s="26"/>
      <c r="D1970" s="26"/>
      <c r="E1970" s="26"/>
      <c r="F1970" s="26"/>
      <c r="G1970" s="26"/>
      <c r="H1970" s="5"/>
    </row>
    <row r="1971" spans="3:8" ht="14.25" customHeight="1">
      <c r="C1971" s="26"/>
      <c r="D1971" s="26"/>
      <c r="E1971" s="26"/>
      <c r="F1971" s="26"/>
      <c r="G1971" s="26"/>
      <c r="H1971" s="5"/>
    </row>
    <row r="1972" spans="3:8" ht="14.25" customHeight="1">
      <c r="C1972" s="26"/>
      <c r="D1972" s="26"/>
      <c r="E1972" s="26"/>
      <c r="F1972" s="26"/>
      <c r="G1972" s="26"/>
      <c r="H1972" s="5"/>
    </row>
    <row r="1973" spans="3:8" ht="14.25" customHeight="1">
      <c r="C1973" s="26"/>
      <c r="D1973" s="26"/>
      <c r="E1973" s="26"/>
      <c r="F1973" s="26"/>
      <c r="G1973" s="26"/>
      <c r="H1973" s="5"/>
    </row>
    <row r="1974" spans="3:8" ht="14.25" customHeight="1">
      <c r="C1974" s="26"/>
      <c r="D1974" s="26"/>
      <c r="E1974" s="26"/>
      <c r="F1974" s="26"/>
      <c r="G1974" s="26"/>
      <c r="H1974" s="5"/>
    </row>
    <row r="1975" spans="3:8" ht="14.25" customHeight="1">
      <c r="C1975" s="26"/>
      <c r="D1975" s="26"/>
      <c r="E1975" s="26"/>
      <c r="F1975" s="26"/>
      <c r="G1975" s="26"/>
      <c r="H1975" s="5"/>
    </row>
    <row r="1976" spans="3:8" ht="14.25" customHeight="1">
      <c r="C1976" s="26"/>
      <c r="D1976" s="26"/>
      <c r="E1976" s="26"/>
      <c r="F1976" s="26"/>
      <c r="G1976" s="26"/>
      <c r="H1976" s="5"/>
    </row>
    <row r="1977" spans="3:8" ht="14.25" customHeight="1">
      <c r="C1977" s="26"/>
      <c r="D1977" s="26"/>
      <c r="E1977" s="26"/>
      <c r="F1977" s="26"/>
      <c r="G1977" s="26"/>
      <c r="H1977" s="5"/>
    </row>
    <row r="1978" spans="3:8" ht="14.25" customHeight="1">
      <c r="C1978" s="26"/>
      <c r="D1978" s="26"/>
      <c r="E1978" s="26"/>
      <c r="F1978" s="26"/>
      <c r="G1978" s="26"/>
      <c r="H1978" s="5"/>
    </row>
    <row r="1979" spans="3:8" ht="14.25" customHeight="1">
      <c r="C1979" s="26"/>
      <c r="D1979" s="26"/>
      <c r="E1979" s="26"/>
      <c r="F1979" s="26"/>
      <c r="G1979" s="26"/>
      <c r="H1979" s="5"/>
    </row>
    <row r="1980" spans="3:8" ht="14.25" customHeight="1">
      <c r="C1980" s="26"/>
      <c r="D1980" s="26"/>
      <c r="E1980" s="26"/>
      <c r="F1980" s="26"/>
      <c r="G1980" s="26"/>
      <c r="H1980" s="5"/>
    </row>
    <row r="1981" spans="3:8" ht="14.25" customHeight="1">
      <c r="C1981" s="26"/>
      <c r="D1981" s="26"/>
      <c r="E1981" s="26"/>
      <c r="F1981" s="26"/>
      <c r="G1981" s="26"/>
      <c r="H1981" s="5"/>
    </row>
    <row r="1982" spans="3:8" ht="14.25" customHeight="1">
      <c r="C1982" s="26"/>
      <c r="D1982" s="26"/>
      <c r="E1982" s="26"/>
      <c r="F1982" s="26"/>
      <c r="G1982" s="26"/>
      <c r="H1982" s="5"/>
    </row>
    <row r="1983" spans="3:8" ht="14.25" customHeight="1">
      <c r="C1983" s="26"/>
      <c r="D1983" s="26"/>
      <c r="E1983" s="26"/>
      <c r="F1983" s="26"/>
      <c r="G1983" s="26"/>
      <c r="H1983" s="5"/>
    </row>
    <row r="1984" spans="3:8" ht="14.25" customHeight="1">
      <c r="C1984" s="26"/>
      <c r="D1984" s="26"/>
      <c r="E1984" s="26"/>
      <c r="F1984" s="26"/>
      <c r="G1984" s="26"/>
      <c r="H1984" s="5"/>
    </row>
    <row r="1985" spans="1:46" ht="14.25" customHeight="1">
      <c r="C1985" s="26"/>
      <c r="D1985" s="26"/>
      <c r="E1985" s="26"/>
      <c r="F1985" s="26"/>
      <c r="G1985" s="26"/>
      <c r="H1985" s="5"/>
    </row>
    <row r="1986" spans="1:46" ht="14.25" customHeight="1">
      <c r="C1986" s="26"/>
      <c r="D1986" s="26"/>
      <c r="E1986" s="26"/>
      <c r="F1986" s="26"/>
      <c r="G1986" s="26"/>
      <c r="H1986" s="5"/>
      <c r="O1986" s="38"/>
      <c r="S1986" s="38"/>
      <c r="T1986" s="38"/>
      <c r="U1986" s="38"/>
      <c r="V1986" s="38"/>
      <c r="W1986" s="38"/>
    </row>
    <row r="1987" spans="1:46" ht="14.25" customHeight="1">
      <c r="C1987" s="26"/>
      <c r="D1987" s="26"/>
      <c r="E1987" s="26"/>
      <c r="F1987" s="26"/>
      <c r="G1987" s="26"/>
      <c r="H1987" s="5"/>
      <c r="O1987" s="48"/>
      <c r="S1987" s="48"/>
      <c r="T1987" s="48"/>
      <c r="U1987" s="48"/>
      <c r="V1987" s="48"/>
      <c r="W1987" s="48"/>
    </row>
    <row r="1988" spans="1:46" ht="14.25" customHeight="1">
      <c r="C1988" s="26"/>
      <c r="D1988" s="26"/>
      <c r="E1988" s="26"/>
      <c r="F1988" s="26"/>
      <c r="G1988" s="26"/>
      <c r="H1988" s="5"/>
      <c r="O1988" s="154"/>
      <c r="S1988" s="154"/>
      <c r="T1988" s="154"/>
      <c r="U1988" s="154"/>
      <c r="V1988" s="154"/>
      <c r="W1988" s="154"/>
    </row>
    <row r="1989" spans="1:46" ht="14.25" customHeight="1">
      <c r="C1989" s="26"/>
      <c r="D1989" s="26"/>
      <c r="E1989" s="26"/>
      <c r="F1989" s="26"/>
      <c r="G1989" s="26"/>
      <c r="H1989" s="5"/>
      <c r="O1989" s="38"/>
      <c r="S1989" s="38"/>
      <c r="T1989" s="38"/>
      <c r="U1989" s="38"/>
      <c r="V1989" s="38"/>
      <c r="W1989" s="38"/>
    </row>
    <row r="1990" spans="1:46" ht="14.25" customHeight="1">
      <c r="C1990" s="26"/>
      <c r="D1990" s="26"/>
      <c r="E1990" s="26"/>
      <c r="F1990" s="26"/>
      <c r="G1990" s="26"/>
      <c r="H1990" s="26"/>
      <c r="J1990" s="26"/>
    </row>
    <row r="1991" spans="1:46" ht="14.25" customHeight="1">
      <c r="C1991" s="26"/>
      <c r="D1991" s="26"/>
      <c r="E1991" s="26"/>
      <c r="F1991" s="26"/>
      <c r="G1991" s="26"/>
      <c r="H1991" s="5"/>
    </row>
    <row r="1992" spans="1:46" s="8" customFormat="1">
      <c r="B1992" s="1"/>
      <c r="C1992" s="26"/>
      <c r="D1992" s="26"/>
      <c r="E1992" s="26"/>
      <c r="F1992" s="26"/>
      <c r="G1992" s="26"/>
      <c r="H1992" s="5"/>
      <c r="I1992" s="1"/>
      <c r="J1992" s="1"/>
      <c r="K1992" s="1"/>
      <c r="AN1992" s="291"/>
      <c r="AO1992" s="291"/>
      <c r="AP1992" s="291"/>
      <c r="AQ1992" s="291"/>
      <c r="AR1992" s="291"/>
      <c r="AS1992" s="291"/>
      <c r="AT1992" s="291"/>
    </row>
    <row r="1993" spans="1:46" s="8" customFormat="1" ht="12.75" customHeight="1">
      <c r="B1993" s="428" t="str">
        <f>TITLE!$C$37</f>
        <v>Розсувна система Verto-SLIDE</v>
      </c>
      <c r="C1993" s="421"/>
      <c r="D1993" s="122"/>
      <c r="E1993" s="122"/>
      <c r="F1993" s="122"/>
      <c r="G1993" s="122"/>
      <c r="H1993" s="445"/>
      <c r="I1993" s="445"/>
      <c r="J1993" s="125"/>
      <c r="K1993" s="125"/>
      <c r="L1993" s="125"/>
      <c r="M1993" s="125"/>
      <c r="N1993" s="125"/>
      <c r="O1993" s="125"/>
      <c r="P1993" s="125"/>
      <c r="Q1993" s="125"/>
      <c r="R1993" s="125"/>
      <c r="S1993" s="125"/>
      <c r="T1993" s="419" t="str">
        <f>IF($C$1="ENG",CONCATENATE("up to: ",B1927),CONCATENATE("вгору до: ",B1927))</f>
        <v>вгору до: Полотна: ДОБОРИ</v>
      </c>
      <c r="U1993" s="419"/>
      <c r="V1993" s="419"/>
      <c r="W1993" s="419"/>
      <c r="AN1993" s="291"/>
      <c r="AO1993" s="291"/>
      <c r="AP1993" s="291"/>
      <c r="AQ1993" s="291"/>
      <c r="AR1993" s="291"/>
      <c r="AS1993" s="291"/>
      <c r="AT1993" s="291"/>
    </row>
    <row r="1994" spans="1:46" ht="4.5" customHeight="1">
      <c r="A1994" s="8"/>
      <c r="B1994" s="153"/>
      <c r="C1994" s="121"/>
      <c r="D1994" s="9"/>
      <c r="E1994" s="9"/>
      <c r="F1994" s="10"/>
      <c r="G1994" s="10"/>
      <c r="H1994" s="124"/>
      <c r="I1994" s="124"/>
      <c r="J1994" s="8"/>
      <c r="K1994" s="8"/>
      <c r="L1994" s="47"/>
      <c r="M1994" s="47"/>
      <c r="N1994" s="46"/>
      <c r="O1994" s="46"/>
      <c r="P1994" s="47"/>
      <c r="Q1994" s="47"/>
      <c r="R1994" s="46"/>
      <c r="S1994" s="46"/>
      <c r="T1994" s="48"/>
    </row>
    <row r="1995" spans="1:46" ht="12.75" customHeight="1">
      <c r="A1995" s="8"/>
      <c r="B1995" s="448" t="str">
        <f>IF($C$1="ENG","(without door)","(без полотна)")</f>
        <v>(без полотна)</v>
      </c>
      <c r="C1995" s="126" t="str">
        <f>IF($C$1="ENG","cover:","покриття:")</f>
        <v>покриття:</v>
      </c>
      <c r="D1995" s="430" t="str">
        <f>IF($C$1="ENG","SIMPL / V-CELL","SIMPL / V-CELL")</f>
        <v>SIMPL / V-CELL</v>
      </c>
      <c r="E1995" s="432"/>
      <c r="F1995" s="430" t="str">
        <f>IF($C$1="ENG","UNI-MAT","UNI-MAT")</f>
        <v>UNI-MAT</v>
      </c>
      <c r="G1995" s="432"/>
      <c r="H1995" s="430" t="str">
        <f>IF($C$1="ENG","RESIST","RESIST")</f>
        <v>RESIST</v>
      </c>
      <c r="I1995" s="432"/>
      <c r="J1995" s="430" t="str">
        <f>IF($C$1="ENG","Verto LINE-3D","Verto LINE-3D")</f>
        <v>Verto LINE-3D</v>
      </c>
      <c r="K1995" s="432"/>
      <c r="L1995" s="430" t="str">
        <f>IF($C$1="ENG","ECO Shpon / LOFT ","ЕКО Шпон / ЛОФТ")</f>
        <v>ЕКО Шпон / ЛОФТ</v>
      </c>
      <c r="M1995" s="432"/>
      <c r="N1995" s="46"/>
      <c r="O1995" s="46"/>
      <c r="R1995" s="46"/>
      <c r="S1995" s="46"/>
      <c r="T1995" s="48"/>
      <c r="AD1995" s="406">
        <f>AD1997/AC1997-1</f>
        <v>3.7037037037036979E-2</v>
      </c>
      <c r="AE1995" s="406">
        <f>AE1997/AD1997-1</f>
        <v>2.8061224489795977E-2</v>
      </c>
      <c r="AF1995" s="406">
        <f>AF1997/AE1997-1</f>
        <v>8.4367245657568146E-2</v>
      </c>
      <c r="AG1995" s="406">
        <f>AG1997/AF1997-1</f>
        <v>5.720823798626995E-2</v>
      </c>
    </row>
    <row r="1996" spans="1:46" ht="12.75" customHeight="1">
      <c r="A1996" s="8"/>
      <c r="B1996" s="450"/>
      <c r="C1996" s="128" t="str">
        <f>IF($C$1="ENG","type:","виконання:")</f>
        <v>виконання:</v>
      </c>
      <c r="D1996" s="424" t="str">
        <f>IF($C$1="ENG","single leaf","одностулкове")</f>
        <v>одностулкове</v>
      </c>
      <c r="E1996" s="434"/>
      <c r="F1996" s="424" t="str">
        <f>IF($C$1="ENG","single leaf","одностулкове")</f>
        <v>одностулкове</v>
      </c>
      <c r="G1996" s="434"/>
      <c r="H1996" s="424" t="str">
        <f>IF($C$1="ENG","single leaf","одностулкове")</f>
        <v>одностулкове</v>
      </c>
      <c r="I1996" s="434"/>
      <c r="J1996" s="424" t="str">
        <f>IF($C$1="ENG","single leaf","одностулкове")</f>
        <v>одностулкове</v>
      </c>
      <c r="K1996" s="434"/>
      <c r="L1996" s="424" t="str">
        <f>IF($C$1="ENG","single leaf","одностулкове")</f>
        <v>одностулкове</v>
      </c>
      <c r="M1996" s="434"/>
      <c r="N1996" s="28"/>
      <c r="O1996" s="29"/>
      <c r="R1996" s="28"/>
      <c r="S1996" s="29"/>
      <c r="T1996" s="52"/>
      <c r="U1996" s="29"/>
      <c r="W1996" s="29"/>
      <c r="X1996" s="22"/>
      <c r="Y1996" s="22"/>
      <c r="Z1996" s="22"/>
      <c r="AA1996" s="22"/>
      <c r="AB1996" s="22"/>
    </row>
    <row r="1997" spans="1:46" ht="34.5" customHeight="1">
      <c r="B1997" s="155" t="str">
        <f>IF($C$1="ENG","Sliding system","Розсувна система")</f>
        <v>Розсувна система</v>
      </c>
      <c r="C1997" s="50"/>
      <c r="D1997" s="51">
        <f>IF(AC1997="","",(1-$W$2)*(AC1997/1.2))</f>
        <v>3150</v>
      </c>
      <c r="E1997" s="88">
        <f>IF($W$5=0.2,D1997*1.2,D1997)/$W$4</f>
        <v>3780</v>
      </c>
      <c r="F1997" s="51">
        <f>IF(AD1997="","",(1-$W$2)*(AD1997/1.2))</f>
        <v>3266.666666666667</v>
      </c>
      <c r="G1997" s="88">
        <f>IF($W$5=0.2,F1997*1.2,F1997)/$W$4</f>
        <v>3920</v>
      </c>
      <c r="H1997" s="51">
        <f>IF(AE1997="","",(1-$W$2)*(AE1997/1.2))</f>
        <v>3358.3333333333335</v>
      </c>
      <c r="I1997" s="88">
        <f>IF($W$5=0.2,H1997*1.2,H1997)/$W$4</f>
        <v>4030</v>
      </c>
      <c r="J1997" s="51">
        <f>IF(AF1997="","",(1-$W$2)*(AF1997/1.2))</f>
        <v>3641.666666666667</v>
      </c>
      <c r="K1997" s="88">
        <f>IF($W$5=0.2,J1997*1.2,J1997)/$W$4</f>
        <v>4370</v>
      </c>
      <c r="L1997" s="51">
        <f>IF(AG1997="","",(1-$W$2)*(AG1997/1.2))</f>
        <v>3850</v>
      </c>
      <c r="M1997" s="88">
        <f>IF($W$5=0.2,L1997*1.2,L1997)/$W$4</f>
        <v>4620</v>
      </c>
      <c r="AC1997" s="346">
        <v>3780</v>
      </c>
      <c r="AD1997" s="346">
        <v>3920</v>
      </c>
      <c r="AE1997" s="346">
        <v>4030</v>
      </c>
      <c r="AF1997" s="346">
        <v>4370</v>
      </c>
      <c r="AG1997" s="346">
        <v>4620</v>
      </c>
      <c r="AH1997" s="301">
        <v>3780</v>
      </c>
      <c r="AI1997" s="301">
        <f>AH1997/AC1997-1</f>
        <v>0</v>
      </c>
      <c r="AJ1997" s="301">
        <v>3920</v>
      </c>
      <c r="AK1997" s="301">
        <f>AJ1997/AD1997-1</f>
        <v>0</v>
      </c>
      <c r="AL1997" s="301">
        <v>4030</v>
      </c>
      <c r="AM1997" s="301">
        <f>AL1997/AE1997-1</f>
        <v>0</v>
      </c>
      <c r="AN1997" s="301">
        <v>4370</v>
      </c>
      <c r="AO1997" s="301">
        <f>AN1997/AF1997-1</f>
        <v>0</v>
      </c>
      <c r="AP1997" s="301">
        <v>4620</v>
      </c>
      <c r="AQ1997" s="301">
        <f>AP1997/AG1997-1</f>
        <v>0</v>
      </c>
    </row>
    <row r="1998" spans="1:46">
      <c r="C1998" s="26"/>
      <c r="D1998" s="26"/>
      <c r="E1998" s="26"/>
      <c r="F1998" s="26"/>
      <c r="G1998" s="26"/>
      <c r="H1998" s="5"/>
      <c r="L1998" s="8"/>
    </row>
    <row r="1999" spans="1:46" ht="12.75" customHeight="1">
      <c r="B1999" s="220" t="str">
        <f>IF($C$1="ENG","For additonal charge:","Послуги за додаткову плату:")</f>
        <v>Послуги за додаткову плату:</v>
      </c>
      <c r="C1999" s="221"/>
      <c r="D1999" s="221"/>
      <c r="E1999" s="222"/>
      <c r="F1999" s="39"/>
      <c r="G1999" s="39"/>
      <c r="H1999" s="10"/>
      <c r="I1999" s="8"/>
      <c r="J1999" s="8"/>
      <c r="K1999" s="8"/>
    </row>
    <row r="2000" spans="1:46" ht="4.5" customHeight="1">
      <c r="B2000" s="27"/>
      <c r="C2000" s="26"/>
      <c r="D2000" s="26"/>
      <c r="E2000" s="60"/>
      <c r="F2000" s="26"/>
      <c r="G2000" s="26"/>
      <c r="H2000" s="10"/>
      <c r="I2000" s="8"/>
      <c r="J2000" s="8"/>
      <c r="K2000" s="8"/>
    </row>
    <row r="2001" spans="2:38" ht="14.25" customHeight="1">
      <c r="B2001" s="435" t="str">
        <f>IF($C$1="ENG","Door lock hatch","відповідна планка замка")</f>
        <v>відповідна планка замка</v>
      </c>
      <c r="C2001" s="436"/>
      <c r="D2001" s="51">
        <f>IF(AC2001="","",(1-$W$2)*(AC2001/1.2))</f>
        <v>91.666666666666671</v>
      </c>
      <c r="E2001" s="88">
        <f>IF($W$5=0.2,D2001*1.2,D2001)/$W$4</f>
        <v>110</v>
      </c>
      <c r="F2001" s="26"/>
      <c r="G2001" s="26"/>
      <c r="H2001" s="10"/>
      <c r="I2001" s="87"/>
      <c r="J2001" s="8"/>
      <c r="K2001" s="8"/>
      <c r="AC2001" s="310">
        <v>110</v>
      </c>
      <c r="AD2001" s="301"/>
      <c r="AE2001" s="301"/>
      <c r="AF2001" s="301"/>
      <c r="AG2001" s="301"/>
      <c r="AH2001" s="301"/>
      <c r="AI2001" s="301"/>
      <c r="AJ2001" s="301"/>
      <c r="AK2001" s="301"/>
      <c r="AL2001" s="301"/>
    </row>
    <row r="2002" spans="2:38" ht="14.25" customHeight="1">
      <c r="B2002" s="99"/>
      <c r="C2002" s="95"/>
      <c r="D2002" s="100"/>
      <c r="E2002" s="62"/>
      <c r="F2002" s="26"/>
      <c r="G2002" s="26"/>
      <c r="I2002" s="11"/>
      <c r="J2002" s="11"/>
      <c r="K2002" s="19"/>
      <c r="T2002" s="464" t="str">
        <f>IF($C$1="ENG",CONCATENATE("down to: ",B2052),CONCATENATE("вниз до: ",B2052))</f>
        <v>вниз до: Дверна коробка STANDARD</v>
      </c>
      <c r="U2002" s="464"/>
      <c r="V2002" s="464"/>
      <c r="W2002" s="464"/>
    </row>
    <row r="2003" spans="2:38" ht="14.25" customHeight="1">
      <c r="C2003" s="26"/>
      <c r="D2003" s="26"/>
      <c r="E2003" s="26"/>
      <c r="F2003" s="26"/>
      <c r="G2003" s="26"/>
      <c r="H2003" s="5"/>
      <c r="I2003" s="26"/>
    </row>
    <row r="2004" spans="2:38" ht="14.25" customHeight="1">
      <c r="C2004" s="26"/>
      <c r="D2004" s="26"/>
      <c r="E2004" s="26"/>
      <c r="F2004" s="26"/>
      <c r="G2004" s="60"/>
      <c r="H2004" s="5"/>
      <c r="I2004" s="26"/>
    </row>
    <row r="2005" spans="2:38" ht="14.25" customHeight="1">
      <c r="C2005" s="26"/>
      <c r="D2005" s="26"/>
      <c r="E2005" s="26"/>
      <c r="F2005" s="26"/>
      <c r="G2005" s="26"/>
      <c r="H2005" s="5"/>
      <c r="I2005" s="26"/>
    </row>
    <row r="2006" spans="2:38" ht="14.25" customHeight="1">
      <c r="C2006" s="26"/>
      <c r="D2006" s="26"/>
      <c r="E2006" s="26"/>
      <c r="F2006" s="26"/>
      <c r="G2006" s="26"/>
      <c r="H2006" s="5"/>
      <c r="I2006" s="60"/>
    </row>
    <row r="2007" spans="2:38" ht="14.25" customHeight="1">
      <c r="C2007" s="26"/>
      <c r="D2007" s="26"/>
      <c r="E2007" s="26"/>
      <c r="F2007" s="26"/>
      <c r="G2007" s="26"/>
      <c r="H2007" s="5"/>
      <c r="I2007" s="26"/>
    </row>
    <row r="2008" spans="2:38" ht="14.25" customHeight="1">
      <c r="C2008" s="26"/>
      <c r="D2008" s="26"/>
      <c r="E2008" s="26"/>
      <c r="F2008" s="26"/>
      <c r="G2008" s="26"/>
      <c r="H2008" s="5"/>
      <c r="I2008" s="26"/>
    </row>
    <row r="2009" spans="2:38" ht="14.25" customHeight="1">
      <c r="C2009" s="26"/>
      <c r="D2009" s="26"/>
      <c r="E2009" s="26"/>
      <c r="F2009" s="26"/>
      <c r="G2009" s="26"/>
      <c r="H2009" s="5"/>
      <c r="I2009" s="26"/>
    </row>
    <row r="2010" spans="2:38" ht="14.25" customHeight="1">
      <c r="C2010" s="26"/>
      <c r="D2010" s="26"/>
      <c r="E2010" s="26"/>
      <c r="F2010" s="26"/>
      <c r="G2010" s="26"/>
      <c r="H2010" s="5"/>
      <c r="I2010" s="26"/>
    </row>
    <row r="2011" spans="2:38" ht="14.25" customHeight="1">
      <c r="C2011" s="26"/>
      <c r="D2011" s="26"/>
      <c r="E2011" s="26"/>
      <c r="F2011" s="26"/>
      <c r="G2011" s="26"/>
      <c r="H2011" s="5"/>
      <c r="I2011" s="26"/>
    </row>
    <row r="2012" spans="2:38" ht="14.25" customHeight="1">
      <c r="C2012" s="26"/>
      <c r="D2012" s="26"/>
      <c r="E2012" s="26"/>
      <c r="F2012" s="26"/>
      <c r="G2012" s="26"/>
      <c r="H2012" s="5"/>
      <c r="I2012" s="26"/>
    </row>
    <row r="2013" spans="2:38" ht="14.25" customHeight="1">
      <c r="C2013" s="26"/>
      <c r="D2013" s="26"/>
      <c r="E2013" s="26"/>
      <c r="F2013" s="26"/>
      <c r="G2013" s="26"/>
      <c r="H2013" s="5"/>
      <c r="I2013" s="26"/>
    </row>
    <row r="2014" spans="2:38" ht="14.25" customHeight="1">
      <c r="C2014" s="26"/>
      <c r="D2014" s="26"/>
      <c r="E2014" s="26"/>
      <c r="F2014" s="26"/>
      <c r="G2014" s="26"/>
      <c r="H2014" s="5"/>
      <c r="I2014" s="26"/>
    </row>
    <row r="2015" spans="2:38" ht="14.25" customHeight="1">
      <c r="C2015" s="26"/>
      <c r="D2015" s="26"/>
      <c r="E2015" s="26"/>
      <c r="F2015" s="26"/>
      <c r="G2015" s="26"/>
      <c r="H2015" s="5"/>
      <c r="I2015" s="26"/>
    </row>
    <row r="2016" spans="2:38" ht="14.25" customHeight="1">
      <c r="C2016" s="26"/>
      <c r="D2016" s="26"/>
      <c r="E2016" s="26"/>
      <c r="F2016" s="26"/>
      <c r="G2016" s="26"/>
      <c r="H2016" s="5"/>
      <c r="I2016" s="26"/>
    </row>
    <row r="2017" spans="3:9" ht="14.25" customHeight="1">
      <c r="C2017" s="26"/>
      <c r="D2017" s="26"/>
      <c r="E2017" s="26"/>
      <c r="F2017" s="26"/>
      <c r="G2017" s="26"/>
      <c r="H2017" s="5"/>
      <c r="I2017" s="26"/>
    </row>
    <row r="2018" spans="3:9" ht="14.25" customHeight="1">
      <c r="C2018" s="26"/>
      <c r="D2018" s="26"/>
      <c r="E2018" s="26"/>
      <c r="F2018" s="26"/>
      <c r="G2018" s="26"/>
      <c r="H2018" s="5"/>
      <c r="I2018" s="26"/>
    </row>
    <row r="2019" spans="3:9" ht="14.25" customHeight="1">
      <c r="C2019" s="26"/>
      <c r="D2019" s="26"/>
      <c r="E2019" s="26"/>
      <c r="F2019" s="26"/>
      <c r="G2019" s="26"/>
      <c r="H2019" s="5"/>
      <c r="I2019" s="26"/>
    </row>
    <row r="2020" spans="3:9" ht="14.25" customHeight="1">
      <c r="C2020" s="26"/>
      <c r="D2020" s="26"/>
      <c r="E2020" s="26"/>
      <c r="F2020" s="26"/>
      <c r="G2020" s="26"/>
      <c r="H2020" s="5"/>
      <c r="I2020" s="26"/>
    </row>
    <row r="2021" spans="3:9" ht="14.25" customHeight="1">
      <c r="C2021" s="26"/>
      <c r="D2021" s="26"/>
      <c r="E2021" s="26"/>
      <c r="F2021" s="26"/>
      <c r="G2021" s="26"/>
      <c r="H2021" s="5"/>
      <c r="I2021" s="26"/>
    </row>
    <row r="2022" spans="3:9" ht="14.25" customHeight="1">
      <c r="C2022" s="26"/>
      <c r="D2022" s="26"/>
      <c r="E2022" s="26"/>
      <c r="F2022" s="26"/>
      <c r="G2022" s="26"/>
      <c r="H2022" s="5"/>
      <c r="I2022" s="26"/>
    </row>
    <row r="2023" spans="3:9" ht="14.25" customHeight="1">
      <c r="C2023" s="26"/>
      <c r="D2023" s="26"/>
      <c r="E2023" s="26"/>
      <c r="F2023" s="26"/>
      <c r="G2023" s="26"/>
      <c r="H2023" s="5"/>
      <c r="I2023" s="26"/>
    </row>
    <row r="2024" spans="3:9" ht="14.25" customHeight="1">
      <c r="C2024" s="26"/>
      <c r="D2024" s="26"/>
      <c r="E2024" s="26"/>
      <c r="F2024" s="26"/>
      <c r="G2024" s="26"/>
      <c r="H2024" s="5"/>
      <c r="I2024" s="26"/>
    </row>
    <row r="2025" spans="3:9" ht="14.25" customHeight="1">
      <c r="C2025" s="26"/>
      <c r="D2025" s="26"/>
      <c r="E2025" s="26"/>
      <c r="F2025" s="26"/>
      <c r="G2025" s="26"/>
      <c r="H2025" s="5"/>
      <c r="I2025" s="26"/>
    </row>
    <row r="2026" spans="3:9" ht="14.25" customHeight="1">
      <c r="C2026" s="26"/>
      <c r="D2026" s="26"/>
      <c r="E2026" s="26"/>
      <c r="F2026" s="26"/>
      <c r="G2026" s="26"/>
      <c r="H2026" s="5"/>
      <c r="I2026" s="26"/>
    </row>
    <row r="2027" spans="3:9" ht="14.25" customHeight="1">
      <c r="C2027" s="26"/>
      <c r="D2027" s="26"/>
      <c r="E2027" s="26"/>
      <c r="F2027" s="26"/>
      <c r="G2027" s="26"/>
      <c r="H2027" s="5"/>
      <c r="I2027" s="26"/>
    </row>
    <row r="2028" spans="3:9" ht="14.25" customHeight="1">
      <c r="C2028" s="26"/>
      <c r="D2028" s="26"/>
      <c r="E2028" s="26"/>
      <c r="F2028" s="26"/>
      <c r="G2028" s="26"/>
      <c r="H2028" s="5"/>
      <c r="I2028" s="26"/>
    </row>
    <row r="2029" spans="3:9" ht="14.25" customHeight="1">
      <c r="C2029" s="26"/>
      <c r="D2029" s="26"/>
      <c r="E2029" s="26"/>
      <c r="F2029" s="26"/>
      <c r="G2029" s="26"/>
      <c r="H2029" s="5"/>
      <c r="I2029" s="26"/>
    </row>
    <row r="2030" spans="3:9" ht="14.25" customHeight="1">
      <c r="C2030" s="26"/>
      <c r="D2030" s="26"/>
      <c r="E2030" s="26"/>
      <c r="F2030" s="26"/>
      <c r="G2030" s="26"/>
      <c r="H2030" s="5"/>
      <c r="I2030" s="26"/>
    </row>
    <row r="2031" spans="3:9" ht="14.25" customHeight="1">
      <c r="C2031" s="26"/>
      <c r="D2031" s="26"/>
      <c r="E2031" s="26"/>
      <c r="F2031" s="26"/>
      <c r="G2031" s="26"/>
      <c r="H2031" s="5"/>
      <c r="I2031" s="26"/>
    </row>
    <row r="2032" spans="3:9" ht="14.25" customHeight="1">
      <c r="C2032" s="26"/>
      <c r="D2032" s="26"/>
      <c r="E2032" s="26"/>
      <c r="F2032" s="26"/>
      <c r="G2032" s="26"/>
      <c r="H2032" s="5"/>
      <c r="I2032" s="26"/>
    </row>
    <row r="2033" spans="3:23" ht="14.25" customHeight="1">
      <c r="C2033" s="26"/>
      <c r="D2033" s="26"/>
      <c r="E2033" s="26"/>
      <c r="F2033" s="26"/>
      <c r="G2033" s="26"/>
      <c r="H2033" s="5"/>
      <c r="I2033" s="26"/>
    </row>
    <row r="2034" spans="3:23" ht="14.25" customHeight="1">
      <c r="C2034" s="26"/>
      <c r="D2034" s="26"/>
      <c r="E2034" s="26"/>
      <c r="F2034" s="26"/>
      <c r="G2034" s="26"/>
      <c r="H2034" s="5"/>
      <c r="I2034" s="26"/>
    </row>
    <row r="2035" spans="3:23" ht="14.25" customHeight="1">
      <c r="C2035" s="26"/>
      <c r="D2035" s="26"/>
      <c r="E2035" s="26"/>
      <c r="F2035" s="26"/>
      <c r="G2035" s="26"/>
      <c r="H2035" s="5"/>
      <c r="I2035" s="26"/>
    </row>
    <row r="2036" spans="3:23" ht="14.25" customHeight="1">
      <c r="C2036" s="26"/>
      <c r="D2036" s="26"/>
      <c r="E2036" s="26"/>
      <c r="F2036" s="26"/>
      <c r="G2036" s="26"/>
      <c r="H2036" s="5"/>
      <c r="I2036" s="26"/>
    </row>
    <row r="2037" spans="3:23" ht="14.25" customHeight="1">
      <c r="C2037" s="26"/>
      <c r="D2037" s="26"/>
      <c r="E2037" s="26"/>
      <c r="F2037" s="26"/>
      <c r="G2037" s="26"/>
      <c r="H2037" s="5"/>
      <c r="I2037" s="26"/>
    </row>
    <row r="2038" spans="3:23" ht="14.25" customHeight="1">
      <c r="C2038" s="26"/>
      <c r="D2038" s="26"/>
      <c r="E2038" s="26"/>
      <c r="F2038" s="26"/>
      <c r="G2038" s="26"/>
      <c r="H2038" s="5"/>
      <c r="I2038" s="26"/>
    </row>
    <row r="2039" spans="3:23" ht="14.25" customHeight="1">
      <c r="C2039" s="26"/>
      <c r="D2039" s="26"/>
      <c r="E2039" s="26"/>
      <c r="F2039" s="26"/>
      <c r="G2039" s="26"/>
      <c r="H2039" s="5"/>
      <c r="I2039" s="26"/>
      <c r="K2039" s="60"/>
      <c r="W2039" s="60"/>
    </row>
    <row r="2040" spans="3:23" ht="14.25" customHeight="1">
      <c r="C2040" s="26"/>
      <c r="D2040" s="26"/>
      <c r="E2040" s="26"/>
      <c r="F2040" s="26"/>
      <c r="G2040" s="60"/>
      <c r="H2040" s="5"/>
      <c r="I2040" s="26"/>
      <c r="K2040" s="60"/>
      <c r="O2040" s="60"/>
      <c r="S2040" s="60"/>
      <c r="W2040" s="60"/>
    </row>
    <row r="2041" spans="3:23" ht="14.25" customHeight="1">
      <c r="C2041" s="26"/>
      <c r="D2041" s="26"/>
      <c r="E2041" s="26"/>
      <c r="F2041" s="26"/>
      <c r="G2041" s="60"/>
      <c r="H2041" s="5"/>
      <c r="I2041" s="26"/>
      <c r="K2041" s="60"/>
      <c r="O2041" s="60"/>
      <c r="S2041" s="60"/>
      <c r="W2041" s="60"/>
    </row>
    <row r="2042" spans="3:23" ht="14.25" customHeight="1">
      <c r="C2042" s="26"/>
      <c r="D2042" s="26"/>
      <c r="E2042" s="26"/>
      <c r="F2042" s="26"/>
      <c r="G2042" s="60"/>
      <c r="H2042" s="5"/>
      <c r="I2042" s="26"/>
      <c r="K2042" s="60"/>
      <c r="O2042" s="60"/>
      <c r="S2042" s="60"/>
      <c r="W2042" s="60"/>
    </row>
    <row r="2043" spans="3:23" ht="14.25" customHeight="1">
      <c r="C2043" s="26"/>
      <c r="D2043" s="26"/>
      <c r="E2043" s="26"/>
      <c r="F2043" s="26"/>
      <c r="G2043" s="26"/>
      <c r="H2043" s="5"/>
      <c r="I2043" s="26"/>
      <c r="K2043" s="26"/>
      <c r="O2043" s="26"/>
      <c r="S2043" s="26"/>
      <c r="W2043" s="26"/>
    </row>
    <row r="2044" spans="3:23" ht="14.25" customHeight="1">
      <c r="C2044" s="26"/>
      <c r="D2044" s="26"/>
      <c r="E2044" s="26"/>
      <c r="F2044" s="26"/>
      <c r="G2044" s="60"/>
      <c r="H2044" s="5"/>
      <c r="I2044" s="26"/>
      <c r="K2044" s="60"/>
      <c r="O2044" s="60"/>
      <c r="S2044" s="60"/>
      <c r="W2044" s="60"/>
    </row>
    <row r="2045" spans="3:23" ht="14.25" customHeight="1">
      <c r="C2045" s="26"/>
      <c r="D2045" s="26"/>
      <c r="E2045" s="26"/>
      <c r="F2045" s="26"/>
      <c r="G2045" s="60"/>
      <c r="H2045" s="5"/>
      <c r="I2045" s="26"/>
      <c r="K2045" s="60"/>
      <c r="O2045" s="60"/>
      <c r="S2045" s="60"/>
      <c r="W2045" s="60"/>
    </row>
    <row r="2046" spans="3:23" ht="14.25" customHeight="1">
      <c r="C2046" s="26"/>
      <c r="D2046" s="26"/>
      <c r="E2046" s="26"/>
      <c r="F2046" s="26"/>
      <c r="G2046" s="60"/>
      <c r="H2046" s="5"/>
      <c r="I2046" s="26"/>
      <c r="K2046" s="60"/>
      <c r="O2046" s="60"/>
      <c r="S2046" s="60"/>
      <c r="W2046" s="60"/>
    </row>
    <row r="2047" spans="3:23" ht="14.25" customHeight="1">
      <c r="C2047" s="26"/>
      <c r="D2047" s="26"/>
      <c r="E2047" s="26"/>
      <c r="F2047" s="26"/>
      <c r="G2047" s="60"/>
      <c r="H2047" s="5"/>
      <c r="I2047" s="26"/>
      <c r="K2047" s="60"/>
      <c r="O2047" s="60"/>
      <c r="S2047" s="60"/>
      <c r="W2047" s="60"/>
    </row>
    <row r="2048" spans="3:23" ht="14.25" customHeight="1">
      <c r="C2048" s="26"/>
      <c r="D2048" s="26"/>
      <c r="E2048" s="26"/>
      <c r="F2048" s="26"/>
      <c r="G2048" s="60"/>
      <c r="H2048" s="5"/>
      <c r="I2048" s="26"/>
      <c r="K2048" s="60"/>
      <c r="O2048" s="60"/>
      <c r="S2048" s="60"/>
      <c r="W2048" s="60"/>
    </row>
    <row r="2049" spans="1:58" ht="14.25" customHeight="1">
      <c r="C2049" s="26"/>
      <c r="D2049" s="26"/>
      <c r="E2049" s="26"/>
      <c r="F2049" s="26"/>
      <c r="G2049" s="60"/>
      <c r="H2049" s="5"/>
      <c r="I2049" s="26"/>
      <c r="K2049" s="60"/>
      <c r="O2049" s="60"/>
      <c r="S2049" s="60"/>
      <c r="W2049" s="60"/>
      <c r="AC2049" s="20"/>
      <c r="AG2049" s="20"/>
    </row>
    <row r="2050" spans="1:58" ht="14.25" customHeight="1">
      <c r="C2050" s="26"/>
      <c r="D2050" s="26"/>
      <c r="E2050" s="26"/>
      <c r="F2050" s="26"/>
      <c r="G2050" s="60"/>
      <c r="H2050" s="5"/>
      <c r="I2050" s="26"/>
      <c r="J2050" s="5"/>
      <c r="K2050" s="60"/>
      <c r="L2050" s="26"/>
      <c r="N2050" s="26"/>
      <c r="O2050" s="60"/>
      <c r="P2050" s="26"/>
      <c r="R2050" s="26"/>
      <c r="S2050" s="60"/>
      <c r="T2050" s="26"/>
      <c r="V2050" s="26"/>
      <c r="W2050" s="60"/>
    </row>
    <row r="2051" spans="1:58" ht="14.25" customHeight="1">
      <c r="C2051" s="26"/>
      <c r="D2051" s="26"/>
      <c r="E2051" s="26"/>
      <c r="F2051" s="26"/>
      <c r="G2051" s="60"/>
      <c r="H2051" s="26"/>
      <c r="I2051" s="26"/>
      <c r="J2051" s="26"/>
      <c r="K2051" s="60"/>
      <c r="O2051" s="26"/>
      <c r="S2051" s="26"/>
      <c r="W2051" s="26"/>
    </row>
    <row r="2052" spans="1:58" s="8" customFormat="1">
      <c r="B2052" s="428" t="str">
        <f>TITLE!$C$40</f>
        <v>Дверна коробка STANDARD</v>
      </c>
      <c r="C2052" s="428"/>
      <c r="D2052" s="122"/>
      <c r="E2052" s="437" t="str">
        <f>IF($C$1="ENG","For Door Leafs with Rebbit","Для Дверних Полотен з Фальцем")</f>
        <v>Для Дверних Полотен з Фальцем</v>
      </c>
      <c r="F2052" s="437"/>
      <c r="G2052" s="437"/>
      <c r="H2052" s="437"/>
      <c r="I2052" s="437"/>
      <c r="J2052" s="437"/>
      <c r="K2052" s="437"/>
      <c r="L2052" s="445"/>
      <c r="M2052" s="445"/>
      <c r="N2052" s="445"/>
      <c r="O2052" s="445"/>
      <c r="P2052" s="445"/>
      <c r="Q2052" s="445"/>
      <c r="R2052" s="445"/>
      <c r="S2052" s="445"/>
      <c r="T2052" s="419" t="str">
        <f>IF($C$1="ENG",CONCATENATE("up to: ",B1993),CONCATENATE("вгору до: ",B1993))</f>
        <v>вгору до: Розсувна система Verto-SLIDE</v>
      </c>
      <c r="U2052" s="419"/>
      <c r="V2052" s="419"/>
      <c r="W2052" s="419"/>
      <c r="AN2052" s="291"/>
      <c r="AO2052" s="291"/>
      <c r="AP2052" s="291"/>
      <c r="AQ2052" s="291"/>
      <c r="AR2052" s="291"/>
      <c r="AS2052" s="291"/>
      <c r="AT2052" s="291"/>
    </row>
    <row r="2053" spans="1:58" s="8" customFormat="1" ht="5.0999999999999996" customHeight="1">
      <c r="L2053" s="156"/>
      <c r="M2053" s="156"/>
      <c r="N2053" s="156"/>
      <c r="O2053" s="156"/>
      <c r="P2053" s="156"/>
      <c r="Q2053" s="156"/>
      <c r="R2053" s="156"/>
      <c r="S2053" s="156"/>
      <c r="T2053" s="157"/>
      <c r="U2053" s="157"/>
      <c r="V2053" s="157"/>
      <c r="W2053" s="157"/>
      <c r="AN2053" s="291"/>
      <c r="AO2053" s="291"/>
      <c r="AP2053" s="291"/>
      <c r="AQ2053" s="291"/>
      <c r="AR2053" s="291"/>
      <c r="AS2053" s="291"/>
      <c r="AT2053" s="291"/>
    </row>
    <row r="2054" spans="1:58" ht="12.75" customHeight="1">
      <c r="A2054" s="8"/>
      <c r="B2054" s="319" t="str">
        <f>IF($C$1="ENG","model","модель")</f>
        <v>модель</v>
      </c>
      <c r="C2054" s="126" t="str">
        <f>IF($C$1="ENG","cover:","покриття:")</f>
        <v>покриття:</v>
      </c>
      <c r="D2054" s="430" t="str">
        <f>IF($C$1="ENG","SIMPLEX / VERTO-CELL ","SIMPLEX / VERTO-CELL")</f>
        <v>SIMPLEX / VERTO-CELL</v>
      </c>
      <c r="E2054" s="431"/>
      <c r="F2054" s="431"/>
      <c r="G2054" s="432"/>
      <c r="H2054" s="430" t="str">
        <f>IF($C$1="ENG","UNI-MAT","UNI-MAT")</f>
        <v>UNI-MAT</v>
      </c>
      <c r="I2054" s="431"/>
      <c r="J2054" s="431"/>
      <c r="K2054" s="432"/>
      <c r="L2054" s="430" t="str">
        <f>IF($C$1="ENG","RESIST","RESIST")</f>
        <v>RESIST</v>
      </c>
      <c r="M2054" s="431"/>
      <c r="N2054" s="431"/>
      <c r="O2054" s="432"/>
      <c r="P2054" s="430" t="str">
        <f>IF($C$1="ENG","Verto LINE-3D","Verto LINE-3D")</f>
        <v>Verto LINE-3D</v>
      </c>
      <c r="Q2054" s="431"/>
      <c r="R2054" s="431"/>
      <c r="S2054" s="432"/>
      <c r="T2054" s="430" t="str">
        <f>IF($C$1="ENG","ECO Shpon / LOFT","ЕКО Шпон / LOFT")</f>
        <v>ЕКО Шпон / LOFT</v>
      </c>
      <c r="U2054" s="431"/>
      <c r="V2054" s="431"/>
      <c r="W2054" s="432"/>
      <c r="AE2054" s="406">
        <f>AE2056/AC2056-1</f>
        <v>0.13114754098360648</v>
      </c>
      <c r="AF2054" s="406"/>
      <c r="AG2054" s="406">
        <f>AG2056/AE2056-1</f>
        <v>3.8647342995169032E-2</v>
      </c>
    </row>
    <row r="2055" spans="1:58" ht="12.75" customHeight="1">
      <c r="A2055" s="8"/>
      <c r="B2055" s="322"/>
      <c r="C2055" s="128" t="str">
        <f>IF($C$1="ENG","type:","виконання:")</f>
        <v>виконання:</v>
      </c>
      <c r="D2055" s="424" t="str">
        <f>IF($C$1="ENG","single leaf","одностулкове")</f>
        <v>одностулкове</v>
      </c>
      <c r="E2055" s="438"/>
      <c r="F2055" s="433" t="str">
        <f>IF($C$1="ENG","double leaf","двостулкові")</f>
        <v>двостулкові</v>
      </c>
      <c r="G2055" s="434"/>
      <c r="H2055" s="424" t="str">
        <f>IF($C$1="ENG","single leaf","одностулкове")</f>
        <v>одностулкове</v>
      </c>
      <c r="I2055" s="438"/>
      <c r="J2055" s="433" t="str">
        <f>IF($C$1="ENG","double leaf","двостулкові")</f>
        <v>двостулкові</v>
      </c>
      <c r="K2055" s="434"/>
      <c r="L2055" s="424" t="str">
        <f>IF($C$1="ENG","single leaf","одностулкове")</f>
        <v>одностулкове</v>
      </c>
      <c r="M2055" s="438"/>
      <c r="N2055" s="467" t="str">
        <f>IF($C$1="ENG","double leaf","двостулкові")</f>
        <v>двостулкові</v>
      </c>
      <c r="O2055" s="434"/>
      <c r="P2055" s="424" t="str">
        <f>IF($C$1="ENG","single leaf","одностулкове")</f>
        <v>одностулкове</v>
      </c>
      <c r="Q2055" s="438"/>
      <c r="R2055" s="467" t="str">
        <f>IF($C$1="ENG","double leaf","двостулкові")</f>
        <v>двостулкові</v>
      </c>
      <c r="S2055" s="434"/>
      <c r="T2055" s="424" t="str">
        <f>IF($C$1="ENG","single leaf","одностулкове")</f>
        <v>одностулкове</v>
      </c>
      <c r="U2055" s="438"/>
      <c r="V2055" s="467" t="str">
        <f>IF($C$1="ENG","double leaf","двостулкові")</f>
        <v>двостулкові</v>
      </c>
      <c r="W2055" s="434"/>
      <c r="AR2055" s="406"/>
    </row>
    <row r="2056" spans="1:58" ht="34.5" customHeight="1">
      <c r="A2056" s="8"/>
      <c r="B2056" s="253" t="str">
        <f>IF($C$1="ENG","Door Frame 80 mm MDF","Коробка МДФ 80 мм")</f>
        <v>Коробка МДФ 80 мм</v>
      </c>
      <c r="C2056" s="160"/>
      <c r="D2056" s="15">
        <f>IF(AC2056="","",(1-$W$2)*(AC2056/1.2))</f>
        <v>1525</v>
      </c>
      <c r="E2056" s="276">
        <f>IF($W$5=0.2,D2056*1.2,D2056)/$W$4</f>
        <v>1830</v>
      </c>
      <c r="F2056" s="279">
        <f>IF(AD2056="","",(1-$W$2)*(AD2056/1.2))</f>
        <v>2133.3333333333335</v>
      </c>
      <c r="G2056" s="67">
        <f>IF($W$5=0.2,F2056*1.2,F2056)/$W$4</f>
        <v>2560</v>
      </c>
      <c r="H2056" s="15">
        <f>IF(AE2056="","",(1-$W$2)*(AE2056/1.2))</f>
        <v>1725</v>
      </c>
      <c r="I2056" s="276">
        <f>IF($W$5=0.2,H2056*1.2,H2056)/$W$4</f>
        <v>2070</v>
      </c>
      <c r="J2056" s="279">
        <f>IF(AF2056="","",(1-$W$2)*(AF2056/1.2))</f>
        <v>2408.3333333333335</v>
      </c>
      <c r="K2056" s="67">
        <f>IF($W$5=0.2,J2056*1.2,J2056)/$W$4</f>
        <v>2890</v>
      </c>
      <c r="L2056" s="15">
        <f>IF(AG2056="","",(1-$W$2)*(AG2056/1.2))</f>
        <v>1791.6666666666667</v>
      </c>
      <c r="M2056" s="276">
        <f>IF($W$5=0.2,L2056*1.2,L2056)/$W$4</f>
        <v>2150</v>
      </c>
      <c r="N2056" s="279">
        <f>IF(AH2056="","",(1-$W$2)*(AH2056/1.2))</f>
        <v>2508.3333333333335</v>
      </c>
      <c r="O2056" s="67">
        <f>IF($W$5=0.2,N2056*1.2,N2056)/$W$4</f>
        <v>3010</v>
      </c>
      <c r="P2056" s="15">
        <f>IF(AI2056="","",(1-$W$2)*(AI2056/1.2))</f>
        <v>1975</v>
      </c>
      <c r="Q2056" s="276">
        <f>IF($W$5=0.2,P2056*1.2,P2056)/$W$4</f>
        <v>2370</v>
      </c>
      <c r="R2056" s="279">
        <f>IF(AJ2056="","",(1-$W$2)*(AJ2056/1.2))</f>
        <v>2766.666666666667</v>
      </c>
      <c r="S2056" s="67">
        <f>IF($W$5=0.2,R2056*1.2,R2056)/$W$4</f>
        <v>3320.0000000000005</v>
      </c>
      <c r="T2056" s="15">
        <f>IF(AK2056="","",(1-$W$2)*(AK2056/1.2))</f>
        <v>2125</v>
      </c>
      <c r="U2056" s="276">
        <f>IF($W$5=0.2,T2056*1.2,T2056)/$W$4</f>
        <v>2550</v>
      </c>
      <c r="V2056" s="279">
        <f>IF(AL2056="","",(1-$W$2)*(AL2056/1.2))</f>
        <v>2975</v>
      </c>
      <c r="W2056" s="67">
        <f>IF($W$5=0.2,V2056*1.2,V2056)/$W$4</f>
        <v>3570</v>
      </c>
      <c r="X2056" s="22"/>
      <c r="Y2056" s="22"/>
      <c r="Z2056" s="22"/>
      <c r="AA2056" s="22"/>
      <c r="AB2056" s="22"/>
      <c r="AC2056" s="415">
        <v>1830</v>
      </c>
      <c r="AD2056" s="416">
        <v>2560</v>
      </c>
      <c r="AE2056" s="417">
        <v>2070</v>
      </c>
      <c r="AF2056" s="416">
        <v>2890</v>
      </c>
      <c r="AG2056" s="415">
        <v>2150</v>
      </c>
      <c r="AH2056" s="416">
        <v>3010</v>
      </c>
      <c r="AI2056" s="415">
        <v>2370</v>
      </c>
      <c r="AJ2056" s="416">
        <v>3320</v>
      </c>
      <c r="AK2056" s="415">
        <v>2550</v>
      </c>
      <c r="AL2056" s="416">
        <v>3570</v>
      </c>
      <c r="AM2056" s="348">
        <v>1830</v>
      </c>
      <c r="AN2056" s="323">
        <f>AM2056/AC2056-1</f>
        <v>0</v>
      </c>
      <c r="AO2056" s="348">
        <v>2560</v>
      </c>
      <c r="AP2056" s="323">
        <f>AO2056/AD2056-1</f>
        <v>0</v>
      </c>
      <c r="AQ2056" s="348">
        <v>2070</v>
      </c>
      <c r="AR2056" s="323">
        <f>AQ2056/AE2056-1</f>
        <v>0</v>
      </c>
      <c r="AS2056" s="348">
        <v>2890</v>
      </c>
      <c r="AT2056" s="323">
        <f>AS2056/AF2056-1</f>
        <v>0</v>
      </c>
      <c r="AU2056" s="348">
        <v>2150</v>
      </c>
      <c r="AV2056" s="323">
        <f>AU2056/AG2056-1</f>
        <v>0</v>
      </c>
      <c r="AW2056" s="348">
        <v>3000</v>
      </c>
      <c r="AX2056" s="323"/>
      <c r="AY2056" s="348"/>
      <c r="AZ2056" s="323"/>
      <c r="BA2056" s="348"/>
      <c r="BB2056" s="323"/>
      <c r="BC2056" s="348"/>
      <c r="BD2056" s="323"/>
      <c r="BE2056" s="348"/>
      <c r="BF2056" s="323"/>
    </row>
    <row r="2057" spans="1:58" ht="34.5" customHeight="1">
      <c r="A2057" s="8"/>
      <c r="B2057" s="112" t="str">
        <f>IF($C$1="ENG","Door Frame 80 mm Wood","Коробка Дерев'яна 80 мм")</f>
        <v>Коробка Дерев'яна 80 мм</v>
      </c>
      <c r="C2057" s="296"/>
      <c r="D2057" s="25">
        <f>IF(AC2057="","",(1-$W$2)*(AC2057/1.2))</f>
        <v>1850</v>
      </c>
      <c r="E2057" s="278">
        <f>IF($W$5=0.2,D2057*1.2,D2057)/$W$4</f>
        <v>2220</v>
      </c>
      <c r="F2057" s="281">
        <f>IF(AD2057="","",(1-$W$2)*(AD2057/1.2))</f>
        <v>2566.666666666667</v>
      </c>
      <c r="G2057" s="72">
        <f>IF($W$5=0.2,F2057*1.2,F2057)/$W$4</f>
        <v>3080.0000000000005</v>
      </c>
      <c r="H2057" s="25">
        <f>IF(AE2057="","",(1-$W$2)*(AE2057/1.2))</f>
        <v>2100</v>
      </c>
      <c r="I2057" s="278">
        <f>IF($W$5=0.2,H2057*1.2,H2057)/$W$4</f>
        <v>2520</v>
      </c>
      <c r="J2057" s="281">
        <f>IF(AF2057="","",(1-$W$2)*(AF2057/1.2))</f>
        <v>2941.666666666667</v>
      </c>
      <c r="K2057" s="72">
        <f>IF($W$5=0.2,J2057*1.2,J2057)/$W$4</f>
        <v>3530.0000000000005</v>
      </c>
      <c r="L2057" s="25">
        <f>IF(AG2057="","",(1-$W$2)*(AG2057/1.2))</f>
        <v>2233.3333333333335</v>
      </c>
      <c r="M2057" s="278">
        <f>IF($W$5=0.2,L2057*1.2,L2057)/$W$4</f>
        <v>2680</v>
      </c>
      <c r="N2057" s="281">
        <f>IF(AH2057="","",(1-$W$2)*(AH2057/1.2))</f>
        <v>3125</v>
      </c>
      <c r="O2057" s="72">
        <f>IF($W$5=0.2,N2057*1.2,N2057)/$W$4</f>
        <v>3750</v>
      </c>
      <c r="P2057" s="25">
        <f>IF(AI2057="","",(1-$W$2)*(AI2057/1.2))</f>
        <v>2450</v>
      </c>
      <c r="Q2057" s="278">
        <f>IF($W$5=0.2,P2057*1.2,P2057)/$W$4</f>
        <v>2940</v>
      </c>
      <c r="R2057" s="281">
        <f>IF(AJ2057="","",(1-$W$2)*(AJ2057/1.2))</f>
        <v>3425</v>
      </c>
      <c r="S2057" s="72">
        <f>IF($W$5=0.2,R2057*1.2,R2057)/$W$4</f>
        <v>4110</v>
      </c>
      <c r="T2057" s="25">
        <f>IF(AK2057="","",(1-$W$2)*(AK2057/1.2))</f>
        <v>2700</v>
      </c>
      <c r="U2057" s="278">
        <f>IF($W$5=0.2,T2057*1.2,T2057)/$W$4</f>
        <v>3240</v>
      </c>
      <c r="V2057" s="281">
        <f>IF(AL2057="","",(1-$W$2)*(AL2057/1.2))</f>
        <v>3775</v>
      </c>
      <c r="W2057" s="72">
        <f>IF($W$5=0.2,V2057*1.2,V2057)/$W$4</f>
        <v>4530</v>
      </c>
      <c r="X2057" s="22"/>
      <c r="Y2057" s="22"/>
      <c r="Z2057" s="22"/>
      <c r="AA2057" s="22"/>
      <c r="AB2057" s="22"/>
      <c r="AC2057" s="415">
        <v>2220</v>
      </c>
      <c r="AD2057" s="416">
        <v>3080</v>
      </c>
      <c r="AE2057" s="417">
        <v>2520</v>
      </c>
      <c r="AF2057" s="416">
        <v>3530</v>
      </c>
      <c r="AG2057" s="415">
        <v>2680</v>
      </c>
      <c r="AH2057" s="416">
        <v>3750</v>
      </c>
      <c r="AI2057" s="415">
        <v>2940</v>
      </c>
      <c r="AJ2057" s="416">
        <v>4110</v>
      </c>
      <c r="AK2057" s="415">
        <v>3240</v>
      </c>
      <c r="AL2057" s="416">
        <v>4530</v>
      </c>
      <c r="AM2057" s="348">
        <v>2220</v>
      </c>
      <c r="AN2057" s="323">
        <f>AM2057/AC2057-1</f>
        <v>0</v>
      </c>
      <c r="AO2057" s="348">
        <v>3120</v>
      </c>
      <c r="AP2057" s="323">
        <f>AO2057/AD2057-1</f>
        <v>1.298701298701288E-2</v>
      </c>
      <c r="AQ2057" s="348">
        <v>2520</v>
      </c>
      <c r="AR2057" s="323">
        <f>AQ2057/AE2057-1</f>
        <v>0</v>
      </c>
      <c r="AS2057" s="348">
        <v>3530</v>
      </c>
      <c r="AT2057" s="323">
        <f>AS2057/AF2057-1</f>
        <v>0</v>
      </c>
      <c r="AU2057" s="348">
        <v>2680</v>
      </c>
      <c r="AV2057" s="323">
        <f>AU2057/AG2057-1</f>
        <v>0</v>
      </c>
      <c r="AW2057" s="348">
        <v>3750</v>
      </c>
      <c r="AX2057" s="323"/>
      <c r="AY2057" s="348"/>
      <c r="AZ2057" s="323"/>
      <c r="BA2057" s="348"/>
      <c r="BB2057" s="323"/>
      <c r="BC2057" s="348"/>
      <c r="BD2057" s="323"/>
      <c r="BE2057" s="348"/>
      <c r="BF2057" s="323"/>
    </row>
    <row r="2058" spans="1:58" s="48" customFormat="1" ht="24" customHeight="1">
      <c r="B2058" s="55" t="str">
        <f>IF($C$1="ENG","MASKING ARCHITRAVES","ЛИШТВА")</f>
        <v>ЛИШТВА</v>
      </c>
      <c r="C2058" s="56"/>
      <c r="D2058" s="28"/>
      <c r="E2058" s="62">
        <f>E2060/100*30</f>
        <v>180</v>
      </c>
      <c r="F2058" s="62">
        <f t="shared" ref="F2058:W2058" si="186">F2060/100*30</f>
        <v>192.50000000000003</v>
      </c>
      <c r="G2058" s="62"/>
      <c r="H2058" s="62">
        <f t="shared" si="186"/>
        <v>175.00000000000003</v>
      </c>
      <c r="I2058" s="62">
        <f t="shared" si="186"/>
        <v>210</v>
      </c>
      <c r="J2058" s="62">
        <f t="shared" si="186"/>
        <v>225</v>
      </c>
      <c r="K2058" s="62"/>
      <c r="L2058" s="62">
        <f t="shared" si="186"/>
        <v>212.50000000000003</v>
      </c>
      <c r="M2058" s="62">
        <f t="shared" si="186"/>
        <v>255</v>
      </c>
      <c r="N2058" s="62">
        <f t="shared" si="186"/>
        <v>275.00000000000006</v>
      </c>
      <c r="O2058" s="62"/>
      <c r="P2058" s="62">
        <f t="shared" si="186"/>
        <v>242.50000000000003</v>
      </c>
      <c r="Q2058" s="62">
        <f t="shared" si="186"/>
        <v>291</v>
      </c>
      <c r="R2058" s="62">
        <f t="shared" si="186"/>
        <v>312.50000000000006</v>
      </c>
      <c r="S2058" s="62"/>
      <c r="T2058" s="62">
        <f t="shared" si="186"/>
        <v>260.00000000000006</v>
      </c>
      <c r="U2058" s="62">
        <f t="shared" si="186"/>
        <v>312</v>
      </c>
      <c r="V2058" s="62">
        <f t="shared" si="186"/>
        <v>337.5</v>
      </c>
      <c r="W2058" s="62"/>
      <c r="AM2058" s="408"/>
      <c r="AN2058" s="57"/>
      <c r="AO2058" s="57"/>
      <c r="AP2058" s="57"/>
      <c r="AQ2058" s="57"/>
      <c r="AR2058" s="57"/>
      <c r="AS2058" s="57"/>
      <c r="AT2058" s="57"/>
    </row>
    <row r="2059" spans="1:58" ht="34.5" customHeight="1">
      <c r="A2059" s="8"/>
      <c r="B2059" s="13" t="str">
        <f>IF($C$1="ENG","Straight (set for 1 side) 60 mm","Прямокутна (1 к-т) 60 мм")</f>
        <v>Прямокутна (1 к-т) 60 мм</v>
      </c>
      <c r="C2059" s="58"/>
      <c r="D2059" s="15">
        <f>IF(AC2059="","",(1-$W$2)*(AC2059/1.2))</f>
        <v>425</v>
      </c>
      <c r="E2059" s="311">
        <f>IF($W$5=0.2,D2059*1.2,D2059)/$W$4</f>
        <v>510</v>
      </c>
      <c r="F2059" s="279">
        <f>IF(AD2059="","",(1-$W$2)*(AD2059/1.2))</f>
        <v>550</v>
      </c>
      <c r="G2059" s="67">
        <f>IF($W$5=0.2,F2059*1.2,F2059)/$W$4</f>
        <v>660</v>
      </c>
      <c r="H2059" s="15">
        <f>IF(AE2059="","",(1-$W$2)*(AE2059/1.2))</f>
        <v>491.66666666666669</v>
      </c>
      <c r="I2059" s="276">
        <f>IF($W$5=0.2,H2059*1.2,H2059)/$W$4</f>
        <v>590</v>
      </c>
      <c r="J2059" s="279">
        <f>IF(AF2059="","",(1-$W$2)*(AF2059/1.2))</f>
        <v>633.33333333333337</v>
      </c>
      <c r="K2059" s="67">
        <f>IF($W$5=0.2,J2059*1.2,J2059)/$W$4</f>
        <v>760</v>
      </c>
      <c r="L2059" s="15">
        <f>IF(AG2059="","",(1-$W$2)*(AG2059/1.2))</f>
        <v>575</v>
      </c>
      <c r="M2059" s="276">
        <f>IF($W$5=0.2,L2059*1.2,L2059)/$W$4</f>
        <v>690</v>
      </c>
      <c r="N2059" s="279">
        <f>IF(AH2059="","",(1-$W$2)*(AH2059/1.2))</f>
        <v>741.66666666666674</v>
      </c>
      <c r="O2059" s="67">
        <f>IF($W$5=0.2,N2059*1.2,N2059)/$W$4</f>
        <v>890.00000000000011</v>
      </c>
      <c r="P2059" s="15">
        <f>IF(AI2059="","",(1-$W$2)*(AI2059/1.2))</f>
        <v>658.33333333333337</v>
      </c>
      <c r="Q2059" s="276">
        <f>IF($W$5=0.2,P2059*1.2,P2059)/$W$4</f>
        <v>790</v>
      </c>
      <c r="R2059" s="279">
        <f>IF(AJ2059="","",(1-$W$2)*(AJ2059/1.2))</f>
        <v>858.33333333333337</v>
      </c>
      <c r="S2059" s="67">
        <f>IF($W$5=0.2,R2059*1.2,R2059)/$W$4</f>
        <v>1030</v>
      </c>
      <c r="T2059" s="15">
        <f>IF(AK2059="","",(1-$W$2)*(AK2059/1.2))</f>
        <v>716.66666666666674</v>
      </c>
      <c r="U2059" s="276">
        <f>IF($W$5=0.2,T2059*1.2,T2059)/$W$4</f>
        <v>860.00000000000011</v>
      </c>
      <c r="V2059" s="279">
        <f>IF(AL2059="","",(1-$W$2)*(AL2059/1.2))</f>
        <v>933.33333333333337</v>
      </c>
      <c r="W2059" s="67">
        <f>IF($W$5=0.2,V2059*1.2,V2059)/$W$4</f>
        <v>1120</v>
      </c>
      <c r="X2059" s="22"/>
      <c r="Y2059" s="22"/>
      <c r="Z2059" s="22"/>
      <c r="AA2059" s="22"/>
      <c r="AB2059" s="22"/>
      <c r="AC2059" s="346">
        <v>510</v>
      </c>
      <c r="AD2059" s="346">
        <v>660</v>
      </c>
      <c r="AE2059" s="346">
        <v>590</v>
      </c>
      <c r="AF2059" s="346">
        <v>760</v>
      </c>
      <c r="AG2059" s="346">
        <v>690</v>
      </c>
      <c r="AH2059" s="346">
        <v>890</v>
      </c>
      <c r="AI2059" s="346">
        <v>790</v>
      </c>
      <c r="AJ2059" s="346">
        <v>1030</v>
      </c>
      <c r="AK2059" s="346">
        <v>860</v>
      </c>
      <c r="AL2059" s="346">
        <v>1120</v>
      </c>
      <c r="AM2059" s="348">
        <v>510</v>
      </c>
      <c r="AN2059" s="323">
        <f>AM2059/AC2059-1</f>
        <v>0</v>
      </c>
      <c r="AO2059" s="348">
        <v>660</v>
      </c>
      <c r="AP2059" s="496">
        <f>AO2059/AD2059-1</f>
        <v>0</v>
      </c>
      <c r="AQ2059" s="348">
        <v>590</v>
      </c>
      <c r="AR2059" s="496">
        <f>AQ2059/AE2059-1</f>
        <v>0</v>
      </c>
      <c r="AS2059" s="348">
        <v>760</v>
      </c>
      <c r="AT2059" s="496">
        <f>AS2059/AF2059-1</f>
        <v>0</v>
      </c>
      <c r="AU2059" s="348">
        <v>690</v>
      </c>
      <c r="AV2059" s="496">
        <f>AU2059/AG2059-1</f>
        <v>0</v>
      </c>
      <c r="AW2059" s="1">
        <v>890</v>
      </c>
      <c r="AX2059" s="406"/>
      <c r="AZ2059" s="406"/>
      <c r="BB2059" s="406"/>
      <c r="BD2059" s="406"/>
      <c r="BF2059" s="406"/>
    </row>
    <row r="2060" spans="1:58" ht="34.5" customHeight="1">
      <c r="A2060" s="8"/>
      <c r="B2060" s="23" t="str">
        <f>IF($C$1="ENG","Straight (set for 1 side) 80 mm","Прямокутна (1 к-т) 80 мм")</f>
        <v>Прямокутна (1 к-т) 80 мм</v>
      </c>
      <c r="C2060" s="59"/>
      <c r="D2060" s="25">
        <f>IF(AC2060="","",(1-$W$2)*(AC2060/1.2))</f>
        <v>500</v>
      </c>
      <c r="E2060" s="278">
        <f>IF($W$5=0.2,D2060*1.2,D2060)/$W$4</f>
        <v>600</v>
      </c>
      <c r="F2060" s="281">
        <f>IF(AD2060="","",(1-$W$2)*(AD2060/1.2))</f>
        <v>641.66666666666674</v>
      </c>
      <c r="G2060" s="72">
        <f>IF($W$5=0.2,F2060*1.2,F2060)/$W$4</f>
        <v>770.00000000000011</v>
      </c>
      <c r="H2060" s="25">
        <f>IF(AE2060="","",(1-$W$2)*(AE2060/1.2))</f>
        <v>583.33333333333337</v>
      </c>
      <c r="I2060" s="278">
        <f>IF($W$5=0.2,H2060*1.2,H2060)/$W$4</f>
        <v>700</v>
      </c>
      <c r="J2060" s="281">
        <f>IF(AF2060="","",(1-$W$2)*(AF2060/1.2))</f>
        <v>750</v>
      </c>
      <c r="K2060" s="72">
        <f>IF($W$5=0.2,J2060*1.2,J2060)/$W$4</f>
        <v>900</v>
      </c>
      <c r="L2060" s="25">
        <f>IF(AG2060="","",(1-$W$2)*(AG2060/1.2))</f>
        <v>708.33333333333337</v>
      </c>
      <c r="M2060" s="278">
        <f>IF($W$5=0.2,L2060*1.2,L2060)/$W$4</f>
        <v>850</v>
      </c>
      <c r="N2060" s="281">
        <f>IF(AH2060="","",(1-$W$2)*(AH2060/1.2))</f>
        <v>916.66666666666674</v>
      </c>
      <c r="O2060" s="72">
        <f>IF($W$5=0.2,N2060*1.2,N2060)/$W$4</f>
        <v>1100</v>
      </c>
      <c r="P2060" s="25">
        <f>IF(AI2060="","",(1-$W$2)*(AI2060/1.2))</f>
        <v>808.33333333333337</v>
      </c>
      <c r="Q2060" s="278">
        <f>IF($W$5=0.2,P2060*1.2,P2060)/$W$4</f>
        <v>970</v>
      </c>
      <c r="R2060" s="281">
        <f>IF(AJ2060="","",(1-$W$2)*(AJ2060/1.2))</f>
        <v>1041.6666666666667</v>
      </c>
      <c r="S2060" s="72">
        <f>IF($W$5=0.2,R2060*1.2,R2060)/$W$4</f>
        <v>1250</v>
      </c>
      <c r="T2060" s="25">
        <f>IF(AK2060="","",(1-$W$2)*(AK2060/1.2))</f>
        <v>866.66666666666674</v>
      </c>
      <c r="U2060" s="278">
        <f>IF($W$5=0.2,T2060*1.2,T2060)/$W$4</f>
        <v>1040</v>
      </c>
      <c r="V2060" s="281">
        <f>IF(AL2060="","",(1-$W$2)*(AL2060/1.2))</f>
        <v>1125</v>
      </c>
      <c r="W2060" s="72">
        <f>IF($W$5=0.2,V2060*1.2,V2060)/$W$4</f>
        <v>1350</v>
      </c>
      <c r="X2060" s="22"/>
      <c r="Y2060" s="22"/>
      <c r="Z2060" s="22"/>
      <c r="AA2060" s="22"/>
      <c r="AB2060" s="22"/>
      <c r="AC2060" s="346">
        <v>600</v>
      </c>
      <c r="AD2060" s="346">
        <v>770</v>
      </c>
      <c r="AE2060" s="346">
        <v>700</v>
      </c>
      <c r="AF2060" s="346">
        <v>900</v>
      </c>
      <c r="AG2060" s="346">
        <v>850</v>
      </c>
      <c r="AH2060" s="346">
        <v>1100</v>
      </c>
      <c r="AI2060" s="346">
        <v>970</v>
      </c>
      <c r="AJ2060" s="346">
        <v>1250</v>
      </c>
      <c r="AK2060" s="346">
        <v>1040</v>
      </c>
      <c r="AL2060" s="346">
        <v>1350</v>
      </c>
      <c r="AM2060" s="348">
        <v>600</v>
      </c>
      <c r="AN2060" s="323">
        <f>AM2060/AC2060-1</f>
        <v>0</v>
      </c>
      <c r="AO2060" s="348">
        <v>770</v>
      </c>
      <c r="AP2060" s="496">
        <f>AO2060/AD2060-1</f>
        <v>0</v>
      </c>
      <c r="AQ2060" s="348">
        <v>700</v>
      </c>
      <c r="AR2060" s="496">
        <f>AQ2060/AE2060-1</f>
        <v>0</v>
      </c>
      <c r="AS2060" s="348">
        <v>900</v>
      </c>
      <c r="AT2060" s="496">
        <f>AS2060/AF2060-1</f>
        <v>0</v>
      </c>
      <c r="AU2060" s="348">
        <v>850</v>
      </c>
      <c r="AV2060" s="496">
        <f>AU2060/AG2060-1</f>
        <v>0</v>
      </c>
      <c r="AW2060" s="1">
        <v>1100</v>
      </c>
      <c r="AX2060" s="406"/>
      <c r="AZ2060" s="406"/>
      <c r="BB2060" s="406"/>
      <c r="BD2060" s="406"/>
      <c r="BF2060" s="406"/>
    </row>
    <row r="2061" spans="1:58" s="48" customFormat="1" ht="24.75" customHeight="1">
      <c r="B2061" s="55" t="str">
        <f>IF($C$1="ENG","ADJUSTABLE PANELS","ДОБІРНІ ПЛАНКИ")</f>
        <v>ДОБІРНІ ПЛАНКИ</v>
      </c>
      <c r="C2061" s="56"/>
      <c r="D2061" s="28"/>
      <c r="E2061" s="62"/>
      <c r="F2061" s="62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  <c r="Q2061" s="62"/>
      <c r="R2061" s="62"/>
      <c r="S2061" s="62"/>
      <c r="T2061" s="62"/>
      <c r="U2061" s="62"/>
      <c r="V2061" s="62">
        <f t="shared" ref="F2061:W2061" si="187">V2064/100*30</f>
        <v>840</v>
      </c>
      <c r="W2061" s="62"/>
      <c r="AN2061" s="323"/>
      <c r="AP2061" s="30"/>
      <c r="AQ2061" s="57"/>
      <c r="AR2061" s="30"/>
      <c r="AS2061" s="57"/>
      <c r="AT2061" s="30"/>
      <c r="AV2061" s="1"/>
    </row>
    <row r="2062" spans="1:58" ht="34.5" customHeight="1">
      <c r="A2062" s="8"/>
      <c r="B2062" s="13" t="str">
        <f>IF($C$1="ENG","Panel (1 set) 60 mm","Планка (1 к-т) 60 мм")</f>
        <v>Планка (1 к-т) 60 мм</v>
      </c>
      <c r="C2062" s="58"/>
      <c r="D2062" s="15">
        <f>IF(AC2062="","",(1-$W$2)*(AC2062/1.2))</f>
        <v>425</v>
      </c>
      <c r="E2062" s="311">
        <f>IF($W$5=0.2,D2062*1.2,D2062)/$W$4</f>
        <v>510</v>
      </c>
      <c r="F2062" s="279">
        <f>IF(AD2062="","",(1-$W$2)*(AD2062/1.2))</f>
        <v>550</v>
      </c>
      <c r="G2062" s="67">
        <f>IF($W$5=0.2,F2062*1.2,F2062)/$W$4</f>
        <v>660</v>
      </c>
      <c r="H2062" s="15">
        <f>IF(AE2062="","",(1-$W$2)*(AE2062/1.2))</f>
        <v>491.66666666666669</v>
      </c>
      <c r="I2062" s="276">
        <f>IF($W$5=0.2,H2062*1.2,H2062)/$W$4</f>
        <v>590</v>
      </c>
      <c r="J2062" s="279">
        <f>IF(AF2062="","",(1-$W$2)*(AF2062/1.2))</f>
        <v>633.33333333333337</v>
      </c>
      <c r="K2062" s="67">
        <f>IF($W$5=0.2,J2062*1.2,J2062)/$W$4</f>
        <v>760</v>
      </c>
      <c r="L2062" s="15">
        <f>IF(AG2062="","",(1-$W$2)*(AG2062/1.2))</f>
        <v>575</v>
      </c>
      <c r="M2062" s="276">
        <f>IF($W$5=0.2,L2062*1.2,L2062)/$W$4</f>
        <v>690</v>
      </c>
      <c r="N2062" s="279">
        <f>IF(AH2062="","",(1-$W$2)*(AH2062/1.2))</f>
        <v>741.66666666666674</v>
      </c>
      <c r="O2062" s="67">
        <f>IF($W$5=0.2,N2062*1.2,N2062)/$W$4</f>
        <v>890.00000000000011</v>
      </c>
      <c r="P2062" s="15">
        <f>IF(AI2062="","",(1-$W$2)*(AI2062/1.2))</f>
        <v>658.33333333333337</v>
      </c>
      <c r="Q2062" s="276">
        <f>IF($W$5=0.2,P2062*1.2,P2062)/$W$4</f>
        <v>790</v>
      </c>
      <c r="R2062" s="279">
        <f>IF(AJ2062="","",(1-$W$2)*(AJ2062/1.2))</f>
        <v>858.33333333333337</v>
      </c>
      <c r="S2062" s="67">
        <f>IF($W$5=0.2,R2062*1.2,R2062)/$W$4</f>
        <v>1030</v>
      </c>
      <c r="T2062" s="15">
        <f>IF(AK2062="","",(1-$W$2)*(AK2062/1.2))</f>
        <v>716.66666666666674</v>
      </c>
      <c r="U2062" s="276">
        <f>IF($W$5=0.2,T2062*1.2,T2062)/$W$4</f>
        <v>860.00000000000011</v>
      </c>
      <c r="V2062" s="279">
        <f>IF(AL2062="","",(1-$W$2)*(AL2062/1.2))</f>
        <v>933.33333333333337</v>
      </c>
      <c r="W2062" s="67">
        <f>IF($W$5=0.2,V2062*1.2,V2062)/$W$4</f>
        <v>1120</v>
      </c>
      <c r="X2062" s="22"/>
      <c r="Y2062" s="22"/>
      <c r="Z2062" s="22"/>
      <c r="AA2062" s="22"/>
      <c r="AB2062" s="22"/>
      <c r="AC2062" s="346">
        <v>510</v>
      </c>
      <c r="AD2062" s="346">
        <v>660</v>
      </c>
      <c r="AE2062" s="346">
        <v>590</v>
      </c>
      <c r="AF2062" s="346">
        <v>760</v>
      </c>
      <c r="AG2062" s="346">
        <v>690</v>
      </c>
      <c r="AH2062" s="346">
        <v>890</v>
      </c>
      <c r="AI2062" s="346">
        <v>790</v>
      </c>
      <c r="AJ2062" s="346">
        <v>1030</v>
      </c>
      <c r="AK2062" s="346">
        <v>860</v>
      </c>
      <c r="AL2062" s="346">
        <v>1120</v>
      </c>
      <c r="AM2062" s="348">
        <v>510</v>
      </c>
      <c r="AN2062" s="323">
        <f>AM2062/AC2062-1</f>
        <v>0</v>
      </c>
      <c r="AO2062" s="348">
        <v>660</v>
      </c>
      <c r="AP2062" s="495">
        <f>AO2062/AD2062-1</f>
        <v>0</v>
      </c>
      <c r="AQ2062" s="348">
        <v>590</v>
      </c>
      <c r="AR2062" s="495">
        <f>AQ2062/AE2062-1</f>
        <v>0</v>
      </c>
      <c r="AS2062" s="348">
        <v>760</v>
      </c>
      <c r="AT2062" s="495">
        <f>AS2062/AF2062-1</f>
        <v>0</v>
      </c>
      <c r="AU2062" s="348">
        <v>690</v>
      </c>
      <c r="AV2062" s="495">
        <f>AU2062/AG2062-1</f>
        <v>0</v>
      </c>
      <c r="AW2062" s="1">
        <v>890</v>
      </c>
    </row>
    <row r="2063" spans="1:58" ht="34.5" customHeight="1">
      <c r="A2063" s="8"/>
      <c r="B2063" s="16" t="str">
        <f>IF($C$1="ENG","Panel (1 set) 110 mm","Планка (1 к-т) 110 мм")</f>
        <v>Планка (1 к-т) 110 мм</v>
      </c>
      <c r="C2063" s="325"/>
      <c r="D2063" s="18">
        <f>IF(AC2063="","",(1-$W$2)*(AC2063/1.2))</f>
        <v>658.33333333333337</v>
      </c>
      <c r="E2063" s="277">
        <f>IF($W$5=0.2,D2063*1.2,D2063)/$W$4</f>
        <v>790</v>
      </c>
      <c r="F2063" s="280">
        <f>IF(AD2063="","",(1-$W$2)*(AD2063/1.2))</f>
        <v>858.33333333333337</v>
      </c>
      <c r="G2063" s="69">
        <f>IF($W$5=0.2,F2063*1.2,F2063)/$W$4</f>
        <v>1030</v>
      </c>
      <c r="H2063" s="18">
        <f>IF(AE2063="","",(1-$W$2)*(AE2063/1.2))</f>
        <v>766.66666666666674</v>
      </c>
      <c r="I2063" s="277">
        <f>IF($W$5=0.2,H2063*1.2,H2063)/$W$4</f>
        <v>920.00000000000011</v>
      </c>
      <c r="J2063" s="280">
        <f>IF(AF2063="","",(1-$W$2)*(AF2063/1.2))</f>
        <v>958.33333333333337</v>
      </c>
      <c r="K2063" s="69">
        <f>IF($W$5=0.2,J2063*1.2,J2063)/$W$4</f>
        <v>1150</v>
      </c>
      <c r="L2063" s="18">
        <f>IF(AG2063="","",(1-$W$2)*(AG2063/1.2))</f>
        <v>866.66666666666674</v>
      </c>
      <c r="M2063" s="277">
        <f>IF($W$5=0.2,L2063*1.2,L2063)/$W$4</f>
        <v>1040</v>
      </c>
      <c r="N2063" s="280">
        <f>IF(AH2063="","",(1-$W$2)*(AH2063/1.2))</f>
        <v>1133.3333333333335</v>
      </c>
      <c r="O2063" s="69">
        <f>IF($W$5=0.2,N2063*1.2,N2063)/$W$4</f>
        <v>1360.0000000000002</v>
      </c>
      <c r="P2063" s="18">
        <f>IF(AI2063="","",(1-$W$2)*(AI2063/1.2))</f>
        <v>1016.6666666666667</v>
      </c>
      <c r="Q2063" s="277">
        <f>IF($W$5=0.2,P2063*1.2,P2063)/$W$4</f>
        <v>1220</v>
      </c>
      <c r="R2063" s="280">
        <f>IF(AJ2063="","",(1-$W$2)*(AJ2063/1.2))</f>
        <v>1325</v>
      </c>
      <c r="S2063" s="69">
        <f>IF($W$5=0.2,R2063*1.2,R2063)/$W$4</f>
        <v>1590</v>
      </c>
      <c r="T2063" s="18">
        <f>IF(AK2063="","",(1-$W$2)*(AK2063/1.2))</f>
        <v>1091.6666666666667</v>
      </c>
      <c r="U2063" s="277">
        <f>IF($W$5=0.2,T2063*1.2,T2063)/$W$4</f>
        <v>1310</v>
      </c>
      <c r="V2063" s="280">
        <f>IF(AL2063="","",(1-$W$2)*(AL2063/1.2))</f>
        <v>1425</v>
      </c>
      <c r="W2063" s="69">
        <f>IF($W$5=0.2,V2063*1.2,V2063)/$W$4</f>
        <v>1710</v>
      </c>
      <c r="X2063" s="22"/>
      <c r="Y2063" s="22"/>
      <c r="Z2063" s="22"/>
      <c r="AA2063" s="22"/>
      <c r="AB2063" s="22"/>
      <c r="AC2063" s="346">
        <v>790</v>
      </c>
      <c r="AD2063" s="346">
        <v>1030</v>
      </c>
      <c r="AE2063" s="346">
        <v>920</v>
      </c>
      <c r="AF2063" s="346">
        <v>1150</v>
      </c>
      <c r="AG2063" s="346">
        <v>1040</v>
      </c>
      <c r="AH2063" s="346">
        <v>1360</v>
      </c>
      <c r="AI2063" s="346">
        <v>1220</v>
      </c>
      <c r="AJ2063" s="346">
        <v>1590</v>
      </c>
      <c r="AK2063" s="346">
        <v>1310</v>
      </c>
      <c r="AL2063" s="346">
        <v>1710</v>
      </c>
      <c r="AM2063" s="348">
        <v>790</v>
      </c>
      <c r="AN2063" s="323">
        <f>AM2063/AC2063-1</f>
        <v>0</v>
      </c>
      <c r="AO2063" s="348">
        <v>1030</v>
      </c>
      <c r="AP2063" s="495">
        <f>AO2063/AD2063-1</f>
        <v>0</v>
      </c>
      <c r="AQ2063" s="348">
        <v>920</v>
      </c>
      <c r="AR2063" s="495">
        <f>AQ2063/AE2063-1</f>
        <v>0</v>
      </c>
      <c r="AS2063" s="348">
        <v>1150</v>
      </c>
      <c r="AT2063" s="495">
        <f>AS2063/AF2063-1</f>
        <v>0</v>
      </c>
      <c r="AU2063" s="348">
        <v>1040</v>
      </c>
      <c r="AV2063" s="495">
        <f>AU2063/AG2063-1</f>
        <v>0</v>
      </c>
      <c r="AW2063" s="1">
        <v>1360</v>
      </c>
    </row>
    <row r="2064" spans="1:58" ht="34.5" customHeight="1">
      <c r="A2064" s="8"/>
      <c r="B2064" s="23" t="str">
        <f>IF($C$1="ENG","Panel (1 set) 200 mm","Планка (1 к-т) 200 мм")</f>
        <v>Планка (1 к-т) 200 мм</v>
      </c>
      <c r="C2064" s="59"/>
      <c r="D2064" s="25">
        <f>IF(AC2064="","",(1-$W$2)*(AC2064/1.2))</f>
        <v>1283.3333333333335</v>
      </c>
      <c r="E2064" s="278">
        <f>IF($W$5=0.2,D2064*1.2,D2064)/$W$4</f>
        <v>1540.0000000000002</v>
      </c>
      <c r="F2064" s="281">
        <f>IF(AD2064="","",(1-$W$2)*(AD2064/1.2))</f>
        <v>1666.6666666666667</v>
      </c>
      <c r="G2064" s="72">
        <f>IF($W$5=0.2,F2064*1.2,F2064)/$W$4</f>
        <v>2000</v>
      </c>
      <c r="H2064" s="25">
        <f>IF(AE2064="","",(1-$W$2)*(AE2064/1.2))</f>
        <v>1475</v>
      </c>
      <c r="I2064" s="278">
        <f>IF($W$5=0.2,H2064*1.2,H2064)/$W$4</f>
        <v>1770</v>
      </c>
      <c r="J2064" s="281">
        <f>IF(AF2064="","",(1-$W$2)*(AF2064/1.2))</f>
        <v>1933.3333333333335</v>
      </c>
      <c r="K2064" s="72">
        <f>IF($W$5=0.2,J2064*1.2,J2064)/$W$4</f>
        <v>2320</v>
      </c>
      <c r="L2064" s="25">
        <f>IF(AG2064="","",(1-$W$2)*(AG2064/1.2))</f>
        <v>1750</v>
      </c>
      <c r="M2064" s="278">
        <f>IF($W$5=0.2,L2064*1.2,L2064)/$W$4</f>
        <v>2100</v>
      </c>
      <c r="N2064" s="281">
        <f>IF(AH2064="","",(1-$W$2)*(AH2064/1.2))</f>
        <v>2283.3333333333335</v>
      </c>
      <c r="O2064" s="72">
        <f>IF($W$5=0.2,N2064*1.2,N2064)/$W$4</f>
        <v>2740</v>
      </c>
      <c r="P2064" s="25">
        <f>IF(AI2064="","",(1-$W$2)*(AI2064/1.2))</f>
        <v>2016.6666666666667</v>
      </c>
      <c r="Q2064" s="278">
        <f>IF($W$5=0.2,P2064*1.2,P2064)/$W$4</f>
        <v>2420</v>
      </c>
      <c r="R2064" s="281">
        <f>IF(AJ2064="","",(1-$W$2)*(AJ2064/1.2))</f>
        <v>2625</v>
      </c>
      <c r="S2064" s="72">
        <f>IF($W$5=0.2,R2064*1.2,R2064)/$W$4</f>
        <v>3150</v>
      </c>
      <c r="T2064" s="25">
        <f>IF(AK2064="","",(1-$W$2)*(AK2064/1.2))</f>
        <v>2158.3333333333335</v>
      </c>
      <c r="U2064" s="278">
        <f>IF($W$5=0.2,T2064*1.2,T2064)/$W$4</f>
        <v>2590</v>
      </c>
      <c r="V2064" s="281">
        <f>IF(AL2064="","",(1-$W$2)*(AL2064/1.2))</f>
        <v>2800</v>
      </c>
      <c r="W2064" s="72">
        <f>IF($W$5=0.2,V2064*1.2,V2064)/$W$4</f>
        <v>3360</v>
      </c>
      <c r="X2064" s="22"/>
      <c r="Y2064" s="22"/>
      <c r="Z2064" s="22"/>
      <c r="AA2064" s="22"/>
      <c r="AB2064" s="22"/>
      <c r="AC2064" s="346">
        <v>1540</v>
      </c>
      <c r="AD2064" s="346">
        <v>2000</v>
      </c>
      <c r="AE2064" s="346">
        <v>1770</v>
      </c>
      <c r="AF2064" s="346">
        <v>2320</v>
      </c>
      <c r="AG2064" s="346">
        <v>2100</v>
      </c>
      <c r="AH2064" s="346">
        <v>2740</v>
      </c>
      <c r="AI2064" s="346">
        <v>2420</v>
      </c>
      <c r="AJ2064" s="346">
        <v>3150</v>
      </c>
      <c r="AK2064" s="346">
        <v>2590</v>
      </c>
      <c r="AL2064" s="346">
        <v>3360</v>
      </c>
      <c r="AM2064" s="348">
        <v>1540</v>
      </c>
      <c r="AN2064" s="323">
        <f>AM2064/AC2064-1</f>
        <v>0</v>
      </c>
      <c r="AO2064" s="348">
        <v>2000</v>
      </c>
      <c r="AP2064" s="495">
        <f>AO2064/AD2064-1</f>
        <v>0</v>
      </c>
      <c r="AQ2064" s="348">
        <v>1770</v>
      </c>
      <c r="AR2064" s="495">
        <f>AQ2064/AE2064-1</f>
        <v>0</v>
      </c>
      <c r="AS2064" s="348">
        <v>2320</v>
      </c>
      <c r="AT2064" s="495">
        <f>AS2064/AF2064-1</f>
        <v>0</v>
      </c>
      <c r="AU2064" s="348">
        <v>2100</v>
      </c>
      <c r="AV2064" s="495">
        <f>AU2064/AG2064-1</f>
        <v>0</v>
      </c>
      <c r="AW2064" s="1">
        <v>2740</v>
      </c>
    </row>
    <row r="2065" spans="2:38">
      <c r="C2065" s="26"/>
      <c r="D2065" s="26"/>
      <c r="E2065" s="60"/>
      <c r="F2065" s="10"/>
      <c r="G2065" s="90"/>
      <c r="H2065" s="10"/>
      <c r="I2065" s="87"/>
      <c r="J2065" s="8"/>
      <c r="K2065" s="87"/>
      <c r="L2065" s="48"/>
      <c r="M2065" s="48"/>
      <c r="N2065" s="48"/>
      <c r="O2065" s="48"/>
      <c r="P2065" s="48"/>
      <c r="Q2065" s="48"/>
      <c r="R2065" s="48"/>
      <c r="S2065" s="48"/>
    </row>
    <row r="2066" spans="2:38">
      <c r="B2066" s="220" t="str">
        <f>IF($C$1="ENG","For additonal charge:","Послуги за додаткову плату:")</f>
        <v>Послуги за додаткову плату:</v>
      </c>
      <c r="C2066" s="221"/>
      <c r="D2066" s="221"/>
      <c r="E2066" s="222"/>
      <c r="F2066" s="39"/>
      <c r="G2066" s="39"/>
      <c r="H2066" s="10"/>
      <c r="I2066" s="87"/>
      <c r="J2066" s="8"/>
      <c r="K2066" s="8"/>
      <c r="L2066" s="109"/>
      <c r="M2066" s="87"/>
      <c r="N2066" s="109"/>
      <c r="P2066" s="109"/>
      <c r="Q2066" s="87"/>
      <c r="R2066" s="109"/>
      <c r="U2066" s="87"/>
    </row>
    <row r="2067" spans="2:38" ht="5.0999999999999996" customHeight="1">
      <c r="B2067" s="27"/>
      <c r="C2067" s="26"/>
      <c r="D2067" s="26"/>
      <c r="E2067" s="60"/>
      <c r="F2067" s="26"/>
      <c r="G2067" s="26"/>
      <c r="H2067" s="10"/>
      <c r="I2067" s="8"/>
      <c r="J2067" s="8"/>
      <c r="K2067" s="8"/>
      <c r="M2067" s="8"/>
      <c r="Q2067" s="8"/>
      <c r="U2067" s="8"/>
    </row>
    <row r="2068" spans="2:38">
      <c r="B2068" s="435" t="str">
        <f>IF($C$1="ENG","third door hindge","третя завіса")</f>
        <v>третя завіса</v>
      </c>
      <c r="C2068" s="436"/>
      <c r="D2068" s="15">
        <f>IF(AC2068="","",(1-$W$2)*(AC2068/1.2))</f>
        <v>66.666666666666671</v>
      </c>
      <c r="E2068" s="67">
        <f>IF($W$5=0.2,D2068*1.2,D2068)/$W$4</f>
        <v>80</v>
      </c>
      <c r="F2068" s="26"/>
      <c r="G2068" s="26"/>
      <c r="H2068" s="10"/>
      <c r="I2068" s="87"/>
      <c r="J2068" s="8"/>
      <c r="K2068" s="26"/>
      <c r="L2068" s="109"/>
      <c r="M2068" s="87"/>
      <c r="N2068" s="109"/>
      <c r="O2068" s="26"/>
      <c r="P2068" s="109"/>
      <c r="Q2068" s="87"/>
      <c r="R2068" s="109"/>
      <c r="S2068" s="26"/>
      <c r="U2068" s="87"/>
      <c r="W2068" s="26"/>
      <c r="AC2068" s="310">
        <v>80</v>
      </c>
      <c r="AD2068" s="301"/>
      <c r="AE2068" s="301">
        <f>AD2068/AC2068-1</f>
        <v>-1</v>
      </c>
      <c r="AF2068" s="301"/>
      <c r="AG2068" s="301"/>
      <c r="AH2068" s="301"/>
      <c r="AI2068" s="301"/>
      <c r="AJ2068" s="301"/>
      <c r="AK2068" s="301"/>
      <c r="AL2068" s="301"/>
    </row>
    <row r="2069" spans="2:38">
      <c r="B2069" s="435" t="str">
        <f>IF($C$1="ENG","wooden door threshold","поріг сосновий")</f>
        <v>поріг сосновий</v>
      </c>
      <c r="C2069" s="436"/>
      <c r="D2069" s="25">
        <f>IF(AC2069="","",(1-$W$2)*(AC2069/1.2))</f>
        <v>458.33333333333337</v>
      </c>
      <c r="E2069" s="72">
        <f>IF($W$5=0.2,D2069*1.2,D2069)/$W$4</f>
        <v>550</v>
      </c>
      <c r="F2069" s="26"/>
      <c r="G2069" s="26"/>
      <c r="I2069" s="20"/>
      <c r="K2069" s="26"/>
      <c r="M2069" s="20"/>
      <c r="O2069" s="26"/>
      <c r="Q2069" s="20"/>
      <c r="S2069" s="26"/>
      <c r="U2069" s="20"/>
      <c r="W2069" s="26"/>
      <c r="AC2069" s="346">
        <v>550</v>
      </c>
      <c r="AD2069" s="301"/>
      <c r="AE2069" s="301">
        <f>AD2069/AC2069-1</f>
        <v>-1</v>
      </c>
      <c r="AF2069" s="301"/>
      <c r="AG2069" s="301"/>
      <c r="AH2069" s="301"/>
      <c r="AI2069" s="301"/>
      <c r="AJ2069" s="301"/>
      <c r="AK2069" s="301"/>
      <c r="AL2069" s="301"/>
    </row>
    <row r="2070" spans="2:38" ht="14.25" customHeight="1">
      <c r="M2070" s="20"/>
      <c r="Q2070" s="20"/>
      <c r="T2070" s="465" t="str">
        <f>IF($C$1="ENG",CONCATENATE("down to: ",B2120),CONCATENATE("вниз до: ",B2120))</f>
        <v>вниз до: Дверна коробка Verto-FIT</v>
      </c>
      <c r="U2070" s="465"/>
      <c r="V2070" s="465"/>
      <c r="W2070" s="465"/>
    </row>
    <row r="2071" spans="2:38" ht="14.25" customHeight="1">
      <c r="C2071" s="26"/>
      <c r="D2071" s="26"/>
      <c r="E2071" s="26"/>
      <c r="F2071" s="26"/>
      <c r="G2071" s="26"/>
      <c r="H2071" s="5"/>
      <c r="I2071" s="20"/>
      <c r="M2071" s="20"/>
      <c r="O2071" s="60"/>
      <c r="Q2071" s="20"/>
      <c r="S2071" s="60"/>
      <c r="T2071" s="33"/>
      <c r="U2071" s="20"/>
      <c r="V2071" s="33"/>
      <c r="W2071" s="33"/>
    </row>
    <row r="2072" spans="2:38" ht="14.25" customHeight="1">
      <c r="C2072" s="26"/>
      <c r="D2072" s="26"/>
      <c r="E2072" s="26"/>
      <c r="F2072" s="26"/>
      <c r="G2072" s="60"/>
      <c r="H2072" s="5"/>
      <c r="I2072" s="20"/>
      <c r="K2072" s="60"/>
      <c r="M2072" s="60"/>
      <c r="O2072" s="60"/>
      <c r="Q2072" s="60"/>
      <c r="S2072" s="60"/>
      <c r="T2072" s="33"/>
      <c r="U2072" s="33"/>
      <c r="V2072" s="33"/>
      <c r="W2072" s="60"/>
    </row>
    <row r="2073" spans="2:38" ht="14.25" customHeight="1">
      <c r="C2073" s="26"/>
      <c r="D2073" s="26"/>
      <c r="E2073" s="60"/>
      <c r="F2073" s="26"/>
      <c r="G2073" s="60"/>
      <c r="H2073" s="5"/>
      <c r="I2073" s="60"/>
      <c r="K2073" s="60"/>
      <c r="L2073" s="290"/>
      <c r="O2073" s="60"/>
      <c r="P2073" s="290"/>
      <c r="S2073" s="60"/>
      <c r="T2073" s="290"/>
      <c r="U2073" s="33"/>
      <c r="V2073" s="33"/>
      <c r="W2073" s="60"/>
      <c r="X2073" s="290"/>
      <c r="Y2073" s="290"/>
      <c r="Z2073" s="290"/>
      <c r="AA2073" s="290"/>
      <c r="AB2073" s="290"/>
    </row>
    <row r="2074" spans="2:38" ht="14.25" customHeight="1">
      <c r="C2074" s="26"/>
      <c r="D2074" s="26"/>
      <c r="E2074" s="26"/>
      <c r="F2074" s="26"/>
      <c r="G2074" s="60"/>
      <c r="H2074" s="290"/>
      <c r="K2074" s="60"/>
      <c r="L2074" s="290"/>
      <c r="O2074" s="26"/>
      <c r="P2074" s="290"/>
      <c r="S2074" s="26"/>
      <c r="T2074" s="290"/>
      <c r="U2074" s="33"/>
      <c r="V2074" s="33"/>
      <c r="W2074" s="26"/>
      <c r="X2074" s="290"/>
      <c r="Y2074" s="290"/>
      <c r="Z2074" s="290"/>
      <c r="AA2074" s="290"/>
      <c r="AB2074" s="290"/>
    </row>
    <row r="2075" spans="2:38" ht="14.25" customHeight="1">
      <c r="C2075" s="26"/>
      <c r="D2075" s="26"/>
      <c r="E2075" s="26"/>
      <c r="F2075" s="26"/>
      <c r="G2075" s="26"/>
      <c r="H2075" s="290"/>
      <c r="K2075" s="26"/>
      <c r="M2075" s="60"/>
      <c r="O2075" s="60"/>
      <c r="Q2075" s="60"/>
      <c r="S2075" s="60"/>
      <c r="T2075" s="33"/>
      <c r="U2075" s="33"/>
      <c r="V2075" s="33"/>
      <c r="W2075" s="60"/>
      <c r="X2075" s="5"/>
      <c r="Y2075" s="5"/>
      <c r="Z2075" s="5"/>
      <c r="AA2075" s="5"/>
      <c r="AB2075" s="5"/>
    </row>
    <row r="2076" spans="2:38" ht="14.25" customHeight="1">
      <c r="C2076" s="26"/>
      <c r="D2076" s="26"/>
      <c r="E2076" s="26"/>
      <c r="F2076" s="26"/>
      <c r="G2076" s="60"/>
      <c r="H2076" s="5"/>
      <c r="I2076" s="60"/>
      <c r="K2076" s="60"/>
      <c r="L2076" s="290"/>
      <c r="O2076" s="60"/>
      <c r="P2076" s="290"/>
      <c r="S2076" s="60"/>
      <c r="T2076" s="290"/>
      <c r="U2076" s="33"/>
      <c r="V2076" s="33"/>
      <c r="W2076" s="60"/>
      <c r="X2076" s="290"/>
      <c r="Y2076" s="290"/>
      <c r="Z2076" s="290"/>
      <c r="AA2076" s="290"/>
      <c r="AB2076" s="290"/>
    </row>
    <row r="2077" spans="2:38" ht="14.25" customHeight="1">
      <c r="C2077" s="26"/>
      <c r="D2077" s="26"/>
      <c r="E2077" s="26"/>
      <c r="F2077" s="26"/>
      <c r="G2077" s="60"/>
      <c r="H2077" s="290"/>
      <c r="K2077" s="60"/>
      <c r="L2077" s="290"/>
      <c r="O2077" s="26"/>
      <c r="P2077" s="290"/>
      <c r="S2077" s="26"/>
      <c r="T2077" s="290"/>
      <c r="U2077" s="33"/>
      <c r="V2077" s="33"/>
      <c r="W2077" s="26"/>
      <c r="X2077" s="290"/>
      <c r="Y2077" s="290"/>
      <c r="Z2077" s="290"/>
      <c r="AA2077" s="290"/>
      <c r="AB2077" s="290"/>
    </row>
    <row r="2078" spans="2:38" ht="14.25" customHeight="1">
      <c r="C2078" s="26"/>
      <c r="D2078" s="26"/>
      <c r="E2078" s="26"/>
      <c r="F2078" s="26"/>
      <c r="G2078" s="26"/>
      <c r="H2078" s="290"/>
      <c r="K2078" s="26"/>
    </row>
    <row r="2079" spans="2:38" ht="14.25" customHeight="1">
      <c r="C2079" s="26"/>
      <c r="D2079" s="26"/>
      <c r="E2079" s="26"/>
      <c r="F2079" s="26"/>
      <c r="G2079" s="26"/>
      <c r="H2079" s="5"/>
    </row>
    <row r="2080" spans="2:38" ht="14.25" customHeight="1">
      <c r="C2080" s="26"/>
      <c r="D2080" s="26"/>
      <c r="E2080" s="26"/>
      <c r="F2080" s="26"/>
      <c r="G2080" s="26"/>
      <c r="H2080" s="5"/>
    </row>
    <row r="2081" spans="3:8" ht="14.25" customHeight="1">
      <c r="C2081" s="26"/>
      <c r="D2081" s="26"/>
      <c r="E2081" s="26"/>
      <c r="F2081" s="26"/>
      <c r="G2081" s="26"/>
      <c r="H2081" s="5"/>
    </row>
    <row r="2082" spans="3:8" ht="14.25" customHeight="1">
      <c r="C2082" s="26"/>
      <c r="D2082" s="26"/>
      <c r="E2082" s="26"/>
      <c r="F2082" s="26"/>
      <c r="G2082" s="26"/>
      <c r="H2082" s="5"/>
    </row>
    <row r="2083" spans="3:8" ht="14.25" customHeight="1">
      <c r="C2083" s="26"/>
      <c r="D2083" s="26"/>
      <c r="E2083" s="26"/>
      <c r="F2083" s="26"/>
      <c r="G2083" s="26"/>
      <c r="H2083" s="5"/>
    </row>
    <row r="2084" spans="3:8" ht="14.25" customHeight="1">
      <c r="C2084" s="26"/>
      <c r="D2084" s="26"/>
      <c r="E2084" s="26"/>
      <c r="F2084" s="26"/>
      <c r="G2084" s="26"/>
      <c r="H2084" s="5"/>
    </row>
    <row r="2085" spans="3:8" ht="14.25" customHeight="1">
      <c r="C2085" s="26"/>
      <c r="D2085" s="26"/>
      <c r="E2085" s="26"/>
      <c r="F2085" s="26"/>
      <c r="G2085" s="26"/>
      <c r="H2085" s="5"/>
    </row>
    <row r="2086" spans="3:8" ht="14.25" customHeight="1">
      <c r="C2086" s="26"/>
      <c r="D2086" s="26"/>
      <c r="E2086" s="26"/>
      <c r="F2086" s="26"/>
      <c r="G2086" s="26"/>
      <c r="H2086" s="5"/>
    </row>
    <row r="2087" spans="3:8" ht="14.25" customHeight="1">
      <c r="C2087" s="26"/>
      <c r="D2087" s="26"/>
      <c r="E2087" s="26"/>
      <c r="F2087" s="26"/>
      <c r="G2087" s="26"/>
      <c r="H2087" s="5"/>
    </row>
    <row r="2088" spans="3:8" ht="14.25" customHeight="1">
      <c r="C2088" s="26"/>
      <c r="D2088" s="26"/>
      <c r="E2088" s="26"/>
      <c r="F2088" s="26"/>
      <c r="G2088" s="26"/>
      <c r="H2088" s="5"/>
    </row>
    <row r="2089" spans="3:8" ht="14.25" customHeight="1">
      <c r="C2089" s="26"/>
      <c r="D2089" s="26"/>
      <c r="E2089" s="26"/>
      <c r="F2089" s="26"/>
      <c r="G2089" s="26"/>
      <c r="H2089" s="5"/>
    </row>
    <row r="2090" spans="3:8" ht="14.25" customHeight="1">
      <c r="C2090" s="26"/>
      <c r="D2090" s="26"/>
      <c r="E2090" s="26"/>
      <c r="F2090" s="26"/>
      <c r="G2090" s="26"/>
      <c r="H2090" s="5"/>
    </row>
    <row r="2091" spans="3:8" ht="14.25" customHeight="1">
      <c r="C2091" s="26"/>
      <c r="D2091" s="26"/>
      <c r="E2091" s="26"/>
      <c r="F2091" s="26"/>
      <c r="G2091" s="26"/>
      <c r="H2091" s="5"/>
    </row>
    <row r="2092" spans="3:8" ht="14.25" customHeight="1">
      <c r="C2092" s="26"/>
      <c r="D2092" s="26"/>
      <c r="E2092" s="26"/>
      <c r="F2092" s="26"/>
      <c r="G2092" s="26"/>
      <c r="H2092" s="5"/>
    </row>
    <row r="2093" spans="3:8" ht="14.25" customHeight="1">
      <c r="C2093" s="26"/>
      <c r="D2093" s="26"/>
      <c r="E2093" s="26"/>
      <c r="F2093" s="26"/>
      <c r="G2093" s="26"/>
      <c r="H2093" s="5"/>
    </row>
    <row r="2094" spans="3:8" ht="14.25" customHeight="1">
      <c r="C2094" s="26"/>
      <c r="D2094" s="26"/>
      <c r="E2094" s="26"/>
      <c r="F2094" s="26"/>
      <c r="G2094" s="26"/>
      <c r="H2094" s="5"/>
    </row>
    <row r="2095" spans="3:8" ht="14.25" customHeight="1">
      <c r="C2095" s="26"/>
      <c r="D2095" s="26"/>
      <c r="E2095" s="26"/>
      <c r="F2095" s="26"/>
      <c r="G2095" s="26"/>
      <c r="H2095" s="5"/>
    </row>
    <row r="2096" spans="3:8" ht="14.25" customHeight="1">
      <c r="C2096" s="26"/>
      <c r="D2096" s="26"/>
      <c r="E2096" s="26"/>
      <c r="F2096" s="26"/>
      <c r="G2096" s="26"/>
      <c r="H2096" s="5"/>
    </row>
    <row r="2097" spans="3:23" ht="14.25" customHeight="1">
      <c r="C2097" s="26"/>
      <c r="D2097" s="26"/>
      <c r="E2097" s="26"/>
      <c r="F2097" s="26"/>
      <c r="G2097" s="26"/>
      <c r="H2097" s="5"/>
    </row>
    <row r="2098" spans="3:23" ht="14.25" customHeight="1">
      <c r="C2098" s="26"/>
      <c r="D2098" s="26"/>
      <c r="E2098" s="26"/>
      <c r="F2098" s="26"/>
      <c r="G2098" s="26"/>
      <c r="H2098" s="5"/>
    </row>
    <row r="2099" spans="3:23" ht="14.25" customHeight="1">
      <c r="C2099" s="26"/>
      <c r="D2099" s="26"/>
      <c r="E2099" s="26"/>
      <c r="F2099" s="26"/>
      <c r="G2099" s="26"/>
      <c r="H2099" s="5"/>
    </row>
    <row r="2100" spans="3:23" ht="14.25" customHeight="1">
      <c r="C2100" s="26"/>
      <c r="D2100" s="26"/>
      <c r="E2100" s="26"/>
      <c r="F2100" s="26"/>
      <c r="G2100" s="26"/>
      <c r="H2100" s="5"/>
    </row>
    <row r="2101" spans="3:23" ht="14.25" customHeight="1">
      <c r="C2101" s="26"/>
      <c r="D2101" s="26"/>
      <c r="E2101" s="26"/>
      <c r="F2101" s="26"/>
      <c r="G2101" s="26"/>
      <c r="H2101" s="5"/>
    </row>
    <row r="2102" spans="3:23" ht="14.25" customHeight="1">
      <c r="C2102" s="26"/>
      <c r="D2102" s="26"/>
      <c r="E2102" s="26"/>
      <c r="F2102" s="26"/>
      <c r="G2102" s="26"/>
      <c r="H2102" s="5"/>
    </row>
    <row r="2103" spans="3:23" ht="14.25" customHeight="1">
      <c r="C2103" s="26"/>
      <c r="D2103" s="26"/>
      <c r="E2103" s="26"/>
      <c r="F2103" s="26"/>
      <c r="G2103" s="26"/>
      <c r="H2103" s="5"/>
    </row>
    <row r="2104" spans="3:23" ht="14.25" customHeight="1">
      <c r="C2104" s="26"/>
      <c r="D2104" s="26"/>
      <c r="E2104" s="26"/>
      <c r="F2104" s="26"/>
      <c r="G2104" s="26"/>
      <c r="H2104" s="5"/>
    </row>
    <row r="2105" spans="3:23" ht="14.25" customHeight="1">
      <c r="C2105" s="26"/>
      <c r="D2105" s="26"/>
      <c r="E2105" s="26"/>
      <c r="F2105" s="26"/>
      <c r="G2105" s="26"/>
      <c r="H2105" s="5"/>
    </row>
    <row r="2106" spans="3:23" ht="14.25" customHeight="1">
      <c r="C2106" s="26"/>
      <c r="D2106" s="26"/>
      <c r="E2106" s="26"/>
      <c r="F2106" s="26"/>
      <c r="G2106" s="60"/>
      <c r="H2106" s="5"/>
      <c r="K2106" s="60"/>
      <c r="O2106" s="60"/>
      <c r="S2106" s="60"/>
      <c r="W2106" s="60"/>
    </row>
    <row r="2107" spans="3:23" ht="14.25" customHeight="1">
      <c r="C2107" s="26"/>
      <c r="D2107" s="26"/>
      <c r="E2107" s="26"/>
      <c r="F2107" s="26"/>
      <c r="G2107" s="60"/>
      <c r="H2107" s="5"/>
      <c r="K2107" s="60"/>
      <c r="O2107" s="60"/>
      <c r="S2107" s="60"/>
      <c r="W2107" s="60"/>
    </row>
    <row r="2108" spans="3:23" ht="14.25" customHeight="1">
      <c r="C2108" s="26"/>
      <c r="D2108" s="26"/>
      <c r="E2108" s="26"/>
      <c r="F2108" s="26"/>
      <c r="G2108" s="60"/>
      <c r="H2108" s="5"/>
      <c r="K2108" s="60"/>
      <c r="O2108" s="60"/>
      <c r="S2108" s="60"/>
      <c r="W2108" s="60"/>
    </row>
    <row r="2109" spans="3:23" ht="14.25" customHeight="1">
      <c r="C2109" s="26"/>
      <c r="D2109" s="26"/>
      <c r="E2109" s="26"/>
      <c r="F2109" s="26"/>
      <c r="G2109" s="60"/>
      <c r="H2109" s="5"/>
      <c r="K2109" s="60"/>
      <c r="O2109" s="60"/>
      <c r="S2109" s="60"/>
      <c r="W2109" s="60"/>
    </row>
    <row r="2110" spans="3:23" ht="14.25" customHeight="1">
      <c r="C2110" s="26"/>
      <c r="D2110" s="26"/>
      <c r="E2110" s="26"/>
      <c r="F2110" s="26"/>
      <c r="G2110" s="60"/>
      <c r="H2110" s="5"/>
      <c r="K2110" s="60"/>
      <c r="O2110" s="60"/>
      <c r="S2110" s="60"/>
      <c r="W2110" s="60"/>
    </row>
    <row r="2111" spans="3:23" ht="14.25" customHeight="1">
      <c r="C2111" s="26"/>
      <c r="D2111" s="26"/>
      <c r="E2111" s="26"/>
      <c r="F2111" s="26"/>
      <c r="G2111" s="60"/>
      <c r="H2111" s="5"/>
      <c r="K2111" s="60"/>
      <c r="O2111" s="60"/>
      <c r="S2111" s="60"/>
      <c r="W2111" s="60"/>
    </row>
    <row r="2112" spans="3:23" ht="14.25" customHeight="1">
      <c r="C2112" s="26"/>
      <c r="D2112" s="26"/>
      <c r="E2112" s="26"/>
      <c r="F2112" s="26"/>
      <c r="G2112" s="60"/>
      <c r="H2112" s="5"/>
      <c r="K2112" s="60"/>
      <c r="O2112" s="60"/>
      <c r="S2112" s="60"/>
      <c r="W2112" s="60"/>
    </row>
    <row r="2113" spans="1:58" ht="14.25" customHeight="1">
      <c r="C2113" s="26"/>
      <c r="D2113" s="26"/>
      <c r="E2113" s="26"/>
      <c r="F2113" s="26"/>
      <c r="G2113" s="60"/>
      <c r="H2113" s="5"/>
      <c r="K2113" s="60"/>
      <c r="O2113" s="60"/>
      <c r="S2113" s="60"/>
      <c r="W2113" s="60"/>
    </row>
    <row r="2114" spans="1:58" ht="14.25" customHeight="1">
      <c r="C2114" s="26"/>
      <c r="D2114" s="26"/>
      <c r="E2114" s="26"/>
      <c r="F2114" s="26"/>
      <c r="G2114" s="60"/>
      <c r="H2114" s="5"/>
      <c r="K2114" s="60"/>
      <c r="O2114" s="60"/>
      <c r="S2114" s="60"/>
      <c r="W2114" s="60"/>
    </row>
    <row r="2115" spans="1:58" ht="14.25" customHeight="1">
      <c r="C2115" s="26"/>
      <c r="D2115" s="26"/>
      <c r="E2115" s="26"/>
      <c r="F2115" s="26"/>
      <c r="G2115" s="60"/>
      <c r="H2115" s="5"/>
      <c r="K2115" s="60"/>
      <c r="O2115" s="60"/>
      <c r="S2115" s="60"/>
      <c r="W2115" s="60"/>
    </row>
    <row r="2116" spans="1:58" ht="14.25" customHeight="1">
      <c r="C2116" s="26"/>
      <c r="D2116" s="26"/>
      <c r="E2116" s="26"/>
      <c r="F2116" s="26"/>
      <c r="G2116" s="60"/>
      <c r="H2116" s="5"/>
      <c r="K2116" s="60"/>
      <c r="O2116" s="60"/>
      <c r="S2116" s="60"/>
      <c r="W2116" s="60"/>
    </row>
    <row r="2117" spans="1:58" ht="14.25" customHeight="1">
      <c r="C2117" s="26"/>
      <c r="D2117" s="26"/>
      <c r="E2117" s="26"/>
      <c r="F2117" s="26"/>
      <c r="G2117" s="60"/>
      <c r="H2117" s="5"/>
      <c r="K2117" s="60"/>
      <c r="O2117" s="60"/>
      <c r="S2117" s="60"/>
      <c r="W2117" s="60"/>
    </row>
    <row r="2118" spans="1:58" ht="14.25" customHeight="1">
      <c r="C2118" s="26"/>
      <c r="D2118" s="26"/>
      <c r="E2118" s="60"/>
      <c r="F2118" s="26"/>
      <c r="G2118" s="60"/>
      <c r="H2118" s="5"/>
      <c r="K2118" s="60"/>
      <c r="O2118" s="60"/>
      <c r="S2118" s="60"/>
      <c r="W2118" s="60"/>
    </row>
    <row r="2119" spans="1:58" ht="14.25" customHeight="1">
      <c r="C2119" s="26"/>
      <c r="D2119" s="61"/>
      <c r="E2119" s="61"/>
      <c r="F2119" s="61"/>
      <c r="G2119" s="61"/>
      <c r="H2119" s="61"/>
      <c r="I2119" s="61"/>
      <c r="J2119" s="61"/>
      <c r="K2119" s="61"/>
      <c r="L2119" s="61"/>
      <c r="M2119" s="61"/>
      <c r="N2119" s="61"/>
      <c r="O2119" s="61"/>
      <c r="P2119" s="61"/>
      <c r="Q2119" s="61"/>
      <c r="R2119" s="61"/>
      <c r="S2119" s="61"/>
      <c r="T2119" s="61"/>
      <c r="U2119" s="61"/>
      <c r="V2119" s="61">
        <f t="shared" ref="F2119:V2119" si="188">V2133/100*40</f>
        <v>2806.666666666667</v>
      </c>
      <c r="W2119" s="61"/>
    </row>
    <row r="2120" spans="1:58" s="8" customFormat="1">
      <c r="B2120" s="428" t="str">
        <f>TITLE!$C$41</f>
        <v>Дверна коробка Verto-FIT</v>
      </c>
      <c r="C2120" s="421"/>
      <c r="D2120" s="122"/>
      <c r="E2120" s="437" t="str">
        <f>IF($C$1="ENG","For Door Leafs with Rebbit","Для Дверних Полотен с Фальцем")</f>
        <v>Для Дверних Полотен с Фальцем</v>
      </c>
      <c r="F2120" s="437"/>
      <c r="G2120" s="437"/>
      <c r="H2120" s="437"/>
      <c r="I2120" s="437"/>
      <c r="J2120" s="437"/>
      <c r="K2120" s="437"/>
      <c r="L2120" s="445"/>
      <c r="M2120" s="445"/>
      <c r="N2120" s="445"/>
      <c r="O2120" s="445"/>
      <c r="P2120" s="445"/>
      <c r="Q2120" s="445"/>
      <c r="R2120" s="445"/>
      <c r="S2120" s="445"/>
      <c r="T2120" s="419" t="str">
        <f>IF($C$1="ENG",CONCATENATE("up to: ",B2052),CONCATENATE("вгору до: ",B2052))</f>
        <v>вгору до: Дверна коробка STANDARD</v>
      </c>
      <c r="U2120" s="419"/>
      <c r="V2120" s="419"/>
      <c r="W2120" s="419"/>
      <c r="AC2120" s="1"/>
      <c r="AF2120" s="1"/>
      <c r="AN2120" s="291"/>
      <c r="AO2120" s="291"/>
      <c r="AP2120" s="291"/>
      <c r="AQ2120" s="291"/>
      <c r="AR2120" s="291"/>
      <c r="AS2120" s="291"/>
      <c r="AT2120" s="291"/>
    </row>
    <row r="2121" spans="1:58" s="8" customFormat="1" ht="5.0999999999999996" customHeight="1">
      <c r="T2121" s="120"/>
      <c r="U2121" s="120"/>
      <c r="V2121" s="120"/>
      <c r="W2121" s="120"/>
      <c r="AC2121" s="1"/>
      <c r="AF2121" s="1"/>
      <c r="AN2121" s="291"/>
      <c r="AO2121" s="291"/>
      <c r="AP2121" s="291"/>
      <c r="AQ2121" s="291"/>
      <c r="AR2121" s="291"/>
      <c r="AS2121" s="291"/>
      <c r="AT2121" s="291"/>
    </row>
    <row r="2122" spans="1:58" ht="12.75" customHeight="1">
      <c r="A2122" s="8"/>
      <c r="B2122" s="319" t="str">
        <f>IF($C$1="ENG","model","модель")</f>
        <v>модель</v>
      </c>
      <c r="C2122" s="126" t="str">
        <f>IF($C$1="ENG","cover:","покриття:")</f>
        <v>покриття:</v>
      </c>
      <c r="D2122" s="430" t="str">
        <f>IF($C$1="ENG","SIMPLEX / VERTO-CELL / ","SIMPLEX / VERTO-CELL ")</f>
        <v xml:space="preserve">SIMPLEX / VERTO-CELL </v>
      </c>
      <c r="E2122" s="431"/>
      <c r="F2122" s="431"/>
      <c r="G2122" s="432"/>
      <c r="H2122" s="430" t="str">
        <f>IF($C$1="ENG","UNI-MAT","UNI-MAT")</f>
        <v>UNI-MAT</v>
      </c>
      <c r="I2122" s="431"/>
      <c r="J2122" s="431"/>
      <c r="K2122" s="432"/>
      <c r="L2122" s="430" t="str">
        <f>IF($C$1="ENG","RESIST","RESIST")</f>
        <v>RESIST</v>
      </c>
      <c r="M2122" s="431"/>
      <c r="N2122" s="431"/>
      <c r="O2122" s="432"/>
      <c r="P2122" s="430" t="str">
        <f>IF($C$1="ENG","Verto LINE-3D","Verto LINE-3D")</f>
        <v>Verto LINE-3D</v>
      </c>
      <c r="Q2122" s="431"/>
      <c r="R2122" s="431"/>
      <c r="S2122" s="432"/>
      <c r="T2122" s="430" t="str">
        <f>IF($C$1="ENG","ECO Shpon / LOFT","ЕКО Шпон / LOFT")</f>
        <v>ЕКО Шпон / LOFT</v>
      </c>
      <c r="U2122" s="431"/>
      <c r="V2122" s="431"/>
      <c r="W2122" s="432"/>
      <c r="AM2122" s="407"/>
      <c r="AO2122" s="406"/>
    </row>
    <row r="2123" spans="1:58" ht="12.75" customHeight="1">
      <c r="A2123" s="8"/>
      <c r="B2123" s="320"/>
      <c r="C2123" s="128" t="str">
        <f>IF($C$1="ENG","type:","виконання:")</f>
        <v>виконання:</v>
      </c>
      <c r="D2123" s="424" t="str">
        <f>IF($C$1="ENG","single leaf","одностулкове")</f>
        <v>одностулкове</v>
      </c>
      <c r="E2123" s="438"/>
      <c r="F2123" s="433" t="str">
        <f>IF($C$1="ENG","double leaf","двостулкові")</f>
        <v>двостулкові</v>
      </c>
      <c r="G2123" s="434"/>
      <c r="H2123" s="424" t="str">
        <f>IF($C$1="ENG","single leaf","одностулкове")</f>
        <v>одностулкове</v>
      </c>
      <c r="I2123" s="438"/>
      <c r="J2123" s="433" t="str">
        <f>IF($C$1="ENG","double leaf","двостулкові")</f>
        <v>двостулкові</v>
      </c>
      <c r="K2123" s="434"/>
      <c r="L2123" s="424" t="str">
        <f>IF($C$1="ENG","single leaf","одностулкове")</f>
        <v>одностулкове</v>
      </c>
      <c r="M2123" s="438"/>
      <c r="N2123" s="467" t="str">
        <f>IF($C$1="ENG","double leaf","двостулкові")</f>
        <v>двостулкові</v>
      </c>
      <c r="O2123" s="434"/>
      <c r="P2123" s="424" t="str">
        <f>IF($C$1="ENG","single leaf","одностулкове")</f>
        <v>одностулкове</v>
      </c>
      <c r="Q2123" s="438"/>
      <c r="R2123" s="467" t="str">
        <f>IF($C$1="ENG","double leaf","двостулкові")</f>
        <v>двостулкові</v>
      </c>
      <c r="S2123" s="434"/>
      <c r="T2123" s="424" t="str">
        <f>IF($C$1="ENG","single leaf","одностулкове")</f>
        <v>одностулкове</v>
      </c>
      <c r="U2123" s="438"/>
      <c r="V2123" s="467" t="str">
        <f>IF($C$1="ENG","double leaf","двостулкові")</f>
        <v>двостулкові</v>
      </c>
      <c r="W2123" s="467"/>
      <c r="X2123" s="48"/>
      <c r="Y2123" s="48"/>
      <c r="Z2123" s="48"/>
      <c r="AA2123" s="48"/>
      <c r="AE2123" s="1">
        <f>AE2124/AC2124-1</f>
        <v>0.15436241610738266</v>
      </c>
      <c r="AM2123" s="407"/>
    </row>
    <row r="2124" spans="1:58" ht="12.75" customHeight="1">
      <c r="A2124" s="8"/>
      <c r="B2124" s="13" t="str">
        <f>IF($C$1="ENG","A (75 - 95 mm)","A (75 - 95 мм)")</f>
        <v>A (75 - 95 мм)</v>
      </c>
      <c r="C2124" s="160"/>
      <c r="D2124" s="15">
        <f t="shared" ref="D2124:D2133" si="189">IF(AC2124="","",(1-$W$2)*(AC2124/1.2))</f>
        <v>2483.3333333333335</v>
      </c>
      <c r="E2124" s="276">
        <f t="shared" ref="E2124:E2133" si="190">IF($W$5=0.2,D2124*1.2,D2124)/$W$4</f>
        <v>2980</v>
      </c>
      <c r="F2124" s="279">
        <f t="shared" ref="F2124:F2133" si="191">IF(AD2124="","",(1-$W$2)*(AD2124/1.2))</f>
        <v>3475</v>
      </c>
      <c r="G2124" s="67">
        <f t="shared" ref="G2124:G2133" si="192">IF($W$5=0.2,F2124*1.2,F2124)/$W$4</f>
        <v>4170</v>
      </c>
      <c r="H2124" s="15">
        <f t="shared" ref="H2124:H2133" si="193">IF(AE2124="","",(1-$W$2)*(AE2124/1.2))</f>
        <v>2866.666666666667</v>
      </c>
      <c r="I2124" s="276">
        <f t="shared" ref="I2124:I2133" si="194">IF($W$5=0.2,H2124*1.2,H2124)/$W$4</f>
        <v>3440.0000000000005</v>
      </c>
      <c r="J2124" s="279">
        <f t="shared" ref="J2124:J2133" si="195">IF(AF2124="","",(1-$W$2)*(AF2124/1.2))</f>
        <v>4016.666666666667</v>
      </c>
      <c r="K2124" s="67">
        <f t="shared" ref="K2124:K2133" si="196">IF($W$5=0.2,J2124*1.2,J2124)/$W$4</f>
        <v>4820</v>
      </c>
      <c r="L2124" s="15">
        <f t="shared" ref="L2124:L2133" si="197">IF(AG2124="","",(1-$W$2)*(AG2124/1.2))</f>
        <v>2975</v>
      </c>
      <c r="M2124" s="276">
        <f t="shared" ref="M2124:M2133" si="198">IF($W$5=0.2,L2124*1.2,L2124)/$W$4</f>
        <v>3570</v>
      </c>
      <c r="N2124" s="279">
        <f t="shared" ref="N2124:N2133" si="199">IF(AH2124="","",(1-$W$2)*(AH2124/1.2))</f>
        <v>4158.3333333333339</v>
      </c>
      <c r="O2124" s="67">
        <f t="shared" ref="O2124:O2133" si="200">IF($W$5=0.2,N2124*1.2,N2124)/$W$4</f>
        <v>4990.0000000000009</v>
      </c>
      <c r="P2124" s="15">
        <f t="shared" ref="P2124:P2133" si="201">IF(AI2124="","",(1-$W$2)*(AI2124/1.2))</f>
        <v>3166.666666666667</v>
      </c>
      <c r="Q2124" s="276">
        <f t="shared" ref="Q2124:Q2133" si="202">IF($W$5=0.2,P2124*1.2,P2124)/$W$4</f>
        <v>3800</v>
      </c>
      <c r="R2124" s="279">
        <f t="shared" ref="R2124:R2133" si="203">IF(AJ2124="","",(1-$W$2)*(AJ2124/1.2))</f>
        <v>4433.3333333333339</v>
      </c>
      <c r="S2124" s="67">
        <f t="shared" ref="S2124:S2133" si="204">IF($W$5=0.2,R2124*1.2,R2124)/$W$4</f>
        <v>5320.0000000000009</v>
      </c>
      <c r="T2124" s="15">
        <f t="shared" ref="T2124:T2133" si="205">IF(AK2124="","",(1-$W$2)*(AK2124/1.2))</f>
        <v>3383.3333333333335</v>
      </c>
      <c r="U2124" s="276">
        <f t="shared" ref="U2124:U2133" si="206">IF($W$5=0.2,T2124*1.2,T2124)/$W$4</f>
        <v>4060</v>
      </c>
      <c r="V2124" s="279">
        <f t="shared" ref="V2124:V2133" si="207">IF(AL2124="","",(1-$W$2)*(AL2124/1.2))</f>
        <v>4983.3333333333339</v>
      </c>
      <c r="W2124" s="498">
        <f t="shared" ref="W2124:W2133" si="208">IF($W$5=0.2,V2124*1.2,V2124)/$W$4</f>
        <v>5980.0000000000009</v>
      </c>
      <c r="X2124" s="497"/>
      <c r="Y2124" s="497"/>
      <c r="Z2124" s="497"/>
      <c r="AA2124" s="497"/>
      <c r="AB2124" s="22"/>
      <c r="AC2124" s="346">
        <v>2980</v>
      </c>
      <c r="AD2124" s="346">
        <v>4170</v>
      </c>
      <c r="AE2124" s="346">
        <v>3440</v>
      </c>
      <c r="AF2124" s="346">
        <v>4820</v>
      </c>
      <c r="AG2124" s="346">
        <v>3570</v>
      </c>
      <c r="AH2124" s="346">
        <v>4990</v>
      </c>
      <c r="AI2124" s="346">
        <v>3800</v>
      </c>
      <c r="AJ2124" s="346">
        <v>5320</v>
      </c>
      <c r="AK2124" s="346">
        <v>4060</v>
      </c>
      <c r="AL2124" s="346">
        <v>5980</v>
      </c>
      <c r="AM2124" s="348">
        <v>2980</v>
      </c>
      <c r="AN2124" s="323">
        <f>AM2124/AC2124-1</f>
        <v>0</v>
      </c>
      <c r="AO2124" s="348">
        <f>AM2124/100*40</f>
        <v>1192</v>
      </c>
      <c r="AP2124" s="495">
        <f>AO2124/AD2124-1</f>
        <v>-0.71414868105515583</v>
      </c>
      <c r="AQ2124" s="348">
        <v>3440</v>
      </c>
      <c r="AR2124" s="495">
        <f>AQ2124/AE2124-1</f>
        <v>0</v>
      </c>
      <c r="AS2124" s="348">
        <v>4820</v>
      </c>
      <c r="AT2124" s="495">
        <f>AS2124/AF2124-1</f>
        <v>0</v>
      </c>
      <c r="AU2124" s="348">
        <v>3570</v>
      </c>
      <c r="AV2124" s="495">
        <f>AU2124/AG2124-1</f>
        <v>0</v>
      </c>
      <c r="AW2124" s="348">
        <v>4990</v>
      </c>
      <c r="AX2124" s="495"/>
      <c r="AY2124" s="348"/>
      <c r="AZ2124" s="495"/>
      <c r="BA2124" s="348"/>
      <c r="BB2124" s="495"/>
      <c r="BC2124" s="348"/>
      <c r="BD2124" s="495"/>
      <c r="BE2124" s="348"/>
      <c r="BF2124" s="495"/>
    </row>
    <row r="2125" spans="1:58">
      <c r="A2125" s="8"/>
      <c r="B2125" s="16" t="str">
        <f>IF($C$1="ENG","B (95 - 115 mm)","B (95 - 115 мм)")</f>
        <v>B (95 - 115 мм)</v>
      </c>
      <c r="C2125" s="161"/>
      <c r="D2125" s="18">
        <f t="shared" si="189"/>
        <v>2633.3333333333335</v>
      </c>
      <c r="E2125" s="277">
        <f t="shared" si="190"/>
        <v>3160</v>
      </c>
      <c r="F2125" s="280">
        <f t="shared" si="191"/>
        <v>3683.3333333333335</v>
      </c>
      <c r="G2125" s="69">
        <f t="shared" si="192"/>
        <v>4420</v>
      </c>
      <c r="H2125" s="18">
        <f t="shared" si="193"/>
        <v>3033.3333333333335</v>
      </c>
      <c r="I2125" s="277">
        <f t="shared" si="194"/>
        <v>3640</v>
      </c>
      <c r="J2125" s="280">
        <f t="shared" si="195"/>
        <v>4250</v>
      </c>
      <c r="K2125" s="69">
        <f t="shared" si="196"/>
        <v>5100</v>
      </c>
      <c r="L2125" s="18">
        <f t="shared" si="197"/>
        <v>3166.666666666667</v>
      </c>
      <c r="M2125" s="277">
        <f t="shared" si="198"/>
        <v>3800</v>
      </c>
      <c r="N2125" s="280">
        <f t="shared" si="199"/>
        <v>4425</v>
      </c>
      <c r="O2125" s="69">
        <f t="shared" si="200"/>
        <v>5310</v>
      </c>
      <c r="P2125" s="18">
        <f t="shared" si="201"/>
        <v>3350</v>
      </c>
      <c r="Q2125" s="277">
        <f t="shared" si="202"/>
        <v>4020</v>
      </c>
      <c r="R2125" s="280">
        <f t="shared" si="203"/>
        <v>4683.3333333333339</v>
      </c>
      <c r="S2125" s="69">
        <f t="shared" si="204"/>
        <v>5620.0000000000009</v>
      </c>
      <c r="T2125" s="18">
        <f t="shared" si="205"/>
        <v>3583.3333333333335</v>
      </c>
      <c r="U2125" s="277">
        <f t="shared" si="206"/>
        <v>4300</v>
      </c>
      <c r="V2125" s="280">
        <f t="shared" si="207"/>
        <v>5016.666666666667</v>
      </c>
      <c r="W2125" s="499">
        <f t="shared" si="208"/>
        <v>6020</v>
      </c>
      <c r="X2125" s="497"/>
      <c r="Y2125" s="62"/>
      <c r="Z2125" s="28"/>
      <c r="AA2125" s="62"/>
      <c r="AB2125" s="22"/>
      <c r="AC2125" s="346">
        <v>3160</v>
      </c>
      <c r="AD2125" s="346">
        <v>4420</v>
      </c>
      <c r="AE2125" s="346">
        <v>3640</v>
      </c>
      <c r="AF2125" s="346">
        <v>5100</v>
      </c>
      <c r="AG2125" s="346">
        <v>3800</v>
      </c>
      <c r="AH2125" s="346">
        <v>5310</v>
      </c>
      <c r="AI2125" s="346">
        <v>4020</v>
      </c>
      <c r="AJ2125" s="346">
        <v>5620</v>
      </c>
      <c r="AK2125" s="346">
        <v>4300</v>
      </c>
      <c r="AL2125" s="346">
        <v>6020</v>
      </c>
      <c r="AM2125" s="348">
        <v>3160</v>
      </c>
      <c r="AN2125" s="323">
        <f t="shared" ref="AN2125:AN2133" si="209">AM2125/AC2125-1</f>
        <v>0</v>
      </c>
      <c r="AO2125" s="348">
        <f t="shared" ref="AO2125:AO2133" si="210">AM2125/100*40</f>
        <v>1264</v>
      </c>
      <c r="AP2125" s="495">
        <f t="shared" ref="AP2125:AP2133" si="211">AO2125/AD2125-1</f>
        <v>-0.71402714932126699</v>
      </c>
      <c r="AQ2125" s="348">
        <v>3640</v>
      </c>
      <c r="AR2125" s="495">
        <f t="shared" ref="AR2125:AR2133" si="212">AQ2125/AE2125-1</f>
        <v>0</v>
      </c>
      <c r="AS2125" s="348">
        <v>5100</v>
      </c>
      <c r="AT2125" s="495">
        <f t="shared" ref="AT2125:AT2133" si="213">AS2125/AF2125-1</f>
        <v>0</v>
      </c>
      <c r="AU2125" s="348">
        <v>3800</v>
      </c>
      <c r="AV2125" s="495">
        <f t="shared" ref="AV2125:AV2133" si="214">AU2125/AG2125-1</f>
        <v>0</v>
      </c>
      <c r="AW2125" s="348">
        <v>5310</v>
      </c>
      <c r="AX2125" s="495"/>
      <c r="AY2125" s="348"/>
      <c r="AZ2125" s="495"/>
      <c r="BA2125" s="348"/>
      <c r="BB2125" s="495"/>
      <c r="BC2125" s="348"/>
      <c r="BD2125" s="495"/>
      <c r="BE2125" s="348"/>
      <c r="BF2125" s="495"/>
    </row>
    <row r="2126" spans="1:58">
      <c r="A2126" s="8"/>
      <c r="B2126" s="16" t="str">
        <f>IF($C$1="ENG","B+ (100 - 120 mm)","B+ (100 - 120 мм)")</f>
        <v>B+ (100 - 120 мм)</v>
      </c>
      <c r="C2126" s="161"/>
      <c r="D2126" s="18">
        <f t="shared" si="189"/>
        <v>2733.3333333333335</v>
      </c>
      <c r="E2126" s="277">
        <f t="shared" si="190"/>
        <v>3280</v>
      </c>
      <c r="F2126" s="280">
        <f t="shared" si="191"/>
        <v>3825</v>
      </c>
      <c r="G2126" s="69">
        <f t="shared" si="192"/>
        <v>4590</v>
      </c>
      <c r="H2126" s="18">
        <f t="shared" si="193"/>
        <v>3133.3333333333335</v>
      </c>
      <c r="I2126" s="277">
        <f t="shared" si="194"/>
        <v>3760</v>
      </c>
      <c r="J2126" s="280">
        <f t="shared" si="195"/>
        <v>4391.666666666667</v>
      </c>
      <c r="K2126" s="69">
        <f t="shared" si="196"/>
        <v>5270</v>
      </c>
      <c r="L2126" s="18">
        <f t="shared" si="197"/>
        <v>3258.3333333333335</v>
      </c>
      <c r="M2126" s="277">
        <f t="shared" si="198"/>
        <v>3910</v>
      </c>
      <c r="N2126" s="280">
        <f t="shared" si="199"/>
        <v>4558.3333333333339</v>
      </c>
      <c r="O2126" s="69">
        <f t="shared" si="200"/>
        <v>5470.0000000000009</v>
      </c>
      <c r="P2126" s="18">
        <f t="shared" si="201"/>
        <v>3450</v>
      </c>
      <c r="Q2126" s="277">
        <f t="shared" si="202"/>
        <v>4140</v>
      </c>
      <c r="R2126" s="280">
        <f t="shared" si="203"/>
        <v>4825</v>
      </c>
      <c r="S2126" s="69">
        <f t="shared" si="204"/>
        <v>5790</v>
      </c>
      <c r="T2126" s="18">
        <f t="shared" si="205"/>
        <v>3683.3333333333335</v>
      </c>
      <c r="U2126" s="277">
        <f t="shared" si="206"/>
        <v>4420</v>
      </c>
      <c r="V2126" s="280">
        <f t="shared" si="207"/>
        <v>5150</v>
      </c>
      <c r="W2126" s="499">
        <f t="shared" si="208"/>
        <v>6180</v>
      </c>
      <c r="X2126" s="497"/>
      <c r="Y2126" s="62"/>
      <c r="Z2126" s="28"/>
      <c r="AA2126" s="62"/>
      <c r="AB2126" s="22"/>
      <c r="AC2126" s="346">
        <v>3280</v>
      </c>
      <c r="AD2126" s="346">
        <v>4590</v>
      </c>
      <c r="AE2126" s="346">
        <v>3760</v>
      </c>
      <c r="AF2126" s="346">
        <v>5270</v>
      </c>
      <c r="AG2126" s="346">
        <v>3910</v>
      </c>
      <c r="AH2126" s="346">
        <v>5470</v>
      </c>
      <c r="AI2126" s="346">
        <v>4140</v>
      </c>
      <c r="AJ2126" s="346">
        <v>5790</v>
      </c>
      <c r="AK2126" s="346">
        <v>4420</v>
      </c>
      <c r="AL2126" s="346">
        <v>6180</v>
      </c>
      <c r="AM2126" s="348">
        <v>3280</v>
      </c>
      <c r="AN2126" s="323">
        <f t="shared" si="209"/>
        <v>0</v>
      </c>
      <c r="AO2126" s="348">
        <f t="shared" si="210"/>
        <v>1312</v>
      </c>
      <c r="AP2126" s="495">
        <f t="shared" si="211"/>
        <v>-0.71416122004357296</v>
      </c>
      <c r="AQ2126" s="348">
        <v>3760</v>
      </c>
      <c r="AR2126" s="495">
        <f t="shared" si="212"/>
        <v>0</v>
      </c>
      <c r="AS2126" s="348">
        <v>5270</v>
      </c>
      <c r="AT2126" s="495">
        <f t="shared" si="213"/>
        <v>0</v>
      </c>
      <c r="AU2126" s="348">
        <v>3910</v>
      </c>
      <c r="AV2126" s="495">
        <f t="shared" si="214"/>
        <v>0</v>
      </c>
      <c r="AW2126" s="348">
        <v>5470</v>
      </c>
      <c r="AX2126" s="495"/>
      <c r="AY2126" s="348"/>
      <c r="AZ2126" s="495"/>
      <c r="BA2126" s="348"/>
      <c r="BB2126" s="495"/>
      <c r="BC2126" s="348"/>
      <c r="BD2126" s="495"/>
      <c r="BE2126" s="348"/>
      <c r="BF2126" s="495"/>
    </row>
    <row r="2127" spans="1:58">
      <c r="A2127" s="8"/>
      <c r="B2127" s="16" t="str">
        <f>IF($C$1="ENG","C (120 - 140 mm)","C (120 - 140 мм)")</f>
        <v>C (120 - 140 мм)</v>
      </c>
      <c r="C2127" s="161"/>
      <c r="D2127" s="18">
        <f t="shared" si="189"/>
        <v>2808.3333333333335</v>
      </c>
      <c r="E2127" s="277">
        <f t="shared" si="190"/>
        <v>3370</v>
      </c>
      <c r="F2127" s="280">
        <f t="shared" si="191"/>
        <v>3933.3333333333335</v>
      </c>
      <c r="G2127" s="69">
        <f t="shared" si="192"/>
        <v>4720</v>
      </c>
      <c r="H2127" s="18">
        <f t="shared" si="193"/>
        <v>3233.3333333333335</v>
      </c>
      <c r="I2127" s="277">
        <f t="shared" si="194"/>
        <v>3880</v>
      </c>
      <c r="J2127" s="280">
        <f t="shared" si="195"/>
        <v>4525</v>
      </c>
      <c r="K2127" s="69">
        <f t="shared" si="196"/>
        <v>5430</v>
      </c>
      <c r="L2127" s="18">
        <f t="shared" si="197"/>
        <v>3333.3333333333335</v>
      </c>
      <c r="M2127" s="277">
        <f t="shared" si="198"/>
        <v>4000</v>
      </c>
      <c r="N2127" s="280">
        <f t="shared" si="199"/>
        <v>4675</v>
      </c>
      <c r="O2127" s="69">
        <f t="shared" si="200"/>
        <v>5610</v>
      </c>
      <c r="P2127" s="18">
        <f t="shared" si="201"/>
        <v>3541.666666666667</v>
      </c>
      <c r="Q2127" s="277">
        <f t="shared" si="202"/>
        <v>4250</v>
      </c>
      <c r="R2127" s="280">
        <f t="shared" si="203"/>
        <v>4958.3333333333339</v>
      </c>
      <c r="S2127" s="69">
        <f t="shared" si="204"/>
        <v>5950.0000000000009</v>
      </c>
      <c r="T2127" s="18">
        <f t="shared" si="205"/>
        <v>3791.666666666667</v>
      </c>
      <c r="U2127" s="277">
        <f t="shared" si="206"/>
        <v>4550</v>
      </c>
      <c r="V2127" s="280">
        <f t="shared" si="207"/>
        <v>5300</v>
      </c>
      <c r="W2127" s="499">
        <f t="shared" si="208"/>
        <v>6360</v>
      </c>
      <c r="X2127" s="497"/>
      <c r="Y2127" s="62"/>
      <c r="Z2127" s="28"/>
      <c r="AA2127" s="62"/>
      <c r="AB2127" s="22"/>
      <c r="AC2127" s="346">
        <v>3370</v>
      </c>
      <c r="AD2127" s="346">
        <v>4720</v>
      </c>
      <c r="AE2127" s="346">
        <v>3880</v>
      </c>
      <c r="AF2127" s="346">
        <v>5430</v>
      </c>
      <c r="AG2127" s="346">
        <v>4000</v>
      </c>
      <c r="AH2127" s="346">
        <v>5610</v>
      </c>
      <c r="AI2127" s="346">
        <v>4250</v>
      </c>
      <c r="AJ2127" s="346">
        <v>5950</v>
      </c>
      <c r="AK2127" s="346">
        <v>4550</v>
      </c>
      <c r="AL2127" s="346">
        <v>6360</v>
      </c>
      <c r="AM2127" s="348">
        <v>3370</v>
      </c>
      <c r="AN2127" s="323">
        <f t="shared" si="209"/>
        <v>0</v>
      </c>
      <c r="AO2127" s="348">
        <f t="shared" si="210"/>
        <v>1348</v>
      </c>
      <c r="AP2127" s="495">
        <f t="shared" si="211"/>
        <v>-0.71440677966101696</v>
      </c>
      <c r="AQ2127" s="348">
        <v>3880</v>
      </c>
      <c r="AR2127" s="495">
        <f t="shared" si="212"/>
        <v>0</v>
      </c>
      <c r="AS2127" s="348">
        <v>5430</v>
      </c>
      <c r="AT2127" s="495">
        <f t="shared" si="213"/>
        <v>0</v>
      </c>
      <c r="AU2127" s="348">
        <v>4000</v>
      </c>
      <c r="AV2127" s="495">
        <f t="shared" si="214"/>
        <v>0</v>
      </c>
      <c r="AW2127" s="348">
        <v>5610</v>
      </c>
      <c r="AX2127" s="495"/>
      <c r="AY2127" s="348"/>
      <c r="AZ2127" s="495"/>
      <c r="BA2127" s="348"/>
      <c r="BB2127" s="495"/>
      <c r="BC2127" s="348"/>
      <c r="BD2127" s="495"/>
      <c r="BE2127" s="348"/>
      <c r="BF2127" s="495"/>
    </row>
    <row r="2128" spans="1:58">
      <c r="A2128" s="8"/>
      <c r="B2128" s="16" t="str">
        <f>IF($C$1="ENG","D (140 - 160 mm)","D (140 - 160 мм)")</f>
        <v>D (140 - 160 мм)</v>
      </c>
      <c r="C2128" s="161"/>
      <c r="D2128" s="18">
        <f t="shared" si="189"/>
        <v>2958.3333333333335</v>
      </c>
      <c r="E2128" s="277">
        <f t="shared" si="190"/>
        <v>3550</v>
      </c>
      <c r="F2128" s="280">
        <f t="shared" si="191"/>
        <v>4141.666666666667</v>
      </c>
      <c r="G2128" s="69">
        <f t="shared" si="192"/>
        <v>4970</v>
      </c>
      <c r="H2128" s="18">
        <f t="shared" si="193"/>
        <v>3400</v>
      </c>
      <c r="I2128" s="277">
        <f t="shared" si="194"/>
        <v>4080</v>
      </c>
      <c r="J2128" s="280">
        <f t="shared" si="195"/>
        <v>4758.3333333333339</v>
      </c>
      <c r="K2128" s="69">
        <f t="shared" si="196"/>
        <v>5710.0000000000009</v>
      </c>
      <c r="L2128" s="18">
        <f t="shared" si="197"/>
        <v>3525</v>
      </c>
      <c r="M2128" s="277">
        <f t="shared" si="198"/>
        <v>4230</v>
      </c>
      <c r="N2128" s="280">
        <f t="shared" si="199"/>
        <v>4933.3333333333339</v>
      </c>
      <c r="O2128" s="69">
        <f t="shared" si="200"/>
        <v>5920.0000000000009</v>
      </c>
      <c r="P2128" s="18">
        <f t="shared" si="201"/>
        <v>3741.666666666667</v>
      </c>
      <c r="Q2128" s="277">
        <f t="shared" si="202"/>
        <v>4490</v>
      </c>
      <c r="R2128" s="280">
        <f t="shared" si="203"/>
        <v>5241.666666666667</v>
      </c>
      <c r="S2128" s="69">
        <f t="shared" si="204"/>
        <v>6290</v>
      </c>
      <c r="T2128" s="18">
        <f t="shared" si="205"/>
        <v>3983.3333333333335</v>
      </c>
      <c r="U2128" s="277">
        <f t="shared" si="206"/>
        <v>4780</v>
      </c>
      <c r="V2128" s="280">
        <f t="shared" si="207"/>
        <v>5575</v>
      </c>
      <c r="W2128" s="499">
        <f t="shared" si="208"/>
        <v>6690</v>
      </c>
      <c r="X2128" s="497"/>
      <c r="Y2128" s="62"/>
      <c r="Z2128" s="28"/>
      <c r="AA2128" s="62"/>
      <c r="AB2128" s="22"/>
      <c r="AC2128" s="346">
        <v>3550</v>
      </c>
      <c r="AD2128" s="346">
        <v>4970</v>
      </c>
      <c r="AE2128" s="346">
        <v>4080</v>
      </c>
      <c r="AF2128" s="346">
        <v>5710</v>
      </c>
      <c r="AG2128" s="346">
        <v>4230</v>
      </c>
      <c r="AH2128" s="346">
        <v>5920</v>
      </c>
      <c r="AI2128" s="346">
        <v>4490</v>
      </c>
      <c r="AJ2128" s="346">
        <v>6290</v>
      </c>
      <c r="AK2128" s="346">
        <v>4780</v>
      </c>
      <c r="AL2128" s="346">
        <v>6690</v>
      </c>
      <c r="AM2128" s="348">
        <v>3550</v>
      </c>
      <c r="AN2128" s="323">
        <f t="shared" si="209"/>
        <v>0</v>
      </c>
      <c r="AO2128" s="348">
        <f t="shared" si="210"/>
        <v>1420</v>
      </c>
      <c r="AP2128" s="495">
        <f t="shared" si="211"/>
        <v>-0.7142857142857143</v>
      </c>
      <c r="AQ2128" s="348">
        <v>4080</v>
      </c>
      <c r="AR2128" s="495">
        <f t="shared" si="212"/>
        <v>0</v>
      </c>
      <c r="AS2128" s="348">
        <v>5710</v>
      </c>
      <c r="AT2128" s="495">
        <f t="shared" si="213"/>
        <v>0</v>
      </c>
      <c r="AU2128" s="348">
        <v>4230</v>
      </c>
      <c r="AV2128" s="495">
        <f t="shared" si="214"/>
        <v>0</v>
      </c>
      <c r="AW2128" s="348">
        <v>5920</v>
      </c>
      <c r="AX2128" s="495"/>
      <c r="AY2128" s="348"/>
      <c r="AZ2128" s="495"/>
      <c r="BA2128" s="348"/>
      <c r="BB2128" s="495"/>
      <c r="BC2128" s="348"/>
      <c r="BD2128" s="495"/>
      <c r="BE2128" s="348"/>
      <c r="BF2128" s="495"/>
    </row>
    <row r="2129" spans="1:58">
      <c r="A2129" s="8"/>
      <c r="B2129" s="16" t="str">
        <f>IF($C$1="ENG","E (160 - 180 mm)","E (160 - 180 мм)")</f>
        <v>E (160 - 180 мм)</v>
      </c>
      <c r="C2129" s="161"/>
      <c r="D2129" s="18">
        <f t="shared" si="189"/>
        <v>3108.3333333333335</v>
      </c>
      <c r="E2129" s="277">
        <f t="shared" si="190"/>
        <v>3730</v>
      </c>
      <c r="F2129" s="280">
        <f t="shared" si="191"/>
        <v>4350</v>
      </c>
      <c r="G2129" s="69">
        <f t="shared" si="192"/>
        <v>5220</v>
      </c>
      <c r="H2129" s="18">
        <f t="shared" si="193"/>
        <v>3583.3333333333335</v>
      </c>
      <c r="I2129" s="277">
        <f t="shared" si="194"/>
        <v>4300</v>
      </c>
      <c r="J2129" s="280">
        <f t="shared" si="195"/>
        <v>5016.666666666667</v>
      </c>
      <c r="K2129" s="69">
        <f t="shared" si="196"/>
        <v>6020</v>
      </c>
      <c r="L2129" s="18">
        <f t="shared" si="197"/>
        <v>3691.666666666667</v>
      </c>
      <c r="M2129" s="277">
        <f t="shared" si="198"/>
        <v>4430</v>
      </c>
      <c r="N2129" s="280">
        <f t="shared" si="199"/>
        <v>5175</v>
      </c>
      <c r="O2129" s="69">
        <f t="shared" si="200"/>
        <v>6210</v>
      </c>
      <c r="P2129" s="18">
        <f t="shared" si="201"/>
        <v>3933.3333333333335</v>
      </c>
      <c r="Q2129" s="277">
        <f t="shared" si="202"/>
        <v>4720</v>
      </c>
      <c r="R2129" s="280">
        <f t="shared" si="203"/>
        <v>5508.3333333333339</v>
      </c>
      <c r="S2129" s="69">
        <f t="shared" si="204"/>
        <v>6610.0000000000009</v>
      </c>
      <c r="T2129" s="18">
        <f t="shared" si="205"/>
        <v>4191.666666666667</v>
      </c>
      <c r="U2129" s="277">
        <f t="shared" si="206"/>
        <v>5030</v>
      </c>
      <c r="V2129" s="280">
        <f t="shared" si="207"/>
        <v>5866.666666666667</v>
      </c>
      <c r="W2129" s="499">
        <f t="shared" si="208"/>
        <v>7040</v>
      </c>
      <c r="X2129" s="497"/>
      <c r="Y2129" s="62"/>
      <c r="Z2129" s="28"/>
      <c r="AA2129" s="62"/>
      <c r="AB2129" s="22"/>
      <c r="AC2129" s="346">
        <v>3730</v>
      </c>
      <c r="AD2129" s="346">
        <v>5220</v>
      </c>
      <c r="AE2129" s="346">
        <v>4300</v>
      </c>
      <c r="AF2129" s="346">
        <v>6020</v>
      </c>
      <c r="AG2129" s="346">
        <v>4430</v>
      </c>
      <c r="AH2129" s="346">
        <v>6210</v>
      </c>
      <c r="AI2129" s="346">
        <v>4720</v>
      </c>
      <c r="AJ2129" s="346">
        <v>6610</v>
      </c>
      <c r="AK2129" s="346">
        <v>5030</v>
      </c>
      <c r="AL2129" s="346">
        <v>7040</v>
      </c>
      <c r="AM2129" s="348">
        <v>3730</v>
      </c>
      <c r="AN2129" s="323">
        <f t="shared" si="209"/>
        <v>0</v>
      </c>
      <c r="AO2129" s="348">
        <f t="shared" si="210"/>
        <v>1492</v>
      </c>
      <c r="AP2129" s="495">
        <f t="shared" si="211"/>
        <v>-0.71417624521072798</v>
      </c>
      <c r="AQ2129" s="348">
        <v>4300</v>
      </c>
      <c r="AR2129" s="495">
        <f t="shared" si="212"/>
        <v>0</v>
      </c>
      <c r="AS2129" s="348">
        <v>6020</v>
      </c>
      <c r="AT2129" s="495">
        <f t="shared" si="213"/>
        <v>0</v>
      </c>
      <c r="AU2129" s="348">
        <v>4430</v>
      </c>
      <c r="AV2129" s="495">
        <f t="shared" si="214"/>
        <v>0</v>
      </c>
      <c r="AW2129" s="348">
        <v>6210</v>
      </c>
      <c r="AX2129" s="495"/>
      <c r="AY2129" s="348"/>
      <c r="AZ2129" s="495"/>
      <c r="BA2129" s="348"/>
      <c r="BB2129" s="495"/>
      <c r="BC2129" s="348"/>
      <c r="BD2129" s="495"/>
      <c r="BE2129" s="348"/>
      <c r="BF2129" s="495"/>
    </row>
    <row r="2130" spans="1:58">
      <c r="A2130" s="8"/>
      <c r="B2130" s="16" t="str">
        <f>IF($C$1="ENG","F (180 - 200 mm)","F (180 - 200 мм)")</f>
        <v>F (180 - 200 мм)</v>
      </c>
      <c r="C2130" s="161"/>
      <c r="D2130" s="18">
        <f t="shared" si="189"/>
        <v>3266.666666666667</v>
      </c>
      <c r="E2130" s="277">
        <f t="shared" si="190"/>
        <v>3920</v>
      </c>
      <c r="F2130" s="280">
        <f t="shared" si="191"/>
        <v>4575</v>
      </c>
      <c r="G2130" s="69">
        <f t="shared" si="192"/>
        <v>5490</v>
      </c>
      <c r="H2130" s="18">
        <f t="shared" si="193"/>
        <v>3758.3333333333335</v>
      </c>
      <c r="I2130" s="277">
        <f t="shared" si="194"/>
        <v>4510</v>
      </c>
      <c r="J2130" s="280">
        <f t="shared" si="195"/>
        <v>5250</v>
      </c>
      <c r="K2130" s="69">
        <f t="shared" si="196"/>
        <v>6300</v>
      </c>
      <c r="L2130" s="18">
        <f t="shared" si="197"/>
        <v>3883.3333333333335</v>
      </c>
      <c r="M2130" s="277">
        <f t="shared" si="198"/>
        <v>4660</v>
      </c>
      <c r="N2130" s="280">
        <f t="shared" si="199"/>
        <v>5433.3333333333339</v>
      </c>
      <c r="O2130" s="69">
        <f t="shared" si="200"/>
        <v>6520.0000000000009</v>
      </c>
      <c r="P2130" s="18">
        <f t="shared" si="201"/>
        <v>4116.666666666667</v>
      </c>
      <c r="Q2130" s="277">
        <f t="shared" si="202"/>
        <v>4940</v>
      </c>
      <c r="R2130" s="280">
        <f t="shared" si="203"/>
        <v>5766.666666666667</v>
      </c>
      <c r="S2130" s="69">
        <f t="shared" si="204"/>
        <v>6920</v>
      </c>
      <c r="T2130" s="18">
        <f t="shared" si="205"/>
        <v>4400</v>
      </c>
      <c r="U2130" s="277">
        <f t="shared" si="206"/>
        <v>5280</v>
      </c>
      <c r="V2130" s="280">
        <f t="shared" si="207"/>
        <v>6158.3333333333339</v>
      </c>
      <c r="W2130" s="499">
        <f t="shared" si="208"/>
        <v>7390</v>
      </c>
      <c r="X2130" s="497"/>
      <c r="Y2130" s="62"/>
      <c r="Z2130" s="28"/>
      <c r="AA2130" s="62"/>
      <c r="AB2130" s="22"/>
      <c r="AC2130" s="346">
        <v>3920</v>
      </c>
      <c r="AD2130" s="346">
        <v>5490</v>
      </c>
      <c r="AE2130" s="346">
        <v>4510</v>
      </c>
      <c r="AF2130" s="346">
        <v>6300</v>
      </c>
      <c r="AG2130" s="346">
        <v>4660</v>
      </c>
      <c r="AH2130" s="346">
        <v>6520</v>
      </c>
      <c r="AI2130" s="346">
        <v>4940</v>
      </c>
      <c r="AJ2130" s="346">
        <v>6920</v>
      </c>
      <c r="AK2130" s="346">
        <v>5280</v>
      </c>
      <c r="AL2130" s="346">
        <v>7390</v>
      </c>
      <c r="AM2130" s="348">
        <v>3920</v>
      </c>
      <c r="AN2130" s="323">
        <f t="shared" si="209"/>
        <v>0</v>
      </c>
      <c r="AO2130" s="348">
        <f t="shared" si="210"/>
        <v>1568</v>
      </c>
      <c r="AP2130" s="495">
        <f t="shared" si="211"/>
        <v>-0.71438979963570126</v>
      </c>
      <c r="AQ2130" s="348">
        <v>4510</v>
      </c>
      <c r="AR2130" s="495">
        <f t="shared" si="212"/>
        <v>0</v>
      </c>
      <c r="AS2130" s="348">
        <v>6300</v>
      </c>
      <c r="AT2130" s="495">
        <f t="shared" si="213"/>
        <v>0</v>
      </c>
      <c r="AU2130" s="348">
        <v>4660</v>
      </c>
      <c r="AV2130" s="495">
        <f t="shared" si="214"/>
        <v>0</v>
      </c>
      <c r="AW2130" s="348">
        <v>6520</v>
      </c>
      <c r="AX2130" s="495"/>
      <c r="AY2130" s="348"/>
      <c r="AZ2130" s="495"/>
      <c r="BA2130" s="348"/>
      <c r="BB2130" s="495"/>
      <c r="BC2130" s="348"/>
      <c r="BD2130" s="495"/>
      <c r="BE2130" s="348"/>
      <c r="BF2130" s="495"/>
    </row>
    <row r="2131" spans="1:58">
      <c r="A2131" s="8"/>
      <c r="B2131" s="16" t="str">
        <f>IF($C$1="ENG","G (200 - 220 mm)","G (200 - 220 мм)")</f>
        <v>G (200 - 220 мм)</v>
      </c>
      <c r="C2131" s="161"/>
      <c r="D2131" s="18">
        <f t="shared" si="189"/>
        <v>3416.666666666667</v>
      </c>
      <c r="E2131" s="277">
        <f t="shared" si="190"/>
        <v>4100</v>
      </c>
      <c r="F2131" s="280">
        <f t="shared" si="191"/>
        <v>4783.3333333333339</v>
      </c>
      <c r="G2131" s="69">
        <f t="shared" si="192"/>
        <v>5740.0000000000009</v>
      </c>
      <c r="H2131" s="18">
        <f t="shared" si="193"/>
        <v>3941.666666666667</v>
      </c>
      <c r="I2131" s="277">
        <f t="shared" si="194"/>
        <v>4730</v>
      </c>
      <c r="J2131" s="280">
        <f t="shared" si="195"/>
        <v>5508.3333333333339</v>
      </c>
      <c r="K2131" s="69">
        <f t="shared" si="196"/>
        <v>6610.0000000000009</v>
      </c>
      <c r="L2131" s="18">
        <f t="shared" si="197"/>
        <v>4075</v>
      </c>
      <c r="M2131" s="277">
        <f t="shared" si="198"/>
        <v>4890</v>
      </c>
      <c r="N2131" s="280">
        <f t="shared" si="199"/>
        <v>5700</v>
      </c>
      <c r="O2131" s="69">
        <f t="shared" si="200"/>
        <v>6840</v>
      </c>
      <c r="P2131" s="18">
        <f t="shared" si="201"/>
        <v>4316.666666666667</v>
      </c>
      <c r="Q2131" s="277">
        <f t="shared" si="202"/>
        <v>5180</v>
      </c>
      <c r="R2131" s="280">
        <f t="shared" si="203"/>
        <v>6041.666666666667</v>
      </c>
      <c r="S2131" s="69">
        <f t="shared" si="204"/>
        <v>7250</v>
      </c>
      <c r="T2131" s="18">
        <f t="shared" si="205"/>
        <v>4600</v>
      </c>
      <c r="U2131" s="277">
        <f t="shared" si="206"/>
        <v>5520</v>
      </c>
      <c r="V2131" s="280">
        <f t="shared" si="207"/>
        <v>6433.3333333333339</v>
      </c>
      <c r="W2131" s="499">
        <f t="shared" si="208"/>
        <v>7720</v>
      </c>
      <c r="X2131" s="497"/>
      <c r="Y2131" s="62"/>
      <c r="Z2131" s="28"/>
      <c r="AA2131" s="62"/>
      <c r="AB2131" s="22"/>
      <c r="AC2131" s="346">
        <v>4100</v>
      </c>
      <c r="AD2131" s="346">
        <v>5740</v>
      </c>
      <c r="AE2131" s="346">
        <v>4730</v>
      </c>
      <c r="AF2131" s="346">
        <v>6610</v>
      </c>
      <c r="AG2131" s="346">
        <v>4890</v>
      </c>
      <c r="AH2131" s="346">
        <v>6840</v>
      </c>
      <c r="AI2131" s="346">
        <v>5180</v>
      </c>
      <c r="AJ2131" s="346">
        <v>7250</v>
      </c>
      <c r="AK2131" s="346">
        <v>5520</v>
      </c>
      <c r="AL2131" s="346">
        <v>7720</v>
      </c>
      <c r="AM2131" s="348">
        <v>4100</v>
      </c>
      <c r="AN2131" s="323">
        <f t="shared" si="209"/>
        <v>0</v>
      </c>
      <c r="AO2131" s="348">
        <f t="shared" si="210"/>
        <v>1640</v>
      </c>
      <c r="AP2131" s="495">
        <f t="shared" si="211"/>
        <v>-0.7142857142857143</v>
      </c>
      <c r="AQ2131" s="348">
        <v>4730</v>
      </c>
      <c r="AR2131" s="495">
        <f t="shared" si="212"/>
        <v>0</v>
      </c>
      <c r="AS2131" s="348">
        <v>6610</v>
      </c>
      <c r="AT2131" s="495">
        <f t="shared" si="213"/>
        <v>0</v>
      </c>
      <c r="AU2131" s="348">
        <v>4890</v>
      </c>
      <c r="AV2131" s="495">
        <f t="shared" si="214"/>
        <v>0</v>
      </c>
      <c r="AW2131" s="348">
        <v>6840</v>
      </c>
      <c r="AX2131" s="495"/>
      <c r="AY2131" s="348"/>
      <c r="AZ2131" s="495"/>
      <c r="BA2131" s="348"/>
      <c r="BB2131" s="495"/>
      <c r="BC2131" s="348"/>
      <c r="BD2131" s="495"/>
      <c r="BE2131" s="348"/>
      <c r="BF2131" s="495"/>
    </row>
    <row r="2132" spans="1:58">
      <c r="A2132" s="8"/>
      <c r="B2132" s="16" t="str">
        <f>IF($C$1="ENG","H (220 - 240 mm)","H (220 - 240 мм)")</f>
        <v>H (220 - 240 мм)</v>
      </c>
      <c r="C2132" s="161"/>
      <c r="D2132" s="18">
        <f t="shared" si="189"/>
        <v>3575</v>
      </c>
      <c r="E2132" s="277">
        <f t="shared" si="190"/>
        <v>4290</v>
      </c>
      <c r="F2132" s="280">
        <f t="shared" si="191"/>
        <v>5000</v>
      </c>
      <c r="G2132" s="69">
        <f t="shared" si="192"/>
        <v>6000</v>
      </c>
      <c r="H2132" s="18">
        <f t="shared" si="193"/>
        <v>4116.666666666667</v>
      </c>
      <c r="I2132" s="277">
        <f t="shared" si="194"/>
        <v>4940</v>
      </c>
      <c r="J2132" s="280">
        <f t="shared" si="195"/>
        <v>5766.666666666667</v>
      </c>
      <c r="K2132" s="69">
        <f t="shared" si="196"/>
        <v>6920</v>
      </c>
      <c r="L2132" s="18">
        <f t="shared" si="197"/>
        <v>4241.666666666667</v>
      </c>
      <c r="M2132" s="277">
        <f t="shared" si="198"/>
        <v>5090</v>
      </c>
      <c r="N2132" s="280">
        <f t="shared" si="199"/>
        <v>5933.3333333333339</v>
      </c>
      <c r="O2132" s="69">
        <f t="shared" si="200"/>
        <v>7120.0000000000009</v>
      </c>
      <c r="P2132" s="18">
        <f t="shared" si="201"/>
        <v>4516.666666666667</v>
      </c>
      <c r="Q2132" s="277">
        <f t="shared" si="202"/>
        <v>5420</v>
      </c>
      <c r="R2132" s="280">
        <f t="shared" si="203"/>
        <v>6308.3333333333339</v>
      </c>
      <c r="S2132" s="69">
        <f t="shared" si="204"/>
        <v>7570</v>
      </c>
      <c r="T2132" s="18">
        <f t="shared" si="205"/>
        <v>4808.3333333333339</v>
      </c>
      <c r="U2132" s="277">
        <f t="shared" si="206"/>
        <v>5770.0000000000009</v>
      </c>
      <c r="V2132" s="280">
        <f t="shared" si="207"/>
        <v>6725</v>
      </c>
      <c r="W2132" s="499">
        <f t="shared" si="208"/>
        <v>8070</v>
      </c>
      <c r="X2132" s="497"/>
      <c r="Y2132" s="62"/>
      <c r="Z2132" s="28"/>
      <c r="AA2132" s="62"/>
      <c r="AB2132" s="22"/>
      <c r="AC2132" s="346">
        <v>4290</v>
      </c>
      <c r="AD2132" s="346">
        <v>6000</v>
      </c>
      <c r="AE2132" s="346">
        <v>4940</v>
      </c>
      <c r="AF2132" s="346">
        <v>6920</v>
      </c>
      <c r="AG2132" s="346">
        <v>5090</v>
      </c>
      <c r="AH2132" s="346">
        <v>7120</v>
      </c>
      <c r="AI2132" s="346">
        <v>5420</v>
      </c>
      <c r="AJ2132" s="346">
        <v>7570</v>
      </c>
      <c r="AK2132" s="346">
        <v>5770</v>
      </c>
      <c r="AL2132" s="346">
        <v>8070</v>
      </c>
      <c r="AM2132" s="348">
        <v>4290</v>
      </c>
      <c r="AN2132" s="323">
        <f t="shared" si="209"/>
        <v>0</v>
      </c>
      <c r="AO2132" s="348">
        <f t="shared" si="210"/>
        <v>1716</v>
      </c>
      <c r="AP2132" s="495">
        <f t="shared" si="211"/>
        <v>-0.71399999999999997</v>
      </c>
      <c r="AQ2132" s="348">
        <v>4940</v>
      </c>
      <c r="AR2132" s="495">
        <f t="shared" si="212"/>
        <v>0</v>
      </c>
      <c r="AS2132" s="348">
        <v>6920</v>
      </c>
      <c r="AT2132" s="495">
        <f t="shared" si="213"/>
        <v>0</v>
      </c>
      <c r="AU2132" s="348">
        <v>5090</v>
      </c>
      <c r="AV2132" s="495">
        <f t="shared" si="214"/>
        <v>0</v>
      </c>
      <c r="AW2132" s="348">
        <v>7120</v>
      </c>
      <c r="AX2132" s="495"/>
      <c r="AY2132" s="348"/>
      <c r="AZ2132" s="495"/>
      <c r="BA2132" s="348"/>
      <c r="BB2132" s="495"/>
      <c r="BC2132" s="348"/>
      <c r="BD2132" s="495"/>
      <c r="BE2132" s="348"/>
      <c r="BF2132" s="495"/>
    </row>
    <row r="2133" spans="1:58">
      <c r="A2133" s="8"/>
      <c r="B2133" s="23" t="str">
        <f>IF($C$1="ENG","I (240 - 260 mm)","I (240 - 260 мм)")</f>
        <v>I (240 - 260 мм)</v>
      </c>
      <c r="C2133" s="162"/>
      <c r="D2133" s="25">
        <f t="shared" si="189"/>
        <v>3741.666666666667</v>
      </c>
      <c r="E2133" s="278">
        <f t="shared" si="190"/>
        <v>4490</v>
      </c>
      <c r="F2133" s="281">
        <f t="shared" si="191"/>
        <v>5241.666666666667</v>
      </c>
      <c r="G2133" s="72">
        <f t="shared" si="192"/>
        <v>6290</v>
      </c>
      <c r="H2133" s="25">
        <f t="shared" si="193"/>
        <v>4308.3333333333339</v>
      </c>
      <c r="I2133" s="278">
        <f t="shared" si="194"/>
        <v>5170.0000000000009</v>
      </c>
      <c r="J2133" s="281">
        <f t="shared" si="195"/>
        <v>6033.3333333333339</v>
      </c>
      <c r="K2133" s="72">
        <f t="shared" si="196"/>
        <v>7240.0000000000009</v>
      </c>
      <c r="L2133" s="25">
        <f t="shared" si="197"/>
        <v>4416.666666666667</v>
      </c>
      <c r="M2133" s="278">
        <f t="shared" si="198"/>
        <v>5300</v>
      </c>
      <c r="N2133" s="281">
        <f t="shared" si="199"/>
        <v>6191.666666666667</v>
      </c>
      <c r="O2133" s="72">
        <f t="shared" si="200"/>
        <v>7430</v>
      </c>
      <c r="P2133" s="25">
        <f t="shared" si="201"/>
        <v>4700</v>
      </c>
      <c r="Q2133" s="278">
        <f t="shared" si="202"/>
        <v>5640</v>
      </c>
      <c r="R2133" s="281">
        <f t="shared" si="203"/>
        <v>6583.3333333333339</v>
      </c>
      <c r="S2133" s="72">
        <f t="shared" si="204"/>
        <v>7900</v>
      </c>
      <c r="T2133" s="25">
        <f t="shared" si="205"/>
        <v>5016.666666666667</v>
      </c>
      <c r="U2133" s="278">
        <f t="shared" si="206"/>
        <v>6020</v>
      </c>
      <c r="V2133" s="281">
        <f t="shared" si="207"/>
        <v>7016.666666666667</v>
      </c>
      <c r="W2133" s="500">
        <f t="shared" si="208"/>
        <v>8420</v>
      </c>
      <c r="X2133" s="497"/>
      <c r="Y2133" s="62"/>
      <c r="Z2133" s="28"/>
      <c r="AA2133" s="62"/>
      <c r="AB2133" s="22"/>
      <c r="AC2133" s="346">
        <v>4490</v>
      </c>
      <c r="AD2133" s="346">
        <v>6290</v>
      </c>
      <c r="AE2133" s="346">
        <v>5170</v>
      </c>
      <c r="AF2133" s="346">
        <v>7240</v>
      </c>
      <c r="AG2133" s="346">
        <v>5300</v>
      </c>
      <c r="AH2133" s="346">
        <v>7430</v>
      </c>
      <c r="AI2133" s="346">
        <v>5640</v>
      </c>
      <c r="AJ2133" s="346">
        <v>7900</v>
      </c>
      <c r="AK2133" s="346">
        <v>6020</v>
      </c>
      <c r="AL2133" s="346">
        <v>8420</v>
      </c>
      <c r="AM2133" s="348">
        <v>4490</v>
      </c>
      <c r="AN2133" s="323">
        <f t="shared" si="209"/>
        <v>0</v>
      </c>
      <c r="AO2133" s="348">
        <f t="shared" si="210"/>
        <v>1796</v>
      </c>
      <c r="AP2133" s="495">
        <f t="shared" si="211"/>
        <v>-0.71446740858505564</v>
      </c>
      <c r="AQ2133" s="348">
        <v>5170</v>
      </c>
      <c r="AR2133" s="495">
        <f t="shared" si="212"/>
        <v>0</v>
      </c>
      <c r="AS2133" s="348">
        <v>7240</v>
      </c>
      <c r="AT2133" s="495">
        <f t="shared" si="213"/>
        <v>0</v>
      </c>
      <c r="AU2133" s="348">
        <v>5300</v>
      </c>
      <c r="AV2133" s="495">
        <f t="shared" si="214"/>
        <v>0</v>
      </c>
      <c r="AW2133" s="348">
        <v>7430</v>
      </c>
      <c r="AX2133" s="495"/>
      <c r="AY2133" s="348"/>
      <c r="AZ2133" s="495"/>
      <c r="BA2133" s="348"/>
      <c r="BB2133" s="495"/>
      <c r="BC2133" s="348"/>
      <c r="BD2133" s="495"/>
      <c r="BE2133" s="348"/>
      <c r="BF2133" s="495"/>
    </row>
    <row r="2134" spans="1:58" s="48" customFormat="1" ht="24.95" customHeight="1">
      <c r="B2134" s="55" t="str">
        <f>IF($C$1="ENG","ADJUSTABLE PANELS","ПЛАНКИ РЕГУЛЮВАЛЬНІ")</f>
        <v>ПЛАНКИ РЕГУЛЮВАЛЬНІ</v>
      </c>
      <c r="C2134" s="56"/>
      <c r="D2134" s="28"/>
      <c r="E2134" s="429" t="str">
        <f>IF($C$1="ENG","For Door Frames Verto-FIT, Verto-FIT  Plus","Для Дверних Коробок Verto-FIT, Verto-FIT  Plus")</f>
        <v>Для Дверних Коробок Verto-FIT, Verto-FIT  Plus</v>
      </c>
      <c r="F2134" s="429"/>
      <c r="G2134" s="429"/>
      <c r="H2134" s="429"/>
      <c r="I2134" s="429"/>
      <c r="J2134" s="429"/>
      <c r="K2134" s="429"/>
      <c r="L2134" s="28"/>
      <c r="M2134" s="110"/>
      <c r="N2134" s="28"/>
      <c r="O2134" s="29"/>
      <c r="P2134" s="28"/>
      <c r="Q2134" s="110"/>
      <c r="R2134" s="28"/>
      <c r="S2134" s="29"/>
      <c r="T2134" s="158"/>
      <c r="U2134" s="163"/>
      <c r="V2134" s="158"/>
      <c r="W2134" s="159"/>
      <c r="Y2134" s="62"/>
      <c r="Z2134" s="28"/>
      <c r="AA2134" s="62"/>
      <c r="AC2134" s="147"/>
      <c r="AN2134" s="57"/>
      <c r="AO2134" s="411"/>
      <c r="AP2134" s="411"/>
      <c r="AQ2134" s="57"/>
      <c r="AR2134" s="57"/>
      <c r="AS2134" s="57"/>
      <c r="AT2134" s="57"/>
    </row>
    <row r="2135" spans="1:58" ht="34.5" customHeight="1">
      <c r="A2135" s="8"/>
      <c r="B2135" s="253" t="str">
        <f>IF($C$1="ENG","Panel (1 set) 80 mm","Планка (1 к-т) 80 мм")</f>
        <v>Планка (1 к-т) 80 мм</v>
      </c>
      <c r="C2135" s="321"/>
      <c r="D2135" s="15">
        <f>IF(AC2135="","",(1-$W$2)*(AC2135/1.2))</f>
        <v>883.33333333333337</v>
      </c>
      <c r="E2135" s="311">
        <f>IF($W$5=0.2,D2135*1.2,D2135)/$W$4</f>
        <v>1060</v>
      </c>
      <c r="F2135" s="279">
        <f>IF(AD2135="","",(1-$W$2)*(AD2135/1.2))</f>
        <v>1150</v>
      </c>
      <c r="G2135" s="67">
        <f>IF($W$5=0.2,F2135*1.2,F2135)/$W$4</f>
        <v>1380</v>
      </c>
      <c r="H2135" s="15">
        <f>IF(AE2135="","",(1-$W$2)*(AE2135/1.2))</f>
        <v>1025</v>
      </c>
      <c r="I2135" s="276">
        <f>IF($W$5=0.2,H2135*1.2,H2135)/$W$4</f>
        <v>1230</v>
      </c>
      <c r="J2135" s="279">
        <f>IF(AF2135="","",(1-$W$2)*(AF2135/1.2))</f>
        <v>1341.6666666666667</v>
      </c>
      <c r="K2135" s="67">
        <f>IF($W$5=0.2,J2135*1.2,J2135)/$W$4</f>
        <v>1610</v>
      </c>
      <c r="L2135" s="15">
        <f>IF(AG2135="","",(1-$W$2)*(AG2135/1.2))</f>
        <v>1075</v>
      </c>
      <c r="M2135" s="276">
        <f>IF($W$5=0.2,L2135*1.2,L2135)/$W$4</f>
        <v>1290</v>
      </c>
      <c r="N2135" s="279">
        <f>IF(AH2135="","",(1-$W$2)*(AH2135/1.2))</f>
        <v>1408.3333333333335</v>
      </c>
      <c r="O2135" s="67">
        <f>IF($W$5=0.2,N2135*1.2,N2135)/$W$4</f>
        <v>1690.0000000000002</v>
      </c>
      <c r="P2135" s="15">
        <f>IF(AI2135="","",(1-$W$2)*(AI2135/1.2))</f>
        <v>1166.6666666666667</v>
      </c>
      <c r="Q2135" s="276">
        <f>IF($W$5=0.2,P2135*1.2,P2135)/$W$4</f>
        <v>1400</v>
      </c>
      <c r="R2135" s="279">
        <f>IF(AJ2135="","",(1-$W$2)*(AJ2135/1.2))</f>
        <v>1516.6666666666667</v>
      </c>
      <c r="S2135" s="67">
        <f>IF($W$5=0.2,R2135*1.2,R2135)/$W$4</f>
        <v>1820</v>
      </c>
      <c r="T2135" s="15">
        <f>IF(AK2135="","",(1-$W$2)*(AK2135/1.2))</f>
        <v>1225</v>
      </c>
      <c r="U2135" s="276">
        <f>IF($W$5=0.2,T2135*1.2,T2135)/$W$4</f>
        <v>1470</v>
      </c>
      <c r="V2135" s="279">
        <f>IF(AL2135="","",(1-$W$2)*(AL2135/1.2))</f>
        <v>1591.6666666666667</v>
      </c>
      <c r="W2135" s="498">
        <f>IF($W$5=0.2,V2135*1.2,V2135)/$W$4</f>
        <v>1910</v>
      </c>
      <c r="X2135" s="497"/>
      <c r="Y2135" s="497"/>
      <c r="Z2135" s="497"/>
      <c r="AA2135" s="497"/>
      <c r="AB2135" s="22"/>
      <c r="AC2135" s="346">
        <v>1060</v>
      </c>
      <c r="AD2135" s="346">
        <v>1380</v>
      </c>
      <c r="AE2135" s="346">
        <v>1230</v>
      </c>
      <c r="AF2135" s="346">
        <v>1610</v>
      </c>
      <c r="AG2135" s="346">
        <v>1290</v>
      </c>
      <c r="AH2135" s="346">
        <v>1690</v>
      </c>
      <c r="AI2135" s="346">
        <v>1400</v>
      </c>
      <c r="AJ2135" s="346">
        <v>1820</v>
      </c>
      <c r="AK2135" s="346">
        <v>1470</v>
      </c>
      <c r="AL2135" s="346">
        <v>1910</v>
      </c>
      <c r="AM2135" s="348">
        <v>1060</v>
      </c>
      <c r="AN2135" s="323">
        <f>AM2135/AC2135-1</f>
        <v>0</v>
      </c>
      <c r="AO2135" s="348">
        <v>1380</v>
      </c>
      <c r="AP2135" s="495">
        <f>AO2135/AD2135-1</f>
        <v>0</v>
      </c>
      <c r="AQ2135" s="348">
        <v>1230</v>
      </c>
      <c r="AR2135" s="348">
        <f>AQ2135/AE2135-1</f>
        <v>0</v>
      </c>
      <c r="AS2135" s="348">
        <v>1610</v>
      </c>
      <c r="AT2135" s="348">
        <f>AS2135/AF2135-1</f>
        <v>0</v>
      </c>
      <c r="AU2135" s="348">
        <v>1290</v>
      </c>
      <c r="AV2135" s="348">
        <f>AU2135/AG2135-1</f>
        <v>0</v>
      </c>
      <c r="AW2135" s="1">
        <v>1690</v>
      </c>
    </row>
    <row r="2136" spans="1:58" ht="34.5" customHeight="1">
      <c r="A2136" s="8"/>
      <c r="B2136" s="326" t="str">
        <f>IF($C$1="ENG","Panel (1 set) 160 mm","Планка (1 к-т) 160 мм")</f>
        <v>Планка (1 к-т) 160 мм</v>
      </c>
      <c r="C2136" s="161"/>
      <c r="D2136" s="18">
        <f>IF(AC2136="","",(1-$W$2)*(AC2136/1.2))</f>
        <v>1508.3333333333335</v>
      </c>
      <c r="E2136" s="277">
        <f>IF($W$5=0.2,D2136*1.2,D2136)/$W$4</f>
        <v>1810.0000000000002</v>
      </c>
      <c r="F2136" s="280">
        <f>IF(AD2136="","",(1-$W$2)*(AD2136/1.2))</f>
        <v>1958.3333333333335</v>
      </c>
      <c r="G2136" s="69">
        <f>IF($W$5=0.2,F2136*1.2,F2136)/$W$4</f>
        <v>2350</v>
      </c>
      <c r="H2136" s="18">
        <f>IF(AE2136="","",(1-$W$2)*(AE2136/1.2))</f>
        <v>1741.6666666666667</v>
      </c>
      <c r="I2136" s="277">
        <f>IF($W$5=0.2,H2136*1.2,H2136)/$W$4</f>
        <v>2090</v>
      </c>
      <c r="J2136" s="280">
        <f>IF(AF2136="","",(1-$W$2)*(AF2136/1.2))</f>
        <v>2275</v>
      </c>
      <c r="K2136" s="69">
        <f>IF($W$5=0.2,J2136*1.2,J2136)/$W$4</f>
        <v>2730</v>
      </c>
      <c r="L2136" s="18">
        <f>IF(AG2136="","",(1-$W$2)*(AG2136/1.2))</f>
        <v>1858.3333333333335</v>
      </c>
      <c r="M2136" s="277">
        <f>IF($W$5=0.2,L2136*1.2,L2136)/$W$4</f>
        <v>2230</v>
      </c>
      <c r="N2136" s="280">
        <f>IF(AH2136="","",(1-$W$2)*(AH2136/1.2))</f>
        <v>2408.3333333333335</v>
      </c>
      <c r="O2136" s="69">
        <f>IF($W$5=0.2,N2136*1.2,N2136)/$W$4</f>
        <v>2890</v>
      </c>
      <c r="P2136" s="18">
        <f>IF(AI2136="","",(1-$W$2)*(AI2136/1.2))</f>
        <v>1966.6666666666667</v>
      </c>
      <c r="Q2136" s="277">
        <f>IF($W$5=0.2,P2136*1.2,P2136)/$W$4</f>
        <v>2360</v>
      </c>
      <c r="R2136" s="280">
        <f>IF(AJ2136="","",(1-$W$2)*(AJ2136/1.2))</f>
        <v>2575</v>
      </c>
      <c r="S2136" s="69">
        <f>IF($W$5=0.2,R2136*1.2,R2136)/$W$4</f>
        <v>3090</v>
      </c>
      <c r="T2136" s="18">
        <f>IF(AK2136="","",(1-$W$2)*(AK2136/1.2))</f>
        <v>2133.3333333333335</v>
      </c>
      <c r="U2136" s="277">
        <f>IF($W$5=0.2,T2136*1.2,T2136)/$W$4</f>
        <v>2560</v>
      </c>
      <c r="V2136" s="280">
        <f>IF(AL2136="","",(1-$W$2)*(AL2136/1.2))</f>
        <v>2758.3333333333335</v>
      </c>
      <c r="W2136" s="69">
        <f>IF($W$5=0.2,V2136*1.2,V2136)/$W$4</f>
        <v>3310</v>
      </c>
      <c r="X2136" s="22"/>
      <c r="Y2136" s="22"/>
      <c r="Z2136" s="22"/>
      <c r="AA2136" s="22"/>
      <c r="AB2136" s="22"/>
      <c r="AC2136" s="346">
        <v>1810</v>
      </c>
      <c r="AD2136" s="346">
        <v>2350</v>
      </c>
      <c r="AE2136" s="346">
        <v>2090</v>
      </c>
      <c r="AF2136" s="346">
        <v>2730</v>
      </c>
      <c r="AG2136" s="346">
        <v>2230</v>
      </c>
      <c r="AH2136" s="346">
        <v>2890</v>
      </c>
      <c r="AI2136" s="346">
        <v>2360</v>
      </c>
      <c r="AJ2136" s="346">
        <v>3090</v>
      </c>
      <c r="AK2136" s="346">
        <v>2560</v>
      </c>
      <c r="AL2136" s="346">
        <v>3310</v>
      </c>
      <c r="AM2136" s="348">
        <v>1810</v>
      </c>
      <c r="AN2136" s="323">
        <f t="shared" ref="AN2136:AN2137" si="215">AM2136/AC2136-1</f>
        <v>0</v>
      </c>
      <c r="AO2136" s="348">
        <v>2350</v>
      </c>
      <c r="AP2136" s="495">
        <f t="shared" ref="AP2136:AP2137" si="216">AO2136/AD2136-1</f>
        <v>0</v>
      </c>
      <c r="AQ2136" s="348">
        <v>2090</v>
      </c>
      <c r="AR2136" s="348">
        <f t="shared" ref="AR2136:AR2137" si="217">AQ2136/AE2136-1</f>
        <v>0</v>
      </c>
      <c r="AS2136" s="348">
        <v>2730</v>
      </c>
      <c r="AT2136" s="348">
        <f t="shared" ref="AT2136:AT2137" si="218">AS2136/AF2136-1</f>
        <v>0</v>
      </c>
      <c r="AU2136" s="348">
        <v>2230</v>
      </c>
      <c r="AV2136" s="348">
        <f t="shared" ref="AV2136:AV2137" si="219">AU2136/AG2136-1</f>
        <v>0</v>
      </c>
      <c r="AW2136" s="1">
        <v>2890</v>
      </c>
    </row>
    <row r="2137" spans="1:58" ht="34.5" customHeight="1">
      <c r="A2137" s="8"/>
      <c r="B2137" s="112" t="str">
        <f>IF($C$1="ENG","Panel (1 set) 200 mm","Планка (1 к-т) 200 мм")</f>
        <v>Планка (1 к-т) 200 мм</v>
      </c>
      <c r="C2137" s="162"/>
      <c r="D2137" s="25">
        <f>IF(AC2137="","",(1-$W$2)*(AC2137/1.2))</f>
        <v>1833.3333333333335</v>
      </c>
      <c r="E2137" s="278">
        <f>IF($W$5=0.2,D2137*1.2,D2137)/$W$4</f>
        <v>2200</v>
      </c>
      <c r="F2137" s="281">
        <f>IF(AD2137="","",(1-$W$2)*(AD2137/1.2))</f>
        <v>2383.3333333333335</v>
      </c>
      <c r="G2137" s="72">
        <f>IF($W$5=0.2,F2137*1.2,F2137)/$W$4</f>
        <v>2860</v>
      </c>
      <c r="H2137" s="25">
        <f>IF(AE2137="","",(1-$W$2)*(AE2137/1.2))</f>
        <v>2116.666666666667</v>
      </c>
      <c r="I2137" s="278">
        <f>IF($W$5=0.2,H2137*1.2,H2137)/$W$4</f>
        <v>2540.0000000000005</v>
      </c>
      <c r="J2137" s="281">
        <f>IF(AF2137="","",(1-$W$2)*(AF2137/1.2))</f>
        <v>2750</v>
      </c>
      <c r="K2137" s="72">
        <f>IF($W$5=0.2,J2137*1.2,J2137)/$W$4</f>
        <v>3300</v>
      </c>
      <c r="L2137" s="25">
        <f>IF(AG2137="","",(1-$W$2)*(AG2137/1.2))</f>
        <v>2275</v>
      </c>
      <c r="M2137" s="278">
        <f>IF($W$5=0.2,L2137*1.2,L2137)/$W$4</f>
        <v>2730</v>
      </c>
      <c r="N2137" s="281">
        <f>IF(AH2137="","",(1-$W$2)*(AH2137/1.2))</f>
        <v>2950</v>
      </c>
      <c r="O2137" s="72">
        <f>IF($W$5=0.2,N2137*1.2,N2137)/$W$4</f>
        <v>3540</v>
      </c>
      <c r="P2137" s="25">
        <f>IF(AI2137="","",(1-$W$2)*(AI2137/1.2))</f>
        <v>2391.666666666667</v>
      </c>
      <c r="Q2137" s="278">
        <f>IF($W$5=0.2,P2137*1.2,P2137)/$W$4</f>
        <v>2870.0000000000005</v>
      </c>
      <c r="R2137" s="281">
        <f>IF(AJ2137="","",(1-$W$2)*(AJ2137/1.2))</f>
        <v>3108.3333333333335</v>
      </c>
      <c r="S2137" s="72">
        <f>IF($W$5=0.2,R2137*1.2,R2137)/$W$4</f>
        <v>3730</v>
      </c>
      <c r="T2137" s="25">
        <f>IF(AK2137="","",(1-$W$2)*(AK2137/1.2))</f>
        <v>2600</v>
      </c>
      <c r="U2137" s="278">
        <f>IF($W$5=0.2,T2137*1.2,T2137)/$W$4</f>
        <v>3120</v>
      </c>
      <c r="V2137" s="281">
        <f>IF(AL2137="","",(1-$W$2)*(AL2137/1.2))</f>
        <v>3383.3333333333335</v>
      </c>
      <c r="W2137" s="72">
        <f>IF($W$5=0.2,V2137*1.2,V2137)/$W$4</f>
        <v>4060</v>
      </c>
      <c r="X2137" s="22"/>
      <c r="Y2137" s="22"/>
      <c r="Z2137" s="22"/>
      <c r="AA2137" s="22"/>
      <c r="AB2137" s="22"/>
      <c r="AC2137" s="346">
        <v>2200</v>
      </c>
      <c r="AD2137" s="346">
        <v>2860</v>
      </c>
      <c r="AE2137" s="346">
        <v>2540</v>
      </c>
      <c r="AF2137" s="346">
        <v>3300</v>
      </c>
      <c r="AG2137" s="346">
        <v>2730</v>
      </c>
      <c r="AH2137" s="346">
        <v>3540</v>
      </c>
      <c r="AI2137" s="346">
        <v>2870</v>
      </c>
      <c r="AJ2137" s="346">
        <v>3730</v>
      </c>
      <c r="AK2137" s="346">
        <v>3120</v>
      </c>
      <c r="AL2137" s="346">
        <v>4060</v>
      </c>
      <c r="AM2137" s="348">
        <v>2200</v>
      </c>
      <c r="AN2137" s="323">
        <f t="shared" si="215"/>
        <v>0</v>
      </c>
      <c r="AO2137" s="348">
        <v>2860</v>
      </c>
      <c r="AP2137" s="495">
        <f t="shared" si="216"/>
        <v>0</v>
      </c>
      <c r="AQ2137" s="348">
        <v>2540</v>
      </c>
      <c r="AR2137" s="348">
        <f t="shared" si="217"/>
        <v>0</v>
      </c>
      <c r="AS2137" s="348">
        <v>3300</v>
      </c>
      <c r="AT2137" s="348">
        <f t="shared" si="218"/>
        <v>0</v>
      </c>
      <c r="AU2137" s="348">
        <v>2730</v>
      </c>
      <c r="AV2137" s="348">
        <f t="shared" si="219"/>
        <v>0</v>
      </c>
      <c r="AW2137" s="1">
        <v>3540</v>
      </c>
    </row>
    <row r="2138" spans="1:58">
      <c r="C2138" s="26"/>
      <c r="D2138" s="26"/>
      <c r="E2138" s="60"/>
      <c r="F2138" s="60"/>
      <c r="G2138" s="60"/>
      <c r="H2138" s="60"/>
      <c r="I2138" s="60"/>
      <c r="J2138" s="60"/>
      <c r="K2138" s="60"/>
      <c r="L2138" s="60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>
        <f t="shared" ref="F2138:V2138" si="220">V2136/100*30</f>
        <v>827.50000000000011</v>
      </c>
      <c r="W2138" s="60"/>
      <c r="AD2138" s="1">
        <f>AD2137-AC2137</f>
        <v>660</v>
      </c>
      <c r="AF2138" s="1">
        <f>AF2137-AE2137</f>
        <v>760</v>
      </c>
      <c r="AH2138" s="1">
        <f>AH2137-AG2137</f>
        <v>810</v>
      </c>
      <c r="AJ2138" s="1">
        <f>AJ2137-AI2137</f>
        <v>860</v>
      </c>
      <c r="AL2138" s="1">
        <f>AL2137-AK2137</f>
        <v>940</v>
      </c>
      <c r="AP2138" s="347"/>
      <c r="AQ2138" s="347"/>
      <c r="AR2138" s="347"/>
      <c r="AT2138" s="410"/>
    </row>
    <row r="2139" spans="1:58">
      <c r="B2139" s="220" t="str">
        <f>IF($C$1="ENG","For additonal charge:","Послуги за додаткову плату:")</f>
        <v>Послуги за додаткову плату:</v>
      </c>
      <c r="C2139" s="221"/>
      <c r="D2139" s="221"/>
      <c r="E2139" s="222"/>
      <c r="F2139" s="39"/>
      <c r="G2139" s="39"/>
      <c r="H2139" s="10"/>
      <c r="I2139" s="87"/>
      <c r="J2139" s="8"/>
      <c r="K2139" s="8"/>
      <c r="L2139" s="109"/>
      <c r="N2139" s="109"/>
      <c r="P2139" s="109"/>
      <c r="R2139" s="109"/>
      <c r="U2139" s="20"/>
      <c r="W2139" s="20"/>
      <c r="AP2139" s="347"/>
      <c r="AQ2139" s="347"/>
      <c r="AR2139" s="347"/>
      <c r="AT2139" s="410"/>
    </row>
    <row r="2140" spans="1:58" ht="5.0999999999999996" customHeight="1">
      <c r="B2140" s="27"/>
      <c r="C2140" s="26"/>
      <c r="D2140" s="26"/>
      <c r="E2140" s="60"/>
      <c r="F2140" s="26"/>
      <c r="G2140" s="26"/>
      <c r="H2140" s="10"/>
      <c r="I2140" s="8"/>
      <c r="J2140" s="8"/>
      <c r="K2140" s="8"/>
      <c r="U2140" s="20"/>
      <c r="W2140" s="20"/>
      <c r="AP2140" s="348"/>
      <c r="AQ2140" s="348"/>
      <c r="AR2140" s="348"/>
      <c r="AS2140" s="323"/>
      <c r="AT2140" s="409"/>
    </row>
    <row r="2141" spans="1:58">
      <c r="B2141" s="435" t="str">
        <f>IF($C$1="ENG","third door hindge","третя завіса")</f>
        <v>третя завіса</v>
      </c>
      <c r="C2141" s="436"/>
      <c r="D2141" s="51">
        <f>IF(AC2141="","",(1-$W$2)*(AC2141/1.2))</f>
        <v>66.666666666666671</v>
      </c>
      <c r="E2141" s="88">
        <f>IF($W$5=0.2,D2141*1.2,D2141)/$W$4</f>
        <v>80</v>
      </c>
      <c r="F2141" s="26"/>
      <c r="G2141" s="26"/>
      <c r="H2141" s="10"/>
      <c r="I2141" s="87"/>
      <c r="J2141" s="8"/>
      <c r="K2141" s="87"/>
      <c r="U2141" s="20"/>
      <c r="W2141" s="20"/>
      <c r="AC2141" s="310">
        <v>80</v>
      </c>
      <c r="AE2141" s="30"/>
      <c r="AF2141" s="301"/>
      <c r="AG2141" s="301"/>
      <c r="AH2141" s="301"/>
      <c r="AI2141" s="301"/>
      <c r="AJ2141" s="301"/>
      <c r="AK2141" s="301"/>
      <c r="AL2141" s="301"/>
      <c r="AP2141" s="347"/>
      <c r="AQ2141" s="347"/>
      <c r="AR2141" s="347"/>
      <c r="AT2141" s="410"/>
    </row>
    <row r="2142" spans="1:58" ht="14.25" customHeight="1">
      <c r="T2142" s="465" t="str">
        <f>IF($C$1="ENG",CONCATENATE("down to: ",B2192),CONCATENATE("вниз до: ",B2192))</f>
        <v>вниз до: Дверна коробка Verto-FIT Plus</v>
      </c>
      <c r="U2142" s="465"/>
      <c r="V2142" s="465"/>
      <c r="W2142" s="465"/>
      <c r="AP2142" s="347"/>
      <c r="AQ2142" s="347"/>
      <c r="AR2142" s="347"/>
      <c r="AT2142" s="410"/>
    </row>
    <row r="2143" spans="1:58" ht="14.25" customHeight="1">
      <c r="C2143" s="26"/>
      <c r="D2143" s="26"/>
      <c r="E2143" s="26"/>
      <c r="F2143" s="26"/>
      <c r="G2143" s="60"/>
      <c r="H2143" s="5"/>
      <c r="K2143" s="87"/>
      <c r="L2143" s="290"/>
      <c r="O2143" s="60"/>
      <c r="P2143" s="290"/>
      <c r="S2143" s="60"/>
      <c r="T2143" s="290"/>
      <c r="W2143" s="60"/>
      <c r="X2143" s="290"/>
      <c r="Y2143" s="290"/>
      <c r="Z2143" s="290"/>
      <c r="AA2143" s="290"/>
      <c r="AB2143" s="290"/>
      <c r="AP2143" s="347"/>
      <c r="AQ2143" s="347"/>
      <c r="AR2143" s="347"/>
      <c r="AT2143" s="410"/>
    </row>
    <row r="2144" spans="1:58" ht="14.25" customHeight="1">
      <c r="C2144" s="26"/>
      <c r="D2144" s="26"/>
      <c r="E2144" s="26"/>
      <c r="F2144" s="26"/>
      <c r="G2144" s="60"/>
      <c r="H2144" s="290"/>
      <c r="K2144" s="60"/>
      <c r="L2144" s="290"/>
      <c r="M2144" s="258"/>
      <c r="N2144" s="254"/>
      <c r="O2144" s="258"/>
      <c r="P2144" s="290"/>
      <c r="Q2144" s="258"/>
      <c r="R2144" s="254"/>
      <c r="S2144" s="258"/>
      <c r="T2144" s="290"/>
      <c r="U2144" s="258"/>
      <c r="V2144" s="254"/>
      <c r="W2144" s="258"/>
      <c r="X2144" s="290"/>
      <c r="Y2144" s="290"/>
      <c r="Z2144" s="290"/>
      <c r="AA2144" s="290"/>
      <c r="AB2144" s="290"/>
      <c r="AP2144" s="347"/>
      <c r="AQ2144" s="347"/>
      <c r="AR2144" s="347"/>
      <c r="AT2144" s="410"/>
    </row>
    <row r="2145" spans="3:49" ht="14.25" customHeight="1">
      <c r="C2145" s="26"/>
      <c r="D2145" s="254"/>
      <c r="F2145" s="254"/>
      <c r="G2145" s="258"/>
      <c r="H2145" s="290"/>
      <c r="I2145" s="258"/>
      <c r="J2145" s="254"/>
      <c r="K2145" s="258"/>
      <c r="L2145" s="290"/>
      <c r="M2145" s="295"/>
      <c r="N2145" s="254"/>
      <c r="O2145" s="258"/>
      <c r="P2145" s="290"/>
      <c r="Q2145" s="295"/>
      <c r="R2145" s="254"/>
      <c r="S2145" s="258"/>
      <c r="T2145" s="290"/>
      <c r="U2145" s="295"/>
      <c r="V2145" s="254"/>
      <c r="W2145" s="258"/>
      <c r="X2145" s="290"/>
      <c r="Y2145" s="290"/>
      <c r="Z2145" s="290"/>
      <c r="AA2145" s="290"/>
      <c r="AB2145" s="290"/>
    </row>
    <row r="2146" spans="3:49" ht="14.25" customHeight="1">
      <c r="C2146" s="26"/>
      <c r="D2146" s="254"/>
      <c r="E2146" s="295"/>
      <c r="F2146" s="254"/>
      <c r="G2146" s="258"/>
      <c r="H2146" s="290"/>
      <c r="I2146" s="295"/>
      <c r="J2146" s="254"/>
      <c r="K2146" s="258"/>
      <c r="L2146" s="290"/>
      <c r="M2146" s="295"/>
      <c r="N2146" s="254"/>
      <c r="O2146" s="258"/>
      <c r="P2146" s="290"/>
      <c r="Q2146" s="295"/>
      <c r="R2146" s="254"/>
      <c r="S2146" s="258"/>
      <c r="T2146" s="290"/>
      <c r="U2146" s="295"/>
      <c r="V2146" s="254"/>
      <c r="W2146" s="258"/>
      <c r="X2146" s="290"/>
      <c r="Y2146" s="290"/>
      <c r="Z2146" s="290"/>
      <c r="AA2146" s="290"/>
      <c r="AB2146" s="290"/>
    </row>
    <row r="2147" spans="3:49" ht="14.25" customHeight="1">
      <c r="C2147" s="26"/>
      <c r="D2147" s="254"/>
      <c r="E2147" s="295"/>
      <c r="F2147" s="254"/>
      <c r="G2147" s="258"/>
      <c r="H2147" s="290"/>
      <c r="I2147" s="295"/>
      <c r="J2147" s="254"/>
      <c r="K2147" s="258"/>
      <c r="L2147" s="290"/>
      <c r="M2147" s="295"/>
      <c r="N2147" s="254"/>
      <c r="O2147" s="258"/>
      <c r="P2147" s="290"/>
      <c r="Q2147" s="295"/>
      <c r="R2147" s="254"/>
      <c r="S2147" s="258"/>
      <c r="T2147" s="290"/>
      <c r="U2147" s="295"/>
      <c r="V2147" s="254"/>
      <c r="W2147" s="258"/>
      <c r="X2147" s="290"/>
      <c r="Y2147" s="290"/>
      <c r="Z2147" s="290"/>
      <c r="AA2147" s="290"/>
      <c r="AB2147" s="290"/>
    </row>
    <row r="2148" spans="3:49" ht="14.25" customHeight="1">
      <c r="C2148" s="26"/>
      <c r="D2148" s="254"/>
      <c r="E2148" s="295"/>
      <c r="F2148" s="254"/>
      <c r="G2148" s="258"/>
      <c r="H2148" s="290"/>
      <c r="I2148" s="295"/>
      <c r="J2148" s="254"/>
      <c r="K2148" s="258"/>
      <c r="L2148" s="290"/>
      <c r="M2148" s="295"/>
      <c r="N2148" s="254"/>
      <c r="O2148" s="258"/>
      <c r="P2148" s="290"/>
      <c r="Q2148" s="295"/>
      <c r="R2148" s="254"/>
      <c r="S2148" s="258"/>
      <c r="T2148" s="290"/>
      <c r="U2148" s="295"/>
      <c r="V2148" s="254"/>
      <c r="W2148" s="258"/>
      <c r="X2148" s="290"/>
      <c r="Y2148" s="290"/>
      <c r="Z2148" s="290"/>
      <c r="AA2148" s="290"/>
      <c r="AB2148" s="290"/>
    </row>
    <row r="2149" spans="3:49" ht="14.25" customHeight="1">
      <c r="C2149" s="26"/>
      <c r="D2149" s="254"/>
      <c r="E2149" s="295"/>
      <c r="F2149" s="254"/>
      <c r="G2149" s="258"/>
      <c r="H2149" s="290"/>
      <c r="I2149" s="295"/>
      <c r="J2149" s="254"/>
      <c r="K2149" s="258"/>
      <c r="L2149" s="290"/>
      <c r="M2149" s="295"/>
      <c r="N2149" s="254"/>
      <c r="O2149" s="258"/>
      <c r="P2149" s="290"/>
      <c r="Q2149" s="295"/>
      <c r="R2149" s="254"/>
      <c r="S2149" s="258"/>
      <c r="T2149" s="290"/>
      <c r="U2149" s="295"/>
      <c r="V2149" s="254"/>
      <c r="W2149" s="258"/>
      <c r="X2149" s="290"/>
      <c r="Y2149" s="290"/>
      <c r="Z2149" s="290"/>
      <c r="AA2149" s="290"/>
      <c r="AB2149" s="290"/>
      <c r="AM2149" s="1">
        <f>AC2149/100*13+AC2149</f>
        <v>0</v>
      </c>
      <c r="AN2149" s="30" t="e">
        <f>AM2149/AC2149-1</f>
        <v>#DIV/0!</v>
      </c>
      <c r="AO2149" s="30">
        <f>AD2149/100*13+AD2149</f>
        <v>0</v>
      </c>
      <c r="AP2149" s="30" t="e">
        <f>AO2149/AD2149-1</f>
        <v>#DIV/0!</v>
      </c>
      <c r="AQ2149" s="30">
        <f>AE2149/100*13+AE2149</f>
        <v>0</v>
      </c>
      <c r="AR2149" s="30" t="e">
        <f>AQ2149/AE2149-1</f>
        <v>#DIV/0!</v>
      </c>
      <c r="AS2149" s="30">
        <f>AF2149/100*13+AF2149</f>
        <v>0</v>
      </c>
      <c r="AT2149" s="30" t="e">
        <f>AS2149/AF2149-1</f>
        <v>#DIV/0!</v>
      </c>
      <c r="AU2149" s="1">
        <f>AG2149/100*13+AG2149</f>
        <v>0</v>
      </c>
      <c r="AV2149" s="1" t="e">
        <f>AU2149/AG2149-1</f>
        <v>#DIV/0!</v>
      </c>
      <c r="AW2149" s="1">
        <f>AH2149/100*13+AH2149</f>
        <v>0</v>
      </c>
    </row>
    <row r="2150" spans="3:49" ht="14.25" customHeight="1">
      <c r="C2150" s="26"/>
      <c r="D2150" s="254"/>
      <c r="E2150" s="295"/>
      <c r="F2150" s="254"/>
      <c r="G2150" s="258"/>
      <c r="H2150" s="290"/>
      <c r="I2150" s="295"/>
      <c r="J2150" s="254"/>
      <c r="K2150" s="258"/>
      <c r="L2150" s="290"/>
      <c r="M2150" s="295"/>
      <c r="N2150" s="254"/>
      <c r="O2150" s="258"/>
      <c r="P2150" s="290"/>
      <c r="Q2150" s="295"/>
      <c r="R2150" s="254"/>
      <c r="S2150" s="258"/>
      <c r="T2150" s="290"/>
      <c r="U2150" s="295"/>
      <c r="V2150" s="254"/>
      <c r="W2150" s="258"/>
      <c r="X2150" s="290"/>
      <c r="Y2150" s="290"/>
      <c r="Z2150" s="290"/>
      <c r="AA2150" s="290"/>
      <c r="AB2150" s="290"/>
      <c r="AM2150" s="1">
        <f t="shared" ref="AM2150:AM2158" si="221">AC2150/100*13+AC2150</f>
        <v>0</v>
      </c>
      <c r="AN2150" s="30" t="e">
        <f t="shared" ref="AN2150:AN2158" si="222">AM2150/AC2150-1</f>
        <v>#DIV/0!</v>
      </c>
      <c r="AO2150" s="30">
        <f t="shared" ref="AO2150:AO2158" si="223">AD2150/100*13+AD2150</f>
        <v>0</v>
      </c>
      <c r="AP2150" s="30" t="e">
        <f t="shared" ref="AP2150:AP2158" si="224">AO2150/AD2150-1</f>
        <v>#DIV/0!</v>
      </c>
      <c r="AQ2150" s="30">
        <f t="shared" ref="AQ2150:AQ2158" si="225">AE2150/100*13+AE2150</f>
        <v>0</v>
      </c>
      <c r="AR2150" s="30" t="e">
        <f t="shared" ref="AR2150:AR2158" si="226">AQ2150/AE2150-1</f>
        <v>#DIV/0!</v>
      </c>
      <c r="AS2150" s="30">
        <f t="shared" ref="AS2150:AS2158" si="227">AF2150/100*13+AF2150</f>
        <v>0</v>
      </c>
      <c r="AT2150" s="30" t="e">
        <f t="shared" ref="AT2150:AT2158" si="228">AS2150/AF2150-1</f>
        <v>#DIV/0!</v>
      </c>
      <c r="AU2150" s="1">
        <f t="shared" ref="AU2150:AU2158" si="229">AG2150/100*13+AG2150</f>
        <v>0</v>
      </c>
      <c r="AV2150" s="1" t="e">
        <f t="shared" ref="AV2150:AV2158" si="230">AU2150/AG2150-1</f>
        <v>#DIV/0!</v>
      </c>
      <c r="AW2150" s="1">
        <f t="shared" ref="AW2150:AW2158" si="231">AH2150/100*13+AH2150</f>
        <v>0</v>
      </c>
    </row>
    <row r="2151" spans="3:49" ht="14.25" customHeight="1">
      <c r="C2151" s="26"/>
      <c r="D2151" s="254"/>
      <c r="E2151" s="295"/>
      <c r="F2151" s="254"/>
      <c r="G2151" s="258"/>
      <c r="H2151" s="290"/>
      <c r="I2151" s="295"/>
      <c r="J2151" s="254"/>
      <c r="K2151" s="258"/>
      <c r="L2151" s="290"/>
      <c r="M2151" s="295"/>
      <c r="N2151" s="254"/>
      <c r="O2151" s="258"/>
      <c r="P2151" s="290"/>
      <c r="Q2151" s="295"/>
      <c r="R2151" s="254"/>
      <c r="S2151" s="258"/>
      <c r="T2151" s="290"/>
      <c r="U2151" s="295"/>
      <c r="V2151" s="254"/>
      <c r="W2151" s="258"/>
      <c r="X2151" s="290"/>
      <c r="Y2151" s="290"/>
      <c r="Z2151" s="290"/>
      <c r="AA2151" s="290"/>
      <c r="AB2151" s="290"/>
      <c r="AM2151" s="1">
        <f t="shared" si="221"/>
        <v>0</v>
      </c>
      <c r="AN2151" s="30" t="e">
        <f t="shared" si="222"/>
        <v>#DIV/0!</v>
      </c>
      <c r="AO2151" s="30">
        <f t="shared" si="223"/>
        <v>0</v>
      </c>
      <c r="AP2151" s="30" t="e">
        <f t="shared" si="224"/>
        <v>#DIV/0!</v>
      </c>
      <c r="AQ2151" s="30">
        <f t="shared" si="225"/>
        <v>0</v>
      </c>
      <c r="AR2151" s="30" t="e">
        <f t="shared" si="226"/>
        <v>#DIV/0!</v>
      </c>
      <c r="AS2151" s="30">
        <f t="shared" si="227"/>
        <v>0</v>
      </c>
      <c r="AT2151" s="30" t="e">
        <f t="shared" si="228"/>
        <v>#DIV/0!</v>
      </c>
      <c r="AU2151" s="1">
        <f t="shared" si="229"/>
        <v>0</v>
      </c>
      <c r="AV2151" s="1" t="e">
        <f t="shared" si="230"/>
        <v>#DIV/0!</v>
      </c>
      <c r="AW2151" s="1">
        <f t="shared" si="231"/>
        <v>0</v>
      </c>
    </row>
    <row r="2152" spans="3:49" ht="14.25" customHeight="1">
      <c r="C2152" s="26"/>
      <c r="D2152" s="254"/>
      <c r="E2152" s="295"/>
      <c r="F2152" s="254"/>
      <c r="G2152" s="258"/>
      <c r="H2152" s="290"/>
      <c r="I2152" s="295"/>
      <c r="J2152" s="254"/>
      <c r="K2152" s="258"/>
      <c r="L2152" s="290"/>
      <c r="M2152" s="295"/>
      <c r="N2152" s="254"/>
      <c r="O2152" s="258"/>
      <c r="P2152" s="290"/>
      <c r="Q2152" s="295"/>
      <c r="R2152" s="254"/>
      <c r="S2152" s="258"/>
      <c r="T2152" s="290"/>
      <c r="U2152" s="295"/>
      <c r="V2152" s="254"/>
      <c r="W2152" s="258"/>
      <c r="X2152" s="290"/>
      <c r="Y2152" s="290"/>
      <c r="Z2152" s="290"/>
      <c r="AA2152" s="290"/>
      <c r="AB2152" s="290"/>
      <c r="AM2152" s="1">
        <f t="shared" si="221"/>
        <v>0</v>
      </c>
      <c r="AN2152" s="30" t="e">
        <f t="shared" si="222"/>
        <v>#DIV/0!</v>
      </c>
      <c r="AO2152" s="30">
        <f t="shared" si="223"/>
        <v>0</v>
      </c>
      <c r="AP2152" s="30" t="e">
        <f t="shared" si="224"/>
        <v>#DIV/0!</v>
      </c>
      <c r="AQ2152" s="30">
        <f t="shared" si="225"/>
        <v>0</v>
      </c>
      <c r="AR2152" s="30" t="e">
        <f t="shared" si="226"/>
        <v>#DIV/0!</v>
      </c>
      <c r="AS2152" s="30">
        <f t="shared" si="227"/>
        <v>0</v>
      </c>
      <c r="AT2152" s="30" t="e">
        <f t="shared" si="228"/>
        <v>#DIV/0!</v>
      </c>
      <c r="AU2152" s="1">
        <f t="shared" si="229"/>
        <v>0</v>
      </c>
      <c r="AV2152" s="1" t="e">
        <f t="shared" si="230"/>
        <v>#DIV/0!</v>
      </c>
      <c r="AW2152" s="1">
        <f t="shared" si="231"/>
        <v>0</v>
      </c>
    </row>
    <row r="2153" spans="3:49" ht="14.25" customHeight="1">
      <c r="C2153" s="26"/>
      <c r="D2153" s="254"/>
      <c r="E2153" s="295"/>
      <c r="F2153" s="254"/>
      <c r="G2153" s="258"/>
      <c r="H2153" s="290"/>
      <c r="I2153" s="295"/>
      <c r="J2153" s="254"/>
      <c r="K2153" s="258"/>
      <c r="L2153" s="290"/>
      <c r="M2153" s="295"/>
      <c r="N2153" s="254"/>
      <c r="O2153" s="258"/>
      <c r="P2153" s="290"/>
      <c r="Q2153" s="295"/>
      <c r="R2153" s="254"/>
      <c r="S2153" s="258"/>
      <c r="T2153" s="290"/>
      <c r="U2153" s="295"/>
      <c r="V2153" s="254"/>
      <c r="W2153" s="258"/>
      <c r="X2153" s="290"/>
      <c r="Y2153" s="290"/>
      <c r="Z2153" s="290"/>
      <c r="AA2153" s="290"/>
      <c r="AB2153" s="290"/>
      <c r="AM2153" s="1">
        <f t="shared" si="221"/>
        <v>0</v>
      </c>
      <c r="AN2153" s="30" t="e">
        <f t="shared" si="222"/>
        <v>#DIV/0!</v>
      </c>
      <c r="AO2153" s="30">
        <f t="shared" si="223"/>
        <v>0</v>
      </c>
      <c r="AP2153" s="30" t="e">
        <f t="shared" si="224"/>
        <v>#DIV/0!</v>
      </c>
      <c r="AQ2153" s="30">
        <f t="shared" si="225"/>
        <v>0</v>
      </c>
      <c r="AR2153" s="30" t="e">
        <f t="shared" si="226"/>
        <v>#DIV/0!</v>
      </c>
      <c r="AS2153" s="30">
        <f t="shared" si="227"/>
        <v>0</v>
      </c>
      <c r="AT2153" s="30" t="e">
        <f t="shared" si="228"/>
        <v>#DIV/0!</v>
      </c>
      <c r="AU2153" s="1">
        <f t="shared" si="229"/>
        <v>0</v>
      </c>
      <c r="AV2153" s="1" t="e">
        <f t="shared" si="230"/>
        <v>#DIV/0!</v>
      </c>
      <c r="AW2153" s="1">
        <f t="shared" si="231"/>
        <v>0</v>
      </c>
    </row>
    <row r="2154" spans="3:49" ht="14.25" customHeight="1">
      <c r="C2154" s="26"/>
      <c r="D2154" s="254"/>
      <c r="E2154" s="295"/>
      <c r="F2154" s="254"/>
      <c r="G2154" s="258"/>
      <c r="H2154" s="290"/>
      <c r="I2154" s="295"/>
      <c r="J2154" s="254"/>
      <c r="K2154" s="258"/>
      <c r="L2154" s="290"/>
      <c r="M2154" s="295"/>
      <c r="N2154" s="254"/>
      <c r="O2154" s="258"/>
      <c r="P2154" s="290"/>
      <c r="Q2154" s="295"/>
      <c r="R2154" s="254"/>
      <c r="S2154" s="258"/>
      <c r="T2154" s="290"/>
      <c r="U2154" s="295"/>
      <c r="V2154" s="254"/>
      <c r="W2154" s="258"/>
      <c r="X2154" s="290"/>
      <c r="Y2154" s="290"/>
      <c r="Z2154" s="290"/>
      <c r="AA2154" s="290"/>
      <c r="AB2154" s="290"/>
      <c r="AM2154" s="1">
        <f t="shared" si="221"/>
        <v>0</v>
      </c>
      <c r="AN2154" s="30" t="e">
        <f t="shared" si="222"/>
        <v>#DIV/0!</v>
      </c>
      <c r="AO2154" s="30">
        <f t="shared" si="223"/>
        <v>0</v>
      </c>
      <c r="AP2154" s="30" t="e">
        <f t="shared" si="224"/>
        <v>#DIV/0!</v>
      </c>
      <c r="AQ2154" s="30">
        <f t="shared" si="225"/>
        <v>0</v>
      </c>
      <c r="AR2154" s="30" t="e">
        <f t="shared" si="226"/>
        <v>#DIV/0!</v>
      </c>
      <c r="AS2154" s="30">
        <f t="shared" si="227"/>
        <v>0</v>
      </c>
      <c r="AT2154" s="30" t="e">
        <f t="shared" si="228"/>
        <v>#DIV/0!</v>
      </c>
      <c r="AU2154" s="1">
        <f t="shared" si="229"/>
        <v>0</v>
      </c>
      <c r="AV2154" s="1" t="e">
        <f t="shared" si="230"/>
        <v>#DIV/0!</v>
      </c>
      <c r="AW2154" s="1">
        <f t="shared" si="231"/>
        <v>0</v>
      </c>
    </row>
    <row r="2155" spans="3:49" ht="14.25" customHeight="1">
      <c r="C2155" s="26"/>
      <c r="D2155" s="254"/>
      <c r="E2155" s="295"/>
      <c r="F2155" s="254"/>
      <c r="G2155" s="258"/>
      <c r="H2155" s="290"/>
      <c r="I2155" s="295"/>
      <c r="J2155" s="254"/>
      <c r="K2155" s="258"/>
      <c r="L2155" s="290"/>
      <c r="M2155" s="295"/>
      <c r="N2155" s="254"/>
      <c r="O2155" s="258"/>
      <c r="P2155" s="290"/>
      <c r="Q2155" s="295"/>
      <c r="R2155" s="254"/>
      <c r="S2155" s="258"/>
      <c r="T2155" s="290"/>
      <c r="U2155" s="295"/>
      <c r="V2155" s="254"/>
      <c r="W2155" s="258"/>
      <c r="X2155" s="290"/>
      <c r="Y2155" s="290"/>
      <c r="Z2155" s="290"/>
      <c r="AA2155" s="290"/>
      <c r="AB2155" s="290"/>
      <c r="AM2155" s="1">
        <f t="shared" si="221"/>
        <v>0</v>
      </c>
      <c r="AN2155" s="30" t="e">
        <f t="shared" si="222"/>
        <v>#DIV/0!</v>
      </c>
      <c r="AO2155" s="30">
        <f t="shared" si="223"/>
        <v>0</v>
      </c>
      <c r="AP2155" s="30" t="e">
        <f t="shared" si="224"/>
        <v>#DIV/0!</v>
      </c>
      <c r="AQ2155" s="30">
        <f t="shared" si="225"/>
        <v>0</v>
      </c>
      <c r="AR2155" s="30" t="e">
        <f t="shared" si="226"/>
        <v>#DIV/0!</v>
      </c>
      <c r="AS2155" s="30">
        <f t="shared" si="227"/>
        <v>0</v>
      </c>
      <c r="AT2155" s="30" t="e">
        <f t="shared" si="228"/>
        <v>#DIV/0!</v>
      </c>
      <c r="AU2155" s="1">
        <f t="shared" si="229"/>
        <v>0</v>
      </c>
      <c r="AV2155" s="1" t="e">
        <f t="shared" si="230"/>
        <v>#DIV/0!</v>
      </c>
      <c r="AW2155" s="1">
        <f t="shared" si="231"/>
        <v>0</v>
      </c>
    </row>
    <row r="2156" spans="3:49" ht="14.25" customHeight="1">
      <c r="C2156" s="26"/>
      <c r="D2156" s="254"/>
      <c r="E2156" s="295"/>
      <c r="F2156" s="254"/>
      <c r="G2156" s="258"/>
      <c r="H2156" s="290"/>
      <c r="I2156" s="295"/>
      <c r="J2156" s="254"/>
      <c r="K2156" s="258"/>
      <c r="L2156" s="290"/>
      <c r="M2156" s="295"/>
      <c r="N2156" s="254"/>
      <c r="O2156" s="258"/>
      <c r="P2156" s="290"/>
      <c r="Q2156" s="295"/>
      <c r="R2156" s="254"/>
      <c r="S2156" s="258"/>
      <c r="T2156" s="290"/>
      <c r="U2156" s="295"/>
      <c r="V2156" s="254"/>
      <c r="W2156" s="258"/>
      <c r="X2156" s="290"/>
      <c r="Y2156" s="290"/>
      <c r="Z2156" s="290"/>
      <c r="AA2156" s="290"/>
      <c r="AB2156" s="290"/>
      <c r="AM2156" s="1">
        <f t="shared" si="221"/>
        <v>0</v>
      </c>
      <c r="AN2156" s="30" t="e">
        <f t="shared" si="222"/>
        <v>#DIV/0!</v>
      </c>
      <c r="AO2156" s="30">
        <f t="shared" si="223"/>
        <v>0</v>
      </c>
      <c r="AP2156" s="30" t="e">
        <f t="shared" si="224"/>
        <v>#DIV/0!</v>
      </c>
      <c r="AQ2156" s="30">
        <f t="shared" si="225"/>
        <v>0</v>
      </c>
      <c r="AR2156" s="30" t="e">
        <f t="shared" si="226"/>
        <v>#DIV/0!</v>
      </c>
      <c r="AS2156" s="30">
        <f t="shared" si="227"/>
        <v>0</v>
      </c>
      <c r="AT2156" s="30" t="e">
        <f t="shared" si="228"/>
        <v>#DIV/0!</v>
      </c>
      <c r="AU2156" s="1">
        <f t="shared" si="229"/>
        <v>0</v>
      </c>
      <c r="AV2156" s="1" t="e">
        <f t="shared" si="230"/>
        <v>#DIV/0!</v>
      </c>
      <c r="AW2156" s="1">
        <f t="shared" si="231"/>
        <v>0</v>
      </c>
    </row>
    <row r="2157" spans="3:49" ht="14.25" customHeight="1">
      <c r="C2157" s="26"/>
      <c r="D2157" s="254"/>
      <c r="E2157" s="295"/>
      <c r="F2157" s="254"/>
      <c r="G2157" s="258"/>
      <c r="H2157" s="290"/>
      <c r="I2157" s="295"/>
      <c r="J2157" s="254"/>
      <c r="K2157" s="258"/>
      <c r="L2157" s="290"/>
      <c r="M2157" s="295"/>
      <c r="N2157" s="254"/>
      <c r="O2157" s="258"/>
      <c r="P2157" s="290"/>
      <c r="Q2157" s="295"/>
      <c r="R2157" s="254"/>
      <c r="S2157" s="258"/>
      <c r="T2157" s="290"/>
      <c r="U2157" s="295"/>
      <c r="V2157" s="254"/>
      <c r="W2157" s="258"/>
      <c r="X2157" s="290"/>
      <c r="Y2157" s="290"/>
      <c r="Z2157" s="290"/>
      <c r="AA2157" s="290"/>
      <c r="AB2157" s="290"/>
      <c r="AM2157" s="1">
        <f t="shared" si="221"/>
        <v>0</v>
      </c>
      <c r="AN2157" s="30" t="e">
        <f t="shared" si="222"/>
        <v>#DIV/0!</v>
      </c>
      <c r="AO2157" s="30">
        <f t="shared" si="223"/>
        <v>0</v>
      </c>
      <c r="AP2157" s="30" t="e">
        <f t="shared" si="224"/>
        <v>#DIV/0!</v>
      </c>
      <c r="AQ2157" s="30">
        <f t="shared" si="225"/>
        <v>0</v>
      </c>
      <c r="AR2157" s="30" t="e">
        <f t="shared" si="226"/>
        <v>#DIV/0!</v>
      </c>
      <c r="AS2157" s="30">
        <f t="shared" si="227"/>
        <v>0</v>
      </c>
      <c r="AT2157" s="30" t="e">
        <f t="shared" si="228"/>
        <v>#DIV/0!</v>
      </c>
      <c r="AU2157" s="1">
        <f t="shared" si="229"/>
        <v>0</v>
      </c>
      <c r="AV2157" s="1" t="e">
        <f t="shared" si="230"/>
        <v>#DIV/0!</v>
      </c>
      <c r="AW2157" s="1">
        <f t="shared" si="231"/>
        <v>0</v>
      </c>
    </row>
    <row r="2158" spans="3:49" ht="14.25" customHeight="1">
      <c r="C2158" s="26"/>
      <c r="D2158" s="254"/>
      <c r="E2158" s="295"/>
      <c r="F2158" s="254"/>
      <c r="G2158" s="258"/>
      <c r="H2158" s="290"/>
      <c r="I2158" s="295"/>
      <c r="J2158" s="254"/>
      <c r="K2158" s="258"/>
      <c r="L2158" s="290"/>
      <c r="M2158" s="295"/>
      <c r="N2158" s="254"/>
      <c r="O2158" s="258"/>
      <c r="P2158" s="290"/>
      <c r="Q2158" s="295"/>
      <c r="R2158" s="254"/>
      <c r="S2158" s="258"/>
      <c r="T2158" s="290"/>
      <c r="U2158" s="295"/>
      <c r="V2158" s="254"/>
      <c r="W2158" s="258"/>
      <c r="X2158" s="290"/>
      <c r="Y2158" s="290"/>
      <c r="Z2158" s="290"/>
      <c r="AA2158" s="290"/>
      <c r="AB2158" s="290"/>
      <c r="AM2158" s="1">
        <f t="shared" si="221"/>
        <v>0</v>
      </c>
      <c r="AN2158" s="30" t="e">
        <f t="shared" si="222"/>
        <v>#DIV/0!</v>
      </c>
      <c r="AO2158" s="30">
        <f t="shared" si="223"/>
        <v>0</v>
      </c>
      <c r="AP2158" s="30" t="e">
        <f t="shared" si="224"/>
        <v>#DIV/0!</v>
      </c>
      <c r="AQ2158" s="30">
        <f t="shared" si="225"/>
        <v>0</v>
      </c>
      <c r="AR2158" s="30" t="e">
        <f t="shared" si="226"/>
        <v>#DIV/0!</v>
      </c>
      <c r="AS2158" s="30">
        <f t="shared" si="227"/>
        <v>0</v>
      </c>
      <c r="AT2158" s="30" t="e">
        <f t="shared" si="228"/>
        <v>#DIV/0!</v>
      </c>
      <c r="AU2158" s="1">
        <f t="shared" si="229"/>
        <v>0</v>
      </c>
      <c r="AV2158" s="1" t="e">
        <f t="shared" si="230"/>
        <v>#DIV/0!</v>
      </c>
      <c r="AW2158" s="1">
        <f t="shared" si="231"/>
        <v>0</v>
      </c>
    </row>
    <row r="2159" spans="3:49" ht="14.25" customHeight="1">
      <c r="C2159" s="26"/>
      <c r="D2159" s="254"/>
      <c r="E2159" s="295"/>
      <c r="F2159" s="254"/>
      <c r="G2159" s="258"/>
      <c r="H2159" s="290"/>
      <c r="I2159" s="295"/>
      <c r="J2159" s="254"/>
      <c r="K2159" s="258"/>
      <c r="L2159" s="290"/>
      <c r="M2159" s="295"/>
      <c r="N2159" s="254"/>
      <c r="O2159" s="258"/>
      <c r="P2159" s="290"/>
      <c r="Q2159" s="295"/>
      <c r="R2159" s="254"/>
      <c r="S2159" s="258"/>
      <c r="T2159" s="290"/>
      <c r="U2159" s="295"/>
      <c r="V2159" s="254"/>
      <c r="W2159" s="258"/>
      <c r="X2159" s="290"/>
      <c r="Y2159" s="290"/>
      <c r="Z2159" s="290"/>
      <c r="AA2159" s="290"/>
      <c r="AB2159" s="290"/>
    </row>
    <row r="2160" spans="3:49" ht="14.25" customHeight="1">
      <c r="C2160" s="26"/>
      <c r="D2160" s="254"/>
      <c r="E2160" s="295"/>
      <c r="F2160" s="254"/>
      <c r="G2160" s="258"/>
      <c r="H2160" s="290"/>
      <c r="I2160" s="295"/>
      <c r="J2160" s="254"/>
      <c r="K2160" s="258"/>
      <c r="L2160" s="290"/>
      <c r="M2160" s="295"/>
      <c r="N2160" s="254"/>
      <c r="O2160" s="258"/>
      <c r="P2160" s="290"/>
      <c r="Q2160" s="295"/>
      <c r="R2160" s="254"/>
      <c r="S2160" s="258"/>
      <c r="T2160" s="290"/>
      <c r="U2160" s="295"/>
      <c r="V2160" s="254"/>
      <c r="W2160" s="258"/>
      <c r="X2160" s="290"/>
      <c r="Y2160" s="290"/>
      <c r="Z2160" s="290"/>
      <c r="AA2160" s="290"/>
      <c r="AB2160" s="290"/>
    </row>
    <row r="2161" spans="3:28" ht="14.25" customHeight="1">
      <c r="C2161" s="26"/>
      <c r="D2161" s="254"/>
      <c r="E2161" s="295"/>
      <c r="F2161" s="254"/>
      <c r="G2161" s="258"/>
      <c r="H2161" s="290"/>
      <c r="I2161" s="295"/>
      <c r="J2161" s="254"/>
      <c r="K2161" s="258"/>
      <c r="L2161" s="290"/>
      <c r="M2161" s="295"/>
      <c r="N2161" s="254"/>
      <c r="O2161" s="258"/>
      <c r="P2161" s="290"/>
      <c r="Q2161" s="295"/>
      <c r="R2161" s="254"/>
      <c r="S2161" s="258"/>
      <c r="T2161" s="290"/>
      <c r="U2161" s="295"/>
      <c r="V2161" s="254"/>
      <c r="W2161" s="258"/>
      <c r="X2161" s="290"/>
      <c r="Y2161" s="290"/>
      <c r="Z2161" s="290"/>
      <c r="AA2161" s="290"/>
      <c r="AB2161" s="290"/>
    </row>
    <row r="2162" spans="3:28" ht="14.25" customHeight="1">
      <c r="C2162" s="26"/>
      <c r="D2162" s="254"/>
      <c r="E2162" s="295"/>
      <c r="F2162" s="254"/>
      <c r="G2162" s="258"/>
      <c r="H2162" s="290"/>
      <c r="I2162" s="295"/>
      <c r="J2162" s="254"/>
      <c r="K2162" s="258"/>
      <c r="L2162" s="290"/>
      <c r="M2162" s="295"/>
      <c r="N2162" s="254"/>
      <c r="O2162" s="258"/>
      <c r="P2162" s="290"/>
      <c r="Q2162" s="295"/>
      <c r="R2162" s="254"/>
      <c r="S2162" s="258"/>
      <c r="T2162" s="290"/>
      <c r="U2162" s="295"/>
      <c r="V2162" s="254"/>
      <c r="W2162" s="258"/>
      <c r="X2162" s="290"/>
      <c r="Y2162" s="290"/>
      <c r="Z2162" s="290"/>
      <c r="AA2162" s="290"/>
      <c r="AB2162" s="290"/>
    </row>
    <row r="2163" spans="3:28" ht="14.25" customHeight="1">
      <c r="C2163" s="26"/>
      <c r="D2163" s="254"/>
      <c r="E2163" s="295"/>
      <c r="F2163" s="254"/>
      <c r="G2163" s="258"/>
      <c r="H2163" s="290"/>
      <c r="I2163" s="295"/>
      <c r="J2163" s="254"/>
      <c r="K2163" s="258"/>
      <c r="L2163" s="290"/>
      <c r="M2163" s="295"/>
      <c r="N2163" s="254"/>
      <c r="O2163" s="258"/>
      <c r="P2163" s="290"/>
      <c r="Q2163" s="295"/>
      <c r="R2163" s="254"/>
      <c r="S2163" s="258"/>
      <c r="T2163" s="290"/>
      <c r="U2163" s="295"/>
      <c r="V2163" s="254"/>
      <c r="W2163" s="258"/>
      <c r="X2163" s="290"/>
      <c r="Y2163" s="290"/>
      <c r="Z2163" s="290"/>
      <c r="AA2163" s="290"/>
      <c r="AB2163" s="290"/>
    </row>
    <row r="2164" spans="3:28" ht="14.25" customHeight="1">
      <c r="C2164" s="26"/>
      <c r="D2164" s="254"/>
      <c r="E2164" s="295"/>
      <c r="F2164" s="254"/>
      <c r="G2164" s="258"/>
      <c r="H2164" s="290"/>
      <c r="I2164" s="295"/>
      <c r="J2164" s="254"/>
      <c r="K2164" s="258"/>
      <c r="L2164" s="290"/>
      <c r="M2164" s="295"/>
      <c r="N2164" s="254"/>
      <c r="O2164" s="258"/>
      <c r="P2164" s="290"/>
      <c r="Q2164" s="295"/>
      <c r="R2164" s="254"/>
      <c r="S2164" s="258"/>
      <c r="T2164" s="290"/>
      <c r="U2164" s="295"/>
      <c r="V2164" s="254"/>
      <c r="W2164" s="258"/>
      <c r="X2164" s="290"/>
      <c r="Y2164" s="290"/>
      <c r="Z2164" s="290"/>
      <c r="AA2164" s="290"/>
      <c r="AB2164" s="290"/>
    </row>
    <row r="2165" spans="3:28" ht="14.25" customHeight="1">
      <c r="C2165" s="26"/>
      <c r="D2165" s="254"/>
      <c r="E2165" s="295"/>
      <c r="F2165" s="254"/>
      <c r="G2165" s="258"/>
      <c r="H2165" s="290"/>
      <c r="I2165" s="295"/>
      <c r="J2165" s="254"/>
      <c r="K2165" s="258"/>
      <c r="L2165" s="290"/>
      <c r="M2165" s="295"/>
      <c r="N2165" s="254"/>
      <c r="O2165" s="258"/>
      <c r="P2165" s="290"/>
      <c r="Q2165" s="295"/>
      <c r="R2165" s="254"/>
      <c r="S2165" s="258"/>
      <c r="T2165" s="290"/>
      <c r="U2165" s="295"/>
      <c r="V2165" s="254"/>
      <c r="W2165" s="258"/>
      <c r="X2165" s="290"/>
      <c r="Y2165" s="290"/>
      <c r="Z2165" s="290"/>
      <c r="AA2165" s="290"/>
      <c r="AB2165" s="290"/>
    </row>
    <row r="2166" spans="3:28" ht="14.25" customHeight="1">
      <c r="C2166" s="26"/>
      <c r="D2166" s="254"/>
      <c r="E2166" s="295"/>
      <c r="F2166" s="254"/>
      <c r="G2166" s="258"/>
      <c r="H2166" s="290"/>
      <c r="I2166" s="295"/>
      <c r="J2166" s="254"/>
      <c r="K2166" s="258"/>
      <c r="L2166" s="290"/>
      <c r="M2166" s="295"/>
      <c r="N2166" s="254"/>
      <c r="O2166" s="258"/>
      <c r="P2166" s="290"/>
      <c r="Q2166" s="295"/>
      <c r="R2166" s="254"/>
      <c r="S2166" s="258"/>
      <c r="T2166" s="290"/>
      <c r="U2166" s="295"/>
      <c r="V2166" s="254"/>
      <c r="W2166" s="258"/>
      <c r="X2166" s="290"/>
      <c r="Y2166" s="290"/>
      <c r="Z2166" s="290"/>
      <c r="AA2166" s="290"/>
      <c r="AB2166" s="290"/>
    </row>
    <row r="2167" spans="3:28" ht="14.25" customHeight="1">
      <c r="C2167" s="26"/>
      <c r="D2167" s="254"/>
      <c r="E2167" s="295"/>
      <c r="F2167" s="254"/>
      <c r="G2167" s="258"/>
      <c r="H2167" s="290"/>
      <c r="I2167" s="295"/>
      <c r="J2167" s="254"/>
      <c r="K2167" s="258"/>
      <c r="L2167" s="290"/>
      <c r="M2167" s="295"/>
      <c r="N2167" s="254"/>
      <c r="O2167" s="258"/>
      <c r="P2167" s="290"/>
      <c r="Q2167" s="295"/>
      <c r="R2167" s="254"/>
      <c r="S2167" s="258"/>
      <c r="T2167" s="290"/>
      <c r="U2167" s="295"/>
      <c r="V2167" s="254"/>
      <c r="W2167" s="258"/>
      <c r="X2167" s="290"/>
      <c r="Y2167" s="290"/>
      <c r="Z2167" s="290"/>
      <c r="AA2167" s="290"/>
      <c r="AB2167" s="290"/>
    </row>
    <row r="2168" spans="3:28" ht="14.25" customHeight="1">
      <c r="C2168" s="26"/>
      <c r="D2168" s="254"/>
      <c r="E2168" s="295"/>
      <c r="F2168" s="254"/>
      <c r="G2168" s="258"/>
      <c r="H2168" s="290"/>
      <c r="I2168" s="295"/>
      <c r="J2168" s="254"/>
      <c r="K2168" s="258"/>
      <c r="L2168" s="290"/>
      <c r="M2168" s="295"/>
      <c r="N2168" s="254"/>
      <c r="O2168" s="258"/>
      <c r="P2168" s="290"/>
      <c r="Q2168" s="295"/>
      <c r="R2168" s="254"/>
      <c r="S2168" s="258"/>
      <c r="T2168" s="290"/>
      <c r="U2168" s="295"/>
      <c r="V2168" s="254"/>
      <c r="W2168" s="258"/>
      <c r="X2168" s="290"/>
      <c r="Y2168" s="290"/>
      <c r="Z2168" s="290"/>
      <c r="AA2168" s="290"/>
      <c r="AB2168" s="290"/>
    </row>
    <row r="2169" spans="3:28" ht="14.25" customHeight="1">
      <c r="C2169" s="26"/>
      <c r="D2169" s="254"/>
      <c r="E2169" s="295"/>
      <c r="F2169" s="254"/>
      <c r="G2169" s="258"/>
      <c r="H2169" s="290"/>
      <c r="I2169" s="295"/>
      <c r="J2169" s="254"/>
      <c r="K2169" s="258"/>
      <c r="L2169" s="290"/>
      <c r="M2169" s="295"/>
      <c r="N2169" s="254"/>
      <c r="O2169" s="258"/>
      <c r="P2169" s="290"/>
      <c r="Q2169" s="295"/>
      <c r="R2169" s="254"/>
      <c r="S2169" s="258"/>
      <c r="T2169" s="290"/>
      <c r="U2169" s="295"/>
      <c r="V2169" s="254"/>
      <c r="W2169" s="258"/>
      <c r="X2169" s="290"/>
      <c r="Y2169" s="290"/>
      <c r="Z2169" s="290"/>
      <c r="AA2169" s="290"/>
      <c r="AB2169" s="290"/>
    </row>
    <row r="2170" spans="3:28" ht="14.25" customHeight="1">
      <c r="C2170" s="26"/>
      <c r="D2170" s="254"/>
      <c r="E2170" s="295"/>
      <c r="F2170" s="254"/>
      <c r="G2170" s="258"/>
      <c r="H2170" s="290"/>
      <c r="I2170" s="295"/>
      <c r="J2170" s="254"/>
      <c r="K2170" s="258"/>
      <c r="L2170" s="290"/>
      <c r="M2170" s="295"/>
      <c r="N2170" s="254"/>
      <c r="O2170" s="258"/>
      <c r="P2170" s="290"/>
      <c r="Q2170" s="295"/>
      <c r="R2170" s="254"/>
      <c r="S2170" s="258"/>
      <c r="T2170" s="290"/>
      <c r="U2170" s="295"/>
      <c r="V2170" s="254"/>
      <c r="W2170" s="258"/>
      <c r="X2170" s="290"/>
      <c r="Y2170" s="290"/>
      <c r="Z2170" s="290"/>
      <c r="AA2170" s="290"/>
      <c r="AB2170" s="290"/>
    </row>
    <row r="2171" spans="3:28" ht="14.25" customHeight="1">
      <c r="C2171" s="26"/>
      <c r="D2171" s="254"/>
      <c r="E2171" s="295"/>
      <c r="F2171" s="254"/>
      <c r="G2171" s="258"/>
      <c r="H2171" s="290"/>
      <c r="I2171" s="295"/>
      <c r="J2171" s="254"/>
      <c r="K2171" s="258"/>
      <c r="L2171" s="290"/>
      <c r="M2171" s="295"/>
      <c r="N2171" s="254"/>
      <c r="O2171" s="258"/>
      <c r="P2171" s="290"/>
      <c r="Q2171" s="295"/>
      <c r="R2171" s="254"/>
      <c r="S2171" s="258"/>
      <c r="T2171" s="290"/>
      <c r="U2171" s="295"/>
      <c r="V2171" s="254"/>
      <c r="W2171" s="258"/>
      <c r="X2171" s="290"/>
      <c r="Y2171" s="290"/>
      <c r="Z2171" s="290"/>
      <c r="AA2171" s="290"/>
      <c r="AB2171" s="290"/>
    </row>
    <row r="2172" spans="3:28" ht="14.25" customHeight="1">
      <c r="C2172" s="26"/>
      <c r="D2172" s="254"/>
      <c r="E2172" s="295"/>
      <c r="F2172" s="254"/>
      <c r="G2172" s="258"/>
      <c r="H2172" s="290"/>
      <c r="I2172" s="295"/>
      <c r="J2172" s="254"/>
      <c r="K2172" s="258"/>
      <c r="L2172" s="290"/>
      <c r="M2172" s="295"/>
      <c r="N2172" s="254"/>
      <c r="O2172" s="258"/>
      <c r="P2172" s="290"/>
      <c r="Q2172" s="295"/>
      <c r="R2172" s="254"/>
      <c r="S2172" s="258"/>
      <c r="T2172" s="290"/>
      <c r="U2172" s="295"/>
      <c r="V2172" s="254"/>
      <c r="W2172" s="258"/>
      <c r="X2172" s="290"/>
      <c r="Y2172" s="290"/>
      <c r="Z2172" s="290"/>
      <c r="AA2172" s="290"/>
      <c r="AB2172" s="290"/>
    </row>
    <row r="2173" spans="3:28" ht="14.25" customHeight="1">
      <c r="C2173" s="26"/>
      <c r="D2173" s="254"/>
      <c r="E2173" s="295"/>
      <c r="F2173" s="254"/>
      <c r="G2173" s="258"/>
      <c r="H2173" s="290"/>
      <c r="I2173" s="295"/>
      <c r="J2173" s="254"/>
      <c r="K2173" s="258"/>
      <c r="L2173" s="290"/>
      <c r="M2173" s="295"/>
      <c r="N2173" s="254"/>
      <c r="O2173" s="258"/>
      <c r="P2173" s="290"/>
      <c r="Q2173" s="295"/>
      <c r="R2173" s="254"/>
      <c r="S2173" s="258"/>
      <c r="T2173" s="290"/>
      <c r="U2173" s="295"/>
      <c r="V2173" s="254"/>
      <c r="W2173" s="258"/>
      <c r="X2173" s="290"/>
      <c r="Y2173" s="290"/>
      <c r="Z2173" s="290"/>
      <c r="AA2173" s="290"/>
      <c r="AB2173" s="290"/>
    </row>
    <row r="2174" spans="3:28" ht="14.25" customHeight="1">
      <c r="C2174" s="26"/>
      <c r="D2174" s="254"/>
      <c r="E2174" s="295"/>
      <c r="F2174" s="254"/>
      <c r="G2174" s="258"/>
      <c r="H2174" s="290"/>
      <c r="I2174" s="295"/>
      <c r="J2174" s="254"/>
      <c r="K2174" s="258"/>
      <c r="L2174" s="290"/>
      <c r="M2174" s="295"/>
      <c r="N2174" s="254"/>
      <c r="O2174" s="258"/>
      <c r="P2174" s="290"/>
      <c r="Q2174" s="295"/>
      <c r="R2174" s="254"/>
      <c r="S2174" s="258"/>
      <c r="T2174" s="290"/>
      <c r="U2174" s="295"/>
      <c r="V2174" s="254"/>
      <c r="W2174" s="258"/>
      <c r="X2174" s="290"/>
      <c r="Y2174" s="290"/>
      <c r="Z2174" s="290"/>
      <c r="AA2174" s="290"/>
      <c r="AB2174" s="290"/>
    </row>
    <row r="2175" spans="3:28" ht="14.25" customHeight="1">
      <c r="C2175" s="26"/>
      <c r="D2175" s="254"/>
      <c r="E2175" s="295"/>
      <c r="F2175" s="254"/>
      <c r="G2175" s="258"/>
      <c r="H2175" s="290"/>
      <c r="I2175" s="295"/>
      <c r="J2175" s="254"/>
      <c r="K2175" s="258"/>
      <c r="L2175" s="290"/>
      <c r="M2175" s="295"/>
      <c r="N2175" s="254"/>
      <c r="O2175" s="258"/>
      <c r="P2175" s="290"/>
      <c r="Q2175" s="295"/>
      <c r="R2175" s="254"/>
      <c r="S2175" s="258"/>
      <c r="T2175" s="290"/>
      <c r="U2175" s="295"/>
      <c r="V2175" s="254"/>
      <c r="W2175" s="258"/>
      <c r="X2175" s="290"/>
      <c r="Y2175" s="290"/>
      <c r="Z2175" s="290"/>
      <c r="AA2175" s="290"/>
      <c r="AB2175" s="290"/>
    </row>
    <row r="2176" spans="3:28" ht="14.25" customHeight="1">
      <c r="C2176" s="26"/>
      <c r="D2176" s="254"/>
      <c r="E2176" s="295"/>
      <c r="F2176" s="254"/>
      <c r="G2176" s="258"/>
      <c r="H2176" s="290"/>
      <c r="I2176" s="295"/>
      <c r="J2176" s="254"/>
      <c r="K2176" s="258"/>
      <c r="L2176" s="290"/>
      <c r="M2176" s="295"/>
      <c r="N2176" s="254"/>
      <c r="O2176" s="258"/>
      <c r="P2176" s="290"/>
      <c r="Q2176" s="295"/>
      <c r="R2176" s="254"/>
      <c r="S2176" s="258"/>
      <c r="T2176" s="290"/>
      <c r="U2176" s="295"/>
      <c r="V2176" s="254"/>
      <c r="W2176" s="258"/>
      <c r="X2176" s="290"/>
      <c r="Y2176" s="290"/>
      <c r="Z2176" s="290"/>
      <c r="AA2176" s="290"/>
      <c r="AB2176" s="290"/>
    </row>
    <row r="2177" spans="2:46" ht="14.25" customHeight="1">
      <c r="C2177" s="26"/>
      <c r="D2177" s="254"/>
      <c r="E2177" s="295"/>
      <c r="F2177" s="254"/>
      <c r="G2177" s="258"/>
      <c r="H2177" s="290"/>
      <c r="I2177" s="295"/>
      <c r="J2177" s="254"/>
      <c r="K2177" s="258"/>
      <c r="L2177" s="290"/>
      <c r="M2177" s="295"/>
      <c r="N2177" s="254"/>
      <c r="O2177" s="258"/>
      <c r="P2177" s="290"/>
      <c r="Q2177" s="295"/>
      <c r="R2177" s="254"/>
      <c r="S2177" s="258"/>
      <c r="T2177" s="290"/>
      <c r="U2177" s="295"/>
      <c r="V2177" s="254"/>
      <c r="W2177" s="258"/>
      <c r="X2177" s="290"/>
      <c r="Y2177" s="290"/>
      <c r="Z2177" s="290"/>
      <c r="AA2177" s="290"/>
      <c r="AB2177" s="290"/>
    </row>
    <row r="2178" spans="2:46" ht="14.25" customHeight="1">
      <c r="C2178" s="26"/>
      <c r="D2178" s="254"/>
      <c r="E2178" s="295"/>
      <c r="F2178" s="254"/>
      <c r="G2178" s="258"/>
      <c r="H2178" s="290"/>
      <c r="I2178" s="295"/>
      <c r="J2178" s="254"/>
      <c r="K2178" s="258"/>
      <c r="L2178" s="290"/>
      <c r="M2178" s="295"/>
      <c r="N2178" s="254"/>
      <c r="O2178" s="258"/>
      <c r="P2178" s="290"/>
      <c r="Q2178" s="295"/>
      <c r="R2178" s="254"/>
      <c r="S2178" s="258"/>
      <c r="T2178" s="290"/>
      <c r="U2178" s="295"/>
      <c r="V2178" s="254"/>
      <c r="W2178" s="258"/>
      <c r="X2178" s="290"/>
      <c r="Y2178" s="290"/>
      <c r="Z2178" s="290"/>
      <c r="AA2178" s="290"/>
      <c r="AB2178" s="290"/>
    </row>
    <row r="2179" spans="2:46" ht="14.25" customHeight="1">
      <c r="C2179" s="26"/>
      <c r="D2179" s="254"/>
      <c r="E2179" s="295"/>
      <c r="F2179" s="254"/>
      <c r="G2179" s="258"/>
      <c r="H2179" s="290"/>
      <c r="I2179" s="295"/>
      <c r="J2179" s="254"/>
      <c r="K2179" s="258"/>
      <c r="L2179" s="290"/>
      <c r="M2179" s="295"/>
      <c r="N2179" s="254"/>
      <c r="O2179" s="258"/>
      <c r="P2179" s="290"/>
      <c r="Q2179" s="295"/>
      <c r="R2179" s="254"/>
      <c r="S2179" s="258"/>
      <c r="T2179" s="290"/>
      <c r="U2179" s="295"/>
      <c r="V2179" s="254"/>
      <c r="W2179" s="258"/>
      <c r="X2179" s="290"/>
      <c r="Y2179" s="290"/>
      <c r="Z2179" s="290"/>
      <c r="AA2179" s="290"/>
      <c r="AB2179" s="290"/>
    </row>
    <row r="2180" spans="2:46" ht="14.25" customHeight="1">
      <c r="C2180" s="26"/>
      <c r="D2180" s="254"/>
      <c r="E2180" s="295"/>
      <c r="F2180" s="254"/>
      <c r="G2180" s="258"/>
      <c r="H2180" s="290"/>
      <c r="I2180" s="295"/>
      <c r="J2180" s="254"/>
      <c r="K2180" s="258"/>
      <c r="L2180" s="290"/>
      <c r="M2180" s="295"/>
      <c r="N2180" s="254"/>
      <c r="O2180" s="258"/>
      <c r="P2180" s="290"/>
      <c r="Q2180" s="295"/>
      <c r="R2180" s="254"/>
      <c r="S2180" s="258"/>
      <c r="T2180" s="290"/>
      <c r="U2180" s="295"/>
      <c r="V2180" s="254"/>
      <c r="W2180" s="258"/>
      <c r="X2180" s="290"/>
      <c r="Y2180" s="290"/>
      <c r="Z2180" s="290"/>
      <c r="AA2180" s="290"/>
      <c r="AB2180" s="290"/>
    </row>
    <row r="2181" spans="2:46" ht="14.25" customHeight="1">
      <c r="C2181" s="26"/>
      <c r="D2181" s="254"/>
      <c r="E2181" s="295"/>
      <c r="F2181" s="254"/>
      <c r="G2181" s="258"/>
      <c r="H2181" s="290"/>
      <c r="I2181" s="295"/>
      <c r="J2181" s="254"/>
      <c r="K2181" s="258"/>
      <c r="L2181" s="290"/>
      <c r="M2181" s="295"/>
      <c r="N2181" s="254"/>
      <c r="O2181" s="258"/>
      <c r="P2181" s="290"/>
      <c r="Q2181" s="295"/>
      <c r="R2181" s="254"/>
      <c r="S2181" s="258"/>
      <c r="T2181" s="290"/>
      <c r="U2181" s="295"/>
      <c r="V2181" s="254"/>
      <c r="W2181" s="258"/>
      <c r="X2181" s="290"/>
      <c r="Y2181" s="290"/>
      <c r="Z2181" s="290"/>
      <c r="AA2181" s="290"/>
      <c r="AB2181" s="290"/>
    </row>
    <row r="2182" spans="2:46" ht="14.25" customHeight="1">
      <c r="C2182" s="26"/>
      <c r="D2182" s="254"/>
      <c r="E2182" s="295"/>
      <c r="F2182" s="254"/>
      <c r="G2182" s="258"/>
      <c r="H2182" s="290"/>
      <c r="I2182" s="295"/>
      <c r="J2182" s="254"/>
      <c r="K2182" s="258"/>
      <c r="L2182" s="290"/>
      <c r="M2182" s="295"/>
      <c r="N2182" s="254"/>
      <c r="O2182" s="258"/>
      <c r="P2182" s="290"/>
      <c r="Q2182" s="295"/>
      <c r="R2182" s="254"/>
      <c r="S2182" s="258"/>
      <c r="T2182" s="290"/>
      <c r="U2182" s="295"/>
      <c r="V2182" s="254"/>
      <c r="W2182" s="258"/>
      <c r="X2182" s="290"/>
      <c r="Y2182" s="290"/>
      <c r="Z2182" s="290"/>
      <c r="AA2182" s="290"/>
      <c r="AB2182" s="290"/>
    </row>
    <row r="2183" spans="2:46" ht="14.25" customHeight="1">
      <c r="C2183" s="26"/>
      <c r="D2183" s="254"/>
      <c r="E2183" s="295"/>
      <c r="F2183" s="254"/>
      <c r="G2183" s="258"/>
      <c r="H2183" s="290"/>
      <c r="I2183" s="295"/>
      <c r="J2183" s="254"/>
      <c r="K2183" s="258"/>
      <c r="L2183" s="290"/>
      <c r="M2183" s="295"/>
      <c r="N2183" s="254"/>
      <c r="O2183" s="258"/>
      <c r="P2183" s="290"/>
      <c r="Q2183" s="295"/>
      <c r="R2183" s="254"/>
      <c r="S2183" s="258"/>
      <c r="T2183" s="290"/>
      <c r="U2183" s="295"/>
      <c r="V2183" s="254"/>
      <c r="W2183" s="258"/>
      <c r="X2183" s="290"/>
      <c r="Y2183" s="290"/>
      <c r="Z2183" s="290"/>
      <c r="AA2183" s="290"/>
      <c r="AB2183" s="290"/>
    </row>
    <row r="2184" spans="2:46" ht="14.25" customHeight="1">
      <c r="C2184" s="26"/>
      <c r="D2184" s="254"/>
      <c r="E2184" s="295"/>
      <c r="F2184" s="254"/>
      <c r="G2184" s="258"/>
      <c r="H2184" s="290"/>
      <c r="I2184" s="295"/>
      <c r="J2184" s="254"/>
      <c r="K2184" s="258"/>
      <c r="L2184" s="290"/>
      <c r="M2184" s="258"/>
      <c r="N2184" s="215"/>
      <c r="O2184" s="258"/>
      <c r="P2184" s="290"/>
      <c r="Q2184" s="258"/>
      <c r="R2184" s="215"/>
      <c r="S2184" s="258"/>
      <c r="T2184" s="290"/>
      <c r="U2184" s="60"/>
      <c r="V2184" s="60"/>
      <c r="W2184" s="258"/>
      <c r="X2184" s="290"/>
      <c r="Y2184" s="290"/>
      <c r="Z2184" s="290"/>
      <c r="AA2184" s="290"/>
      <c r="AB2184" s="290"/>
    </row>
    <row r="2185" spans="2:46" ht="14.25" customHeight="1">
      <c r="C2185" s="26"/>
      <c r="D2185" s="254"/>
      <c r="E2185" s="258"/>
      <c r="F2185" s="215"/>
      <c r="G2185" s="258"/>
      <c r="H2185" s="290"/>
      <c r="I2185" s="258"/>
      <c r="J2185" s="215"/>
      <c r="K2185" s="258"/>
      <c r="L2185" s="290"/>
      <c r="M2185" s="258"/>
      <c r="N2185" s="215"/>
      <c r="O2185" s="258"/>
      <c r="P2185" s="290"/>
      <c r="Q2185" s="258"/>
      <c r="R2185" s="215"/>
      <c r="S2185" s="258"/>
      <c r="T2185" s="290"/>
      <c r="U2185" s="258"/>
      <c r="V2185" s="60"/>
      <c r="W2185" s="258"/>
      <c r="X2185" s="290"/>
      <c r="Y2185" s="290"/>
      <c r="Z2185" s="290"/>
      <c r="AA2185" s="290"/>
      <c r="AB2185" s="290"/>
    </row>
    <row r="2186" spans="2:46" ht="14.25" customHeight="1">
      <c r="C2186" s="26"/>
      <c r="D2186" s="254"/>
      <c r="E2186" s="258"/>
      <c r="F2186" s="215"/>
      <c r="G2186" s="258"/>
      <c r="H2186" s="290"/>
      <c r="I2186" s="258"/>
      <c r="J2186" s="215"/>
      <c r="K2186" s="258"/>
      <c r="L2186" s="290"/>
      <c r="M2186" s="258"/>
      <c r="N2186" s="260"/>
      <c r="O2186" s="258"/>
      <c r="P2186" s="290"/>
      <c r="Q2186" s="258"/>
      <c r="R2186" s="260"/>
      <c r="S2186" s="258"/>
      <c r="T2186" s="290"/>
      <c r="U2186" s="258"/>
      <c r="V2186" s="60"/>
      <c r="W2186" s="258"/>
      <c r="X2186" s="290"/>
      <c r="Y2186" s="290"/>
      <c r="Z2186" s="290"/>
      <c r="AA2186" s="290"/>
      <c r="AB2186" s="290"/>
    </row>
    <row r="2187" spans="2:46" ht="14.25" customHeight="1">
      <c r="C2187" s="26"/>
      <c r="D2187" s="254"/>
      <c r="E2187" s="258"/>
      <c r="F2187" s="254"/>
      <c r="G2187" s="258"/>
      <c r="H2187" s="290"/>
      <c r="I2187" s="258"/>
      <c r="J2187" s="254"/>
      <c r="K2187" s="258"/>
      <c r="L2187" s="290"/>
      <c r="M2187" s="261"/>
      <c r="N2187" s="260"/>
      <c r="O2187" s="258"/>
      <c r="P2187" s="290"/>
      <c r="Q2187" s="261"/>
      <c r="R2187" s="260"/>
      <c r="S2187" s="258"/>
      <c r="T2187" s="290"/>
      <c r="U2187" s="60"/>
      <c r="V2187" s="60"/>
      <c r="W2187" s="258"/>
      <c r="X2187" s="290"/>
      <c r="Y2187" s="290"/>
      <c r="Z2187" s="290"/>
      <c r="AA2187" s="290"/>
      <c r="AB2187" s="290"/>
    </row>
    <row r="2188" spans="2:46" ht="14.25" customHeight="1">
      <c r="C2188" s="26"/>
      <c r="D2188" s="254"/>
      <c r="E2188" s="258"/>
      <c r="F2188" s="254"/>
      <c r="G2188" s="258"/>
      <c r="H2188" s="290"/>
      <c r="I2188" s="257"/>
      <c r="J2188" s="254"/>
      <c r="K2188" s="258"/>
      <c r="L2188" s="290"/>
      <c r="M2188" s="261"/>
      <c r="N2188" s="260"/>
      <c r="O2188" s="258"/>
      <c r="P2188" s="290"/>
      <c r="Q2188" s="261"/>
      <c r="R2188" s="260"/>
      <c r="S2188" s="258"/>
      <c r="T2188" s="290"/>
      <c r="U2188" s="60"/>
      <c r="V2188" s="60"/>
      <c r="W2188" s="258"/>
      <c r="X2188" s="290"/>
      <c r="Y2188" s="290"/>
      <c r="Z2188" s="290"/>
      <c r="AA2188" s="290"/>
      <c r="AB2188" s="290"/>
    </row>
    <row r="2189" spans="2:46" ht="14.25" customHeight="1">
      <c r="C2189" s="26"/>
      <c r="D2189" s="254"/>
      <c r="E2189" s="258"/>
      <c r="F2189" s="254"/>
      <c r="G2189" s="258"/>
      <c r="H2189" s="290"/>
      <c r="I2189" s="257"/>
      <c r="J2189" s="254"/>
      <c r="K2189" s="258"/>
      <c r="L2189" s="290"/>
      <c r="M2189" s="261"/>
      <c r="N2189" s="260"/>
      <c r="O2189" s="258"/>
      <c r="P2189" s="290"/>
      <c r="Q2189" s="261"/>
      <c r="R2189" s="260"/>
      <c r="S2189" s="258"/>
      <c r="T2189" s="290"/>
      <c r="U2189" s="60"/>
      <c r="V2189" s="60"/>
      <c r="W2189" s="258"/>
      <c r="X2189" s="290"/>
      <c r="Y2189" s="290"/>
      <c r="Z2189" s="290"/>
      <c r="AA2189" s="290"/>
      <c r="AB2189" s="290"/>
    </row>
    <row r="2190" spans="2:46" ht="14.25" customHeight="1">
      <c r="C2190" s="26"/>
      <c r="D2190" s="254"/>
      <c r="E2190" s="258"/>
      <c r="F2190" s="254"/>
      <c r="G2190" s="258"/>
      <c r="H2190" s="290"/>
      <c r="I2190" s="257"/>
      <c r="J2190" s="254"/>
      <c r="K2190" s="258"/>
      <c r="L2190" s="259"/>
      <c r="M2190" s="261"/>
      <c r="N2190" s="260"/>
      <c r="O2190" s="258"/>
      <c r="P2190" s="259"/>
      <c r="Q2190" s="261"/>
      <c r="R2190" s="260"/>
      <c r="S2190" s="258"/>
      <c r="T2190" s="260"/>
      <c r="U2190" s="60"/>
      <c r="V2190" s="60"/>
      <c r="W2190" s="258"/>
    </row>
    <row r="2191" spans="2:46" ht="14.25" customHeight="1">
      <c r="C2191" s="26"/>
      <c r="D2191" s="254"/>
      <c r="E2191" s="61"/>
      <c r="F2191" s="61"/>
      <c r="G2191" s="61"/>
      <c r="H2191" s="61"/>
      <c r="I2191" s="61"/>
      <c r="J2191" s="61"/>
      <c r="K2191" s="61"/>
      <c r="L2191" s="61"/>
      <c r="M2191" s="61"/>
      <c r="N2191" s="61"/>
      <c r="O2191" s="61"/>
      <c r="P2191" s="61"/>
      <c r="Q2191" s="61"/>
      <c r="R2191" s="61"/>
      <c r="S2191" s="61"/>
      <c r="T2191" s="61"/>
      <c r="U2191" s="61"/>
      <c r="V2191" s="61">
        <f t="shared" ref="F2191:V2191" si="232">V2200/100*40</f>
        <v>2520</v>
      </c>
      <c r="W2191" s="258"/>
    </row>
    <row r="2192" spans="2:46" s="8" customFormat="1">
      <c r="B2192" s="428" t="str">
        <f>TITLE!$C$42</f>
        <v>Дверна коробка Verto-FIT Plus</v>
      </c>
      <c r="C2192" s="428"/>
      <c r="D2192" s="122"/>
      <c r="E2192" s="437" t="str">
        <f>IF($C$1="ENG","For Door Leafs with Rebbit","Для Дверних Полотен с Фальцем")</f>
        <v>Для Дверних Полотен с Фальцем</v>
      </c>
      <c r="F2192" s="437"/>
      <c r="G2192" s="437"/>
      <c r="H2192" s="437"/>
      <c r="I2192" s="437"/>
      <c r="J2192" s="437"/>
      <c r="K2192" s="437"/>
      <c r="L2192" s="445"/>
      <c r="M2192" s="445"/>
      <c r="N2192" s="445"/>
      <c r="O2192" s="445"/>
      <c r="P2192" s="445"/>
      <c r="Q2192" s="445"/>
      <c r="R2192" s="445"/>
      <c r="S2192" s="445"/>
      <c r="T2192" s="423" t="str">
        <f>IF($C$1="ENG",CONCATENATE("up to: ",B2120),CONCATENATE("вгору до: ",B2120))</f>
        <v>вгору до: Дверна коробка Verto-FIT</v>
      </c>
      <c r="U2192" s="423"/>
      <c r="V2192" s="423"/>
      <c r="W2192" s="423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N2192" s="291"/>
      <c r="AO2192" s="291"/>
      <c r="AP2192" s="291"/>
      <c r="AQ2192" s="291"/>
      <c r="AR2192" s="291"/>
      <c r="AS2192" s="291"/>
      <c r="AT2192" s="291"/>
    </row>
    <row r="2193" spans="1:49" s="8" customFormat="1" ht="5.0999999999999996" customHeight="1">
      <c r="T2193" s="120"/>
      <c r="U2193" s="120"/>
      <c r="V2193" s="120"/>
      <c r="W2193" s="120"/>
      <c r="AN2193" s="291"/>
      <c r="AO2193" s="291"/>
      <c r="AP2193" s="291"/>
      <c r="AQ2193" s="291"/>
      <c r="AR2193" s="291"/>
      <c r="AS2193" s="291"/>
      <c r="AT2193" s="291"/>
    </row>
    <row r="2194" spans="1:49" ht="12.75" customHeight="1">
      <c r="A2194" s="8"/>
      <c r="B2194" s="319" t="str">
        <f>IF($C$1="ENG","model","модель")</f>
        <v>модель</v>
      </c>
      <c r="C2194" s="126" t="str">
        <f>IF($C$1="ENG","cover:","покриття:")</f>
        <v>покриття:</v>
      </c>
      <c r="D2194" s="430" t="str">
        <f>IF($C$1="ENG","SIMPLEX / VERTO-CELL","SIMPLEX / VERTO-CELL")</f>
        <v>SIMPLEX / VERTO-CELL</v>
      </c>
      <c r="E2194" s="431"/>
      <c r="F2194" s="431"/>
      <c r="G2194" s="432"/>
      <c r="H2194" s="430" t="str">
        <f>IF($C$1="ENG","UNI-MAT","UNI-MAT")</f>
        <v>UNI-MAT</v>
      </c>
      <c r="I2194" s="431"/>
      <c r="J2194" s="431"/>
      <c r="K2194" s="432"/>
      <c r="L2194" s="430" t="str">
        <f>IF($C$1="ENG","RESIST","RESIST")</f>
        <v>RESIST</v>
      </c>
      <c r="M2194" s="431"/>
      <c r="N2194" s="431"/>
      <c r="O2194" s="432"/>
      <c r="P2194" s="430" t="str">
        <f>IF($C$1="ENG","Verto LINE-3D","Verto LINE-3D")</f>
        <v>Verto LINE-3D</v>
      </c>
      <c r="Q2194" s="431"/>
      <c r="R2194" s="431"/>
      <c r="S2194" s="432"/>
      <c r="T2194" s="430" t="str">
        <f>IF($C$1="ENG","ECO Shpon / LOFT","ЕКО Шпон / LOFT")</f>
        <v>ЕКО Шпон / LOFT</v>
      </c>
      <c r="U2194" s="431"/>
      <c r="V2194" s="431"/>
      <c r="W2194" s="432"/>
      <c r="AO2194" s="406"/>
    </row>
    <row r="2195" spans="1:49" ht="12.75" customHeight="1">
      <c r="A2195" s="8"/>
      <c r="B2195" s="322"/>
      <c r="C2195" s="128" t="str">
        <f>IF($C$1="ENG","type:","виконання:")</f>
        <v>виконання:</v>
      </c>
      <c r="D2195" s="424" t="str">
        <f>IF($C$1="ENG","single leaf","одностулкове")</f>
        <v>одностулкове</v>
      </c>
      <c r="E2195" s="438"/>
      <c r="F2195" s="433" t="str">
        <f>IF($C$1="ENG","double leaf","двостулкові")</f>
        <v>двостулкові</v>
      </c>
      <c r="G2195" s="434"/>
      <c r="H2195" s="424" t="str">
        <f>IF($C$1="ENG","single leaf","одностулкове")</f>
        <v>одностулкове</v>
      </c>
      <c r="I2195" s="438"/>
      <c r="J2195" s="433" t="str">
        <f>IF($C$1="ENG","double leaf","двостулкові")</f>
        <v>двостулкові</v>
      </c>
      <c r="K2195" s="434"/>
      <c r="L2195" s="424" t="str">
        <f>IF($C$1="ENG","single leaf","одностулкове")</f>
        <v>одностулкове</v>
      </c>
      <c r="M2195" s="438"/>
      <c r="N2195" s="467" t="str">
        <f>IF($C$1="ENG","double leaf","двостулкові")</f>
        <v>двостулкові</v>
      </c>
      <c r="O2195" s="434"/>
      <c r="P2195" s="424" t="str">
        <f>IF($C$1="ENG","single leaf","одностулкове")</f>
        <v>одностулкове</v>
      </c>
      <c r="Q2195" s="438"/>
      <c r="R2195" s="467" t="str">
        <f>IF($C$1="ENG","double leaf","двостулкові")</f>
        <v>двостулкові</v>
      </c>
      <c r="S2195" s="434"/>
      <c r="T2195" s="424" t="str">
        <f>IF($C$1="ENG","single leaf","одностулкове")</f>
        <v>одностулкове</v>
      </c>
      <c r="U2195" s="438"/>
      <c r="V2195" s="467" t="str">
        <f>IF($C$1="ENG","double leaf","двостулкові")</f>
        <v>двостулкові</v>
      </c>
      <c r="W2195" s="434"/>
    </row>
    <row r="2196" spans="1:49" ht="12.75" customHeight="1">
      <c r="A2196" s="8"/>
      <c r="B2196" s="13" t="str">
        <f>IF($C$1="ENG","A (75 - 95 mm)","A (75 - 95 мм)")</f>
        <v>A (75 - 95 мм)</v>
      </c>
      <c r="C2196" s="160"/>
      <c r="D2196" s="15">
        <f t="shared" ref="D2196:D2205" si="233">IF(AC2196="","",(1-$W$2)*(AC2196/1.2))</f>
        <v>2766.666666666667</v>
      </c>
      <c r="E2196" s="276">
        <f t="shared" ref="E2196:E2205" si="234">IF($W$5=0.2,D2196*1.2,D2196)/$W$4</f>
        <v>3320.0000000000005</v>
      </c>
      <c r="F2196" s="279">
        <f t="shared" ref="F2196:F2205" si="235">IF(AD2196="","",(1-$W$2)*(AD2196/1.2))</f>
        <v>3883.3333333333335</v>
      </c>
      <c r="G2196" s="67">
        <f t="shared" ref="G2196:G2205" si="236">IF($W$5=0.2,F2196*1.2,F2196)/$W$4</f>
        <v>4660</v>
      </c>
      <c r="H2196" s="15">
        <f t="shared" ref="H2196:H2205" si="237">IF(AE2196="","",(1-$W$2)*(AE2196/1.2))</f>
        <v>3183.3333333333335</v>
      </c>
      <c r="I2196" s="276">
        <f t="shared" ref="I2196:I2205" si="238">IF($W$5=0.2,H2196*1.2,H2196)/$W$4</f>
        <v>3820</v>
      </c>
      <c r="J2196" s="279">
        <f t="shared" ref="J2196:J2205" si="239">IF(AF2196="","",(1-$W$2)*(AF2196/1.2))</f>
        <v>4458.3333333333339</v>
      </c>
      <c r="K2196" s="67">
        <f t="shared" ref="K2196:K2205" si="240">IF($W$5=0.2,J2196*1.2,J2196)/$W$4</f>
        <v>5350.0000000000009</v>
      </c>
      <c r="L2196" s="15">
        <f t="shared" ref="L2196:L2205" si="241">IF(AG2196="","",(1-$W$2)*(AG2196/1.2))</f>
        <v>3383.3333333333335</v>
      </c>
      <c r="M2196" s="276">
        <f t="shared" ref="M2196:M2205" si="242">IF($W$5=0.2,L2196*1.2,L2196)/$W$4</f>
        <v>4060</v>
      </c>
      <c r="N2196" s="279">
        <f t="shared" ref="N2196:N2205" si="243">IF(AH2196="","",(1-$W$2)*(AH2196/1.2))</f>
        <v>4741.666666666667</v>
      </c>
      <c r="O2196" s="67">
        <f t="shared" ref="O2196:O2205" si="244">IF($W$5=0.2,N2196*1.2,N2196)/$W$4</f>
        <v>5690</v>
      </c>
      <c r="P2196" s="15">
        <f t="shared" ref="P2196:P2205" si="245">IF(AI2196="","",(1-$W$2)*(AI2196/1.2))</f>
        <v>3616.666666666667</v>
      </c>
      <c r="Q2196" s="276">
        <f t="shared" ref="Q2196:Q2205" si="246">IF($W$5=0.2,P2196*1.2,P2196)/$W$4</f>
        <v>4340</v>
      </c>
      <c r="R2196" s="279">
        <f t="shared" ref="R2196:R2205" si="247">IF(AJ2196="","",(1-$W$2)*(AJ2196/1.2))</f>
        <v>5066.666666666667</v>
      </c>
      <c r="S2196" s="67">
        <f t="shared" ref="S2196:S2205" si="248">IF($W$5=0.2,R2196*1.2,R2196)/$W$4</f>
        <v>6080</v>
      </c>
      <c r="T2196" s="15">
        <f t="shared" ref="T2196:T2205" si="249">IF(AK2196="","",(1-$W$2)*(AK2196/1.2))</f>
        <v>3883.3333333333335</v>
      </c>
      <c r="U2196" s="276">
        <f t="shared" ref="U2196:U2205" si="250">IF($W$5=0.2,T2196*1.2,T2196)/$W$4</f>
        <v>4660</v>
      </c>
      <c r="V2196" s="279">
        <f t="shared" ref="V2196:V2205" si="251">IF(AL2196="","",(1-$W$2)*(AL2196/1.2))</f>
        <v>5433.3333333333339</v>
      </c>
      <c r="W2196" s="67">
        <f t="shared" ref="W2196:W2205" si="252">IF($W$5=0.2,V2196*1.2,V2196)/$W$4</f>
        <v>6520.0000000000009</v>
      </c>
      <c r="X2196" s="22"/>
      <c r="Y2196" s="22"/>
      <c r="Z2196" s="22"/>
      <c r="AA2196" s="22"/>
      <c r="AB2196" s="22"/>
      <c r="AC2196" s="346">
        <v>3320</v>
      </c>
      <c r="AD2196" s="346">
        <v>4660</v>
      </c>
      <c r="AE2196" s="346">
        <v>3820</v>
      </c>
      <c r="AF2196" s="346">
        <v>5350</v>
      </c>
      <c r="AG2196" s="346">
        <v>4060</v>
      </c>
      <c r="AH2196" s="346">
        <v>5690</v>
      </c>
      <c r="AI2196" s="346">
        <v>4340</v>
      </c>
      <c r="AJ2196" s="346">
        <v>6080</v>
      </c>
      <c r="AK2196" s="346">
        <v>4660</v>
      </c>
      <c r="AL2196" s="346">
        <v>6520</v>
      </c>
      <c r="AM2196" s="348">
        <v>3320</v>
      </c>
      <c r="AN2196" s="323">
        <f>AM2196/AC2196-1</f>
        <v>0</v>
      </c>
      <c r="AO2196" s="348">
        <v>4660</v>
      </c>
      <c r="AP2196" s="495">
        <f>AO2196/AD2196-1</f>
        <v>0</v>
      </c>
      <c r="AQ2196" s="348">
        <v>3820</v>
      </c>
      <c r="AR2196" s="348">
        <f>AQ2196/AE2196-1</f>
        <v>0</v>
      </c>
      <c r="AS2196" s="348">
        <v>5350</v>
      </c>
      <c r="AT2196" s="348">
        <f>AS2196/AF2196-1</f>
        <v>0</v>
      </c>
      <c r="AU2196" s="348">
        <v>4060</v>
      </c>
      <c r="AV2196" s="348">
        <f>AU2196/AG2196-1</f>
        <v>0</v>
      </c>
      <c r="AW2196" s="348">
        <v>5690</v>
      </c>
    </row>
    <row r="2197" spans="1:49">
      <c r="A2197" s="8"/>
      <c r="B2197" s="16" t="str">
        <f>IF($C$1="ENG","B (95 - 115 mm)","B (95 - 115 мм)")</f>
        <v>B (95 - 115 мм)</v>
      </c>
      <c r="C2197" s="161"/>
      <c r="D2197" s="18">
        <f t="shared" si="233"/>
        <v>2916.666666666667</v>
      </c>
      <c r="E2197" s="277">
        <f t="shared" si="234"/>
        <v>3500.0000000000005</v>
      </c>
      <c r="F2197" s="280">
        <f t="shared" si="235"/>
        <v>4083.3333333333335</v>
      </c>
      <c r="G2197" s="69">
        <f t="shared" si="236"/>
        <v>4900</v>
      </c>
      <c r="H2197" s="18">
        <f t="shared" si="237"/>
        <v>3366.666666666667</v>
      </c>
      <c r="I2197" s="277">
        <f t="shared" si="238"/>
        <v>4040</v>
      </c>
      <c r="J2197" s="280">
        <f t="shared" si="239"/>
        <v>4708.3333333333339</v>
      </c>
      <c r="K2197" s="69">
        <f t="shared" si="240"/>
        <v>5650.0000000000009</v>
      </c>
      <c r="L2197" s="18">
        <f t="shared" si="241"/>
        <v>3558.3333333333335</v>
      </c>
      <c r="M2197" s="277">
        <f t="shared" si="242"/>
        <v>4270</v>
      </c>
      <c r="N2197" s="280">
        <f t="shared" si="243"/>
        <v>4983.3333333333339</v>
      </c>
      <c r="O2197" s="69">
        <f t="shared" si="244"/>
        <v>5980.0000000000009</v>
      </c>
      <c r="P2197" s="18">
        <f t="shared" si="245"/>
        <v>3816.666666666667</v>
      </c>
      <c r="Q2197" s="277">
        <f t="shared" si="246"/>
        <v>4580</v>
      </c>
      <c r="R2197" s="280">
        <f t="shared" si="247"/>
        <v>5341.666666666667</v>
      </c>
      <c r="S2197" s="69">
        <f t="shared" si="248"/>
        <v>6410</v>
      </c>
      <c r="T2197" s="18">
        <f t="shared" si="249"/>
        <v>4075</v>
      </c>
      <c r="U2197" s="277">
        <f t="shared" si="250"/>
        <v>4890</v>
      </c>
      <c r="V2197" s="280">
        <f t="shared" si="251"/>
        <v>5708.3333333333339</v>
      </c>
      <c r="W2197" s="69">
        <f t="shared" si="252"/>
        <v>6850.0000000000009</v>
      </c>
      <c r="X2197" s="22"/>
      <c r="Y2197" s="22"/>
      <c r="Z2197" s="22"/>
      <c r="AA2197" s="22"/>
      <c r="AB2197" s="22"/>
      <c r="AC2197" s="346">
        <v>3500</v>
      </c>
      <c r="AD2197" s="346">
        <v>4900</v>
      </c>
      <c r="AE2197" s="346">
        <v>4040</v>
      </c>
      <c r="AF2197" s="346">
        <v>5650</v>
      </c>
      <c r="AG2197" s="346">
        <v>4270</v>
      </c>
      <c r="AH2197" s="346">
        <v>5980</v>
      </c>
      <c r="AI2197" s="346">
        <v>4580</v>
      </c>
      <c r="AJ2197" s="346">
        <v>6410</v>
      </c>
      <c r="AK2197" s="346">
        <v>4890</v>
      </c>
      <c r="AL2197" s="346">
        <v>6850</v>
      </c>
      <c r="AM2197" s="348">
        <v>3500</v>
      </c>
      <c r="AN2197" s="323">
        <f t="shared" ref="AN2197:AN2205" si="253">AM2197/AC2197-1</f>
        <v>0</v>
      </c>
      <c r="AO2197" s="348">
        <v>4900</v>
      </c>
      <c r="AP2197" s="495">
        <f t="shared" ref="AP2197:AP2205" si="254">AO2197/AD2197-1</f>
        <v>0</v>
      </c>
      <c r="AQ2197" s="348">
        <v>4040</v>
      </c>
      <c r="AR2197" s="348">
        <f t="shared" ref="AR2197:AR2205" si="255">AQ2197/AE2197-1</f>
        <v>0</v>
      </c>
      <c r="AS2197" s="348">
        <v>5650</v>
      </c>
      <c r="AT2197" s="348">
        <f t="shared" ref="AT2197:AT2205" si="256">AS2197/AF2197-1</f>
        <v>0</v>
      </c>
      <c r="AU2197" s="348">
        <v>4270</v>
      </c>
      <c r="AV2197" s="348">
        <f t="shared" ref="AV2197:AV2205" si="257">AU2197/AG2197-1</f>
        <v>0</v>
      </c>
      <c r="AW2197" s="348">
        <v>5980</v>
      </c>
    </row>
    <row r="2198" spans="1:49">
      <c r="A2198" s="8"/>
      <c r="B2198" s="16" t="str">
        <f>IF($C$1="ENG","B+ (100 - 120 mm)","B+ (100 - 120 мм)")</f>
        <v>B+ (100 - 120 мм)</v>
      </c>
      <c r="C2198" s="161"/>
      <c r="D2198" s="18">
        <f t="shared" si="233"/>
        <v>3000</v>
      </c>
      <c r="E2198" s="277">
        <f t="shared" si="234"/>
        <v>3600</v>
      </c>
      <c r="F2198" s="280">
        <f t="shared" si="235"/>
        <v>4208.3333333333339</v>
      </c>
      <c r="G2198" s="69">
        <f t="shared" si="236"/>
        <v>5050.0000000000009</v>
      </c>
      <c r="H2198" s="18">
        <f t="shared" si="237"/>
        <v>3458.3333333333335</v>
      </c>
      <c r="I2198" s="277">
        <f t="shared" si="238"/>
        <v>4150</v>
      </c>
      <c r="J2198" s="280">
        <f t="shared" si="239"/>
        <v>4841.666666666667</v>
      </c>
      <c r="K2198" s="69">
        <f t="shared" si="240"/>
        <v>5810</v>
      </c>
      <c r="L2198" s="18">
        <f t="shared" si="241"/>
        <v>3658.3333333333335</v>
      </c>
      <c r="M2198" s="277">
        <f t="shared" si="242"/>
        <v>4390</v>
      </c>
      <c r="N2198" s="280">
        <f t="shared" si="243"/>
        <v>5116.666666666667</v>
      </c>
      <c r="O2198" s="69">
        <f t="shared" si="244"/>
        <v>6140</v>
      </c>
      <c r="P2198" s="18">
        <f t="shared" si="245"/>
        <v>3900</v>
      </c>
      <c r="Q2198" s="277">
        <f t="shared" si="246"/>
        <v>4680</v>
      </c>
      <c r="R2198" s="280">
        <f t="shared" si="247"/>
        <v>5450</v>
      </c>
      <c r="S2198" s="69">
        <f t="shared" si="248"/>
        <v>6540</v>
      </c>
      <c r="T2198" s="18">
        <f t="shared" si="249"/>
        <v>4183.3333333333339</v>
      </c>
      <c r="U2198" s="277">
        <f t="shared" si="250"/>
        <v>5020.0000000000009</v>
      </c>
      <c r="V2198" s="280">
        <f t="shared" si="251"/>
        <v>5858.3333333333339</v>
      </c>
      <c r="W2198" s="69">
        <f t="shared" si="252"/>
        <v>7030.0000000000009</v>
      </c>
      <c r="X2198" s="22"/>
      <c r="Y2198" s="22"/>
      <c r="Z2198" s="22"/>
      <c r="AA2198" s="22"/>
      <c r="AB2198" s="22"/>
      <c r="AC2198" s="346">
        <v>3600</v>
      </c>
      <c r="AD2198" s="346">
        <v>5050</v>
      </c>
      <c r="AE2198" s="346">
        <v>4150</v>
      </c>
      <c r="AF2198" s="346">
        <v>5810</v>
      </c>
      <c r="AG2198" s="346">
        <v>4390</v>
      </c>
      <c r="AH2198" s="346">
        <v>6140</v>
      </c>
      <c r="AI2198" s="346">
        <v>4680</v>
      </c>
      <c r="AJ2198" s="346">
        <v>6540</v>
      </c>
      <c r="AK2198" s="346">
        <v>5020</v>
      </c>
      <c r="AL2198" s="346">
        <v>7030</v>
      </c>
      <c r="AM2198" s="348">
        <v>3600</v>
      </c>
      <c r="AN2198" s="323">
        <f t="shared" si="253"/>
        <v>0</v>
      </c>
      <c r="AO2198" s="348">
        <v>5050</v>
      </c>
      <c r="AP2198" s="495">
        <f t="shared" si="254"/>
        <v>0</v>
      </c>
      <c r="AQ2198" s="348">
        <v>4150</v>
      </c>
      <c r="AR2198" s="348">
        <f t="shared" si="255"/>
        <v>0</v>
      </c>
      <c r="AS2198" s="348">
        <v>5810</v>
      </c>
      <c r="AT2198" s="348">
        <f t="shared" si="256"/>
        <v>0</v>
      </c>
      <c r="AU2198" s="348">
        <v>4390</v>
      </c>
      <c r="AV2198" s="348">
        <f t="shared" si="257"/>
        <v>0</v>
      </c>
      <c r="AW2198" s="348">
        <v>6140</v>
      </c>
    </row>
    <row r="2199" spans="1:49">
      <c r="A2199" s="8"/>
      <c r="B2199" s="16" t="str">
        <f>IF($C$1="ENG","C (120 - 140 mm)","C (120 - 140 мм)")</f>
        <v>C (120 - 140 мм)</v>
      </c>
      <c r="C2199" s="161"/>
      <c r="D2199" s="18">
        <f t="shared" si="233"/>
        <v>3075</v>
      </c>
      <c r="E2199" s="277">
        <f t="shared" si="234"/>
        <v>3690</v>
      </c>
      <c r="F2199" s="280">
        <f t="shared" si="235"/>
        <v>4291.666666666667</v>
      </c>
      <c r="G2199" s="69">
        <f t="shared" si="236"/>
        <v>5150</v>
      </c>
      <c r="H2199" s="18">
        <f t="shared" si="237"/>
        <v>3533.3333333333335</v>
      </c>
      <c r="I2199" s="277">
        <f t="shared" si="238"/>
        <v>4240</v>
      </c>
      <c r="J2199" s="280">
        <f t="shared" si="239"/>
        <v>4950</v>
      </c>
      <c r="K2199" s="69">
        <f t="shared" si="240"/>
        <v>5940</v>
      </c>
      <c r="L2199" s="18">
        <f t="shared" si="241"/>
        <v>3741.666666666667</v>
      </c>
      <c r="M2199" s="277">
        <f t="shared" si="242"/>
        <v>4490</v>
      </c>
      <c r="N2199" s="280">
        <f t="shared" si="243"/>
        <v>5241.666666666667</v>
      </c>
      <c r="O2199" s="69">
        <f t="shared" si="244"/>
        <v>6290</v>
      </c>
      <c r="P2199" s="18">
        <f t="shared" si="245"/>
        <v>4000</v>
      </c>
      <c r="Q2199" s="277">
        <f t="shared" si="246"/>
        <v>4800</v>
      </c>
      <c r="R2199" s="280">
        <f t="shared" si="247"/>
        <v>5600</v>
      </c>
      <c r="S2199" s="69">
        <f t="shared" si="248"/>
        <v>6720</v>
      </c>
      <c r="T2199" s="18">
        <f t="shared" si="249"/>
        <v>4291.666666666667</v>
      </c>
      <c r="U2199" s="277">
        <f t="shared" si="250"/>
        <v>5150</v>
      </c>
      <c r="V2199" s="280">
        <f t="shared" si="251"/>
        <v>6008.3333333333339</v>
      </c>
      <c r="W2199" s="69">
        <f t="shared" si="252"/>
        <v>7210.0000000000009</v>
      </c>
      <c r="X2199" s="22"/>
      <c r="Y2199" s="22"/>
      <c r="Z2199" s="22"/>
      <c r="AA2199" s="22"/>
      <c r="AB2199" s="22"/>
      <c r="AC2199" s="346">
        <v>3690</v>
      </c>
      <c r="AD2199" s="346">
        <v>5150</v>
      </c>
      <c r="AE2199" s="346">
        <v>4240</v>
      </c>
      <c r="AF2199" s="346">
        <v>5940</v>
      </c>
      <c r="AG2199" s="346">
        <v>4490</v>
      </c>
      <c r="AH2199" s="346">
        <v>6290</v>
      </c>
      <c r="AI2199" s="346">
        <v>4800</v>
      </c>
      <c r="AJ2199" s="346">
        <v>6720</v>
      </c>
      <c r="AK2199" s="346">
        <v>5150</v>
      </c>
      <c r="AL2199" s="346">
        <v>7210</v>
      </c>
      <c r="AM2199" s="348">
        <v>3690</v>
      </c>
      <c r="AN2199" s="323">
        <f t="shared" si="253"/>
        <v>0</v>
      </c>
      <c r="AO2199" s="348">
        <v>5150</v>
      </c>
      <c r="AP2199" s="495">
        <f t="shared" si="254"/>
        <v>0</v>
      </c>
      <c r="AQ2199" s="348">
        <v>4240</v>
      </c>
      <c r="AR2199" s="348">
        <f t="shared" si="255"/>
        <v>0</v>
      </c>
      <c r="AS2199" s="348">
        <v>5940</v>
      </c>
      <c r="AT2199" s="348">
        <f t="shared" si="256"/>
        <v>0</v>
      </c>
      <c r="AU2199" s="348">
        <v>4490</v>
      </c>
      <c r="AV2199" s="348">
        <f t="shared" si="257"/>
        <v>0</v>
      </c>
      <c r="AW2199" s="348">
        <v>6290</v>
      </c>
    </row>
    <row r="2200" spans="1:49">
      <c r="A2200" s="8"/>
      <c r="B2200" s="16" t="str">
        <f>IF($C$1="ENG","D (140 - 160 mm)","D (140 - 160 мм)")</f>
        <v>D (140 - 160 мм)</v>
      </c>
      <c r="C2200" s="161"/>
      <c r="D2200" s="18">
        <f t="shared" si="233"/>
        <v>3241.666666666667</v>
      </c>
      <c r="E2200" s="277">
        <f t="shared" si="234"/>
        <v>3890</v>
      </c>
      <c r="F2200" s="280">
        <f t="shared" si="235"/>
        <v>4541.666666666667</v>
      </c>
      <c r="G2200" s="69">
        <f t="shared" si="236"/>
        <v>5450</v>
      </c>
      <c r="H2200" s="18">
        <f t="shared" si="237"/>
        <v>3733.3333333333335</v>
      </c>
      <c r="I2200" s="277">
        <f t="shared" si="238"/>
        <v>4480</v>
      </c>
      <c r="J2200" s="280">
        <f t="shared" si="239"/>
        <v>5216.666666666667</v>
      </c>
      <c r="K2200" s="69">
        <f t="shared" si="240"/>
        <v>6260</v>
      </c>
      <c r="L2200" s="18">
        <f t="shared" si="241"/>
        <v>3908.3333333333335</v>
      </c>
      <c r="M2200" s="277">
        <f t="shared" si="242"/>
        <v>4690</v>
      </c>
      <c r="N2200" s="280">
        <f t="shared" si="243"/>
        <v>5558.3333333333339</v>
      </c>
      <c r="O2200" s="69">
        <f t="shared" si="244"/>
        <v>6670.0000000000009</v>
      </c>
      <c r="P2200" s="18">
        <f t="shared" si="245"/>
        <v>4183.3333333333339</v>
      </c>
      <c r="Q2200" s="277">
        <f t="shared" si="246"/>
        <v>5020.0000000000009</v>
      </c>
      <c r="R2200" s="280">
        <f t="shared" si="247"/>
        <v>5858.3333333333339</v>
      </c>
      <c r="S2200" s="69">
        <f t="shared" si="248"/>
        <v>7030.0000000000009</v>
      </c>
      <c r="T2200" s="18">
        <f t="shared" si="249"/>
        <v>4500</v>
      </c>
      <c r="U2200" s="277">
        <f t="shared" si="250"/>
        <v>5400</v>
      </c>
      <c r="V2200" s="280">
        <f t="shared" si="251"/>
        <v>6300</v>
      </c>
      <c r="W2200" s="69">
        <f t="shared" si="252"/>
        <v>7560</v>
      </c>
      <c r="X2200" s="22"/>
      <c r="Y2200" s="22"/>
      <c r="Z2200" s="22"/>
      <c r="AA2200" s="22"/>
      <c r="AB2200" s="22"/>
      <c r="AC2200" s="346">
        <v>3890</v>
      </c>
      <c r="AD2200" s="346">
        <v>5450</v>
      </c>
      <c r="AE2200" s="346">
        <v>4480</v>
      </c>
      <c r="AF2200" s="346">
        <v>6260</v>
      </c>
      <c r="AG2200" s="346">
        <v>4690</v>
      </c>
      <c r="AH2200" s="346">
        <v>6670</v>
      </c>
      <c r="AI2200" s="346">
        <v>5020</v>
      </c>
      <c r="AJ2200" s="346">
        <v>7030</v>
      </c>
      <c r="AK2200" s="346">
        <v>5400</v>
      </c>
      <c r="AL2200" s="346">
        <v>7560</v>
      </c>
      <c r="AM2200" s="348">
        <v>3890</v>
      </c>
      <c r="AN2200" s="323">
        <f t="shared" si="253"/>
        <v>0</v>
      </c>
      <c r="AO2200" s="348">
        <v>5450</v>
      </c>
      <c r="AP2200" s="495">
        <f t="shared" si="254"/>
        <v>0</v>
      </c>
      <c r="AQ2200" s="348">
        <v>4480</v>
      </c>
      <c r="AR2200" s="348">
        <f t="shared" si="255"/>
        <v>0</v>
      </c>
      <c r="AS2200" s="348">
        <v>6260</v>
      </c>
      <c r="AT2200" s="348">
        <f t="shared" si="256"/>
        <v>0</v>
      </c>
      <c r="AU2200" s="348">
        <v>4690</v>
      </c>
      <c r="AV2200" s="348">
        <f t="shared" si="257"/>
        <v>0</v>
      </c>
      <c r="AW2200" s="348">
        <v>6670</v>
      </c>
    </row>
    <row r="2201" spans="1:49">
      <c r="A2201" s="8"/>
      <c r="B2201" s="16" t="str">
        <f>IF($C$1="ENG","E (160 - 180 mm)","E (160 - 180 мм)")</f>
        <v>E (160 - 180 мм)</v>
      </c>
      <c r="C2201" s="161"/>
      <c r="D2201" s="18">
        <f t="shared" si="233"/>
        <v>3383.3333333333335</v>
      </c>
      <c r="E2201" s="277">
        <f>IF($W$5=0.2,D2201*1.2,D2201)/$W$4</f>
        <v>4060</v>
      </c>
      <c r="F2201" s="280">
        <f t="shared" si="235"/>
        <v>4725</v>
      </c>
      <c r="G2201" s="69">
        <f t="shared" si="236"/>
        <v>5670</v>
      </c>
      <c r="H2201" s="18">
        <f t="shared" si="237"/>
        <v>3891.666666666667</v>
      </c>
      <c r="I2201" s="277">
        <f t="shared" si="238"/>
        <v>4670</v>
      </c>
      <c r="J2201" s="280">
        <f t="shared" si="239"/>
        <v>5441.666666666667</v>
      </c>
      <c r="K2201" s="69">
        <f t="shared" si="240"/>
        <v>6530</v>
      </c>
      <c r="L2201" s="18">
        <f t="shared" si="241"/>
        <v>4083.3333333333335</v>
      </c>
      <c r="M2201" s="277">
        <f t="shared" si="242"/>
        <v>4900</v>
      </c>
      <c r="N2201" s="280">
        <f t="shared" si="243"/>
        <v>5725</v>
      </c>
      <c r="O2201" s="69">
        <f t="shared" si="244"/>
        <v>6870</v>
      </c>
      <c r="P2201" s="18">
        <f t="shared" si="245"/>
        <v>4366.666666666667</v>
      </c>
      <c r="Q2201" s="277">
        <f t="shared" si="246"/>
        <v>5240</v>
      </c>
      <c r="R2201" s="280">
        <f t="shared" si="247"/>
        <v>6108.3333333333339</v>
      </c>
      <c r="S2201" s="69">
        <f t="shared" si="248"/>
        <v>7330.0000000000009</v>
      </c>
      <c r="T2201" s="18">
        <f t="shared" si="249"/>
        <v>4716.666666666667</v>
      </c>
      <c r="U2201" s="277">
        <f t="shared" si="250"/>
        <v>5660</v>
      </c>
      <c r="V2201" s="280">
        <f t="shared" si="251"/>
        <v>6600.8333333333339</v>
      </c>
      <c r="W2201" s="69">
        <f t="shared" si="252"/>
        <v>7921</v>
      </c>
      <c r="X2201" s="22"/>
      <c r="Y2201" s="22"/>
      <c r="Z2201" s="22"/>
      <c r="AA2201" s="22"/>
      <c r="AB2201" s="22"/>
      <c r="AC2201" s="346">
        <v>4060</v>
      </c>
      <c r="AD2201" s="346">
        <v>5670</v>
      </c>
      <c r="AE2201" s="346">
        <v>4670</v>
      </c>
      <c r="AF2201" s="346">
        <v>6530</v>
      </c>
      <c r="AG2201" s="346">
        <v>4900</v>
      </c>
      <c r="AH2201" s="346">
        <v>6870</v>
      </c>
      <c r="AI2201" s="346">
        <v>5240</v>
      </c>
      <c r="AJ2201" s="346">
        <v>7330</v>
      </c>
      <c r="AK2201" s="346">
        <v>5660</v>
      </c>
      <c r="AL2201" s="346">
        <v>7921</v>
      </c>
      <c r="AM2201" s="348">
        <v>4060</v>
      </c>
      <c r="AN2201" s="323">
        <f t="shared" si="253"/>
        <v>0</v>
      </c>
      <c r="AO2201" s="348">
        <v>5670</v>
      </c>
      <c r="AP2201" s="495">
        <f t="shared" si="254"/>
        <v>0</v>
      </c>
      <c r="AQ2201" s="348">
        <v>4670</v>
      </c>
      <c r="AR2201" s="348">
        <f t="shared" si="255"/>
        <v>0</v>
      </c>
      <c r="AS2201" s="348">
        <v>6530</v>
      </c>
      <c r="AT2201" s="348">
        <f t="shared" si="256"/>
        <v>0</v>
      </c>
      <c r="AU2201" s="348">
        <v>4900</v>
      </c>
      <c r="AV2201" s="348">
        <f t="shared" si="257"/>
        <v>0</v>
      </c>
      <c r="AW2201" s="348">
        <v>6870</v>
      </c>
    </row>
    <row r="2202" spans="1:49">
      <c r="A2202" s="8"/>
      <c r="B2202" s="16" t="str">
        <f>IF($C$1="ENG","F (180 - 200 mm)","F (180 - 200 мм)")</f>
        <v>F (180 - 200 мм)</v>
      </c>
      <c r="C2202" s="161"/>
      <c r="D2202" s="18">
        <f t="shared" si="233"/>
        <v>3550</v>
      </c>
      <c r="E2202" s="277">
        <f t="shared" si="234"/>
        <v>4260</v>
      </c>
      <c r="F2202" s="280">
        <f t="shared" si="235"/>
        <v>4958.3333333333339</v>
      </c>
      <c r="G2202" s="69">
        <f t="shared" si="236"/>
        <v>5950.0000000000009</v>
      </c>
      <c r="H2202" s="18">
        <f t="shared" si="237"/>
        <v>4075</v>
      </c>
      <c r="I2202" s="277">
        <f t="shared" si="238"/>
        <v>4890</v>
      </c>
      <c r="J2202" s="280">
        <f t="shared" si="239"/>
        <v>5700</v>
      </c>
      <c r="K2202" s="69">
        <f t="shared" si="240"/>
        <v>6840</v>
      </c>
      <c r="L2202" s="18">
        <f t="shared" si="241"/>
        <v>4275</v>
      </c>
      <c r="M2202" s="277">
        <f t="shared" si="242"/>
        <v>5130</v>
      </c>
      <c r="N2202" s="280">
        <f t="shared" si="243"/>
        <v>5991.666666666667</v>
      </c>
      <c r="O2202" s="69">
        <f t="shared" si="244"/>
        <v>7190</v>
      </c>
      <c r="P2202" s="18">
        <f t="shared" si="245"/>
        <v>4566.666666666667</v>
      </c>
      <c r="Q2202" s="277">
        <f t="shared" si="246"/>
        <v>5480</v>
      </c>
      <c r="R2202" s="280">
        <f t="shared" si="247"/>
        <v>6391.666666666667</v>
      </c>
      <c r="S2202" s="69">
        <f t="shared" si="248"/>
        <v>7670</v>
      </c>
      <c r="T2202" s="18">
        <f t="shared" si="249"/>
        <v>4925</v>
      </c>
      <c r="U2202" s="277">
        <f t="shared" si="250"/>
        <v>5910</v>
      </c>
      <c r="V2202" s="280">
        <f t="shared" si="251"/>
        <v>6891.666666666667</v>
      </c>
      <c r="W2202" s="69">
        <f t="shared" si="252"/>
        <v>8270</v>
      </c>
      <c r="X2202" s="22"/>
      <c r="Y2202" s="22"/>
      <c r="Z2202" s="22"/>
      <c r="AA2202" s="22"/>
      <c r="AB2202" s="22"/>
      <c r="AC2202" s="346">
        <v>4260</v>
      </c>
      <c r="AD2202" s="346">
        <v>5950</v>
      </c>
      <c r="AE2202" s="346">
        <v>4890</v>
      </c>
      <c r="AF2202" s="346">
        <v>6840</v>
      </c>
      <c r="AG2202" s="346">
        <v>5130</v>
      </c>
      <c r="AH2202" s="346">
        <v>7190</v>
      </c>
      <c r="AI2202" s="346">
        <v>5480</v>
      </c>
      <c r="AJ2202" s="346">
        <v>7670</v>
      </c>
      <c r="AK2202" s="346">
        <v>5910</v>
      </c>
      <c r="AL2202" s="346">
        <v>8270</v>
      </c>
      <c r="AM2202" s="348">
        <v>4260</v>
      </c>
      <c r="AN2202" s="323">
        <f t="shared" si="253"/>
        <v>0</v>
      </c>
      <c r="AO2202" s="348">
        <v>5950</v>
      </c>
      <c r="AP2202" s="495">
        <f t="shared" si="254"/>
        <v>0</v>
      </c>
      <c r="AQ2202" s="348">
        <v>4890</v>
      </c>
      <c r="AR2202" s="348">
        <f t="shared" si="255"/>
        <v>0</v>
      </c>
      <c r="AS2202" s="348">
        <v>6840</v>
      </c>
      <c r="AT2202" s="348">
        <f t="shared" si="256"/>
        <v>0</v>
      </c>
      <c r="AU2202" s="348">
        <v>5130</v>
      </c>
      <c r="AV2202" s="348">
        <f t="shared" si="257"/>
        <v>0</v>
      </c>
      <c r="AW2202" s="348">
        <v>7190</v>
      </c>
    </row>
    <row r="2203" spans="1:49">
      <c r="A2203" s="8"/>
      <c r="B2203" s="16" t="str">
        <f>IF($C$1="ENG","G (200 - 220 mm)","G (200 - 220 мм)")</f>
        <v>G (200 - 220 мм)</v>
      </c>
      <c r="C2203" s="161"/>
      <c r="D2203" s="18">
        <f t="shared" si="233"/>
        <v>3691.666666666667</v>
      </c>
      <c r="E2203" s="277">
        <f t="shared" si="234"/>
        <v>4430</v>
      </c>
      <c r="F2203" s="280">
        <f t="shared" si="235"/>
        <v>5166.666666666667</v>
      </c>
      <c r="G2203" s="69">
        <f t="shared" si="236"/>
        <v>6200</v>
      </c>
      <c r="H2203" s="18">
        <f t="shared" si="237"/>
        <v>4250</v>
      </c>
      <c r="I2203" s="277">
        <f t="shared" si="238"/>
        <v>5100</v>
      </c>
      <c r="J2203" s="280">
        <f t="shared" si="239"/>
        <v>5941.666666666667</v>
      </c>
      <c r="K2203" s="69">
        <f t="shared" si="240"/>
        <v>7130</v>
      </c>
      <c r="L2203" s="18">
        <f t="shared" si="241"/>
        <v>4450</v>
      </c>
      <c r="M2203" s="277">
        <f t="shared" si="242"/>
        <v>5340</v>
      </c>
      <c r="N2203" s="280">
        <f t="shared" si="243"/>
        <v>6225</v>
      </c>
      <c r="O2203" s="69">
        <f t="shared" si="244"/>
        <v>7470</v>
      </c>
      <c r="P2203" s="18">
        <f t="shared" si="245"/>
        <v>4758.3333333333339</v>
      </c>
      <c r="Q2203" s="277">
        <f t="shared" si="246"/>
        <v>5710.0000000000009</v>
      </c>
      <c r="R2203" s="280">
        <f t="shared" si="247"/>
        <v>6658.3333333333339</v>
      </c>
      <c r="S2203" s="69">
        <f t="shared" si="248"/>
        <v>7990</v>
      </c>
      <c r="T2203" s="18">
        <f t="shared" si="249"/>
        <v>5141.666666666667</v>
      </c>
      <c r="U2203" s="277">
        <f t="shared" si="250"/>
        <v>6170</v>
      </c>
      <c r="V2203" s="280">
        <f t="shared" si="251"/>
        <v>7191.666666666667</v>
      </c>
      <c r="W2203" s="69">
        <f t="shared" si="252"/>
        <v>8630</v>
      </c>
      <c r="X2203" s="22"/>
      <c r="Y2203" s="22"/>
      <c r="Z2203" s="22"/>
      <c r="AA2203" s="22"/>
      <c r="AB2203" s="22"/>
      <c r="AC2203" s="346">
        <v>4430</v>
      </c>
      <c r="AD2203" s="346">
        <v>6200</v>
      </c>
      <c r="AE2203" s="346">
        <v>5100</v>
      </c>
      <c r="AF2203" s="346">
        <v>7130</v>
      </c>
      <c r="AG2203" s="346">
        <v>5340</v>
      </c>
      <c r="AH2203" s="346">
        <v>7470</v>
      </c>
      <c r="AI2203" s="346">
        <v>5710</v>
      </c>
      <c r="AJ2203" s="346">
        <v>7990</v>
      </c>
      <c r="AK2203" s="346">
        <v>6170</v>
      </c>
      <c r="AL2203" s="346">
        <v>8630</v>
      </c>
      <c r="AM2203" s="348">
        <v>4430</v>
      </c>
      <c r="AN2203" s="323">
        <f t="shared" si="253"/>
        <v>0</v>
      </c>
      <c r="AO2203" s="348">
        <v>6200</v>
      </c>
      <c r="AP2203" s="495">
        <f t="shared" si="254"/>
        <v>0</v>
      </c>
      <c r="AQ2203" s="348">
        <v>5100</v>
      </c>
      <c r="AR2203" s="348">
        <f t="shared" si="255"/>
        <v>0</v>
      </c>
      <c r="AS2203" s="348">
        <v>7130</v>
      </c>
      <c r="AT2203" s="348">
        <f t="shared" si="256"/>
        <v>0</v>
      </c>
      <c r="AU2203" s="348">
        <v>5340</v>
      </c>
      <c r="AV2203" s="348">
        <f t="shared" si="257"/>
        <v>0</v>
      </c>
      <c r="AW2203" s="348">
        <v>7470</v>
      </c>
    </row>
    <row r="2204" spans="1:49">
      <c r="A2204" s="8"/>
      <c r="B2204" s="16" t="str">
        <f>IF($C$1="ENG","H (220 - 240 mm)","H (220 - 240 мм)")</f>
        <v>H (220 - 240 мм)</v>
      </c>
      <c r="C2204" s="161"/>
      <c r="D2204" s="18">
        <f t="shared" si="233"/>
        <v>3841.666666666667</v>
      </c>
      <c r="E2204" s="277">
        <f t="shared" si="234"/>
        <v>4610</v>
      </c>
      <c r="F2204" s="280">
        <f t="shared" si="235"/>
        <v>5375</v>
      </c>
      <c r="G2204" s="69">
        <f t="shared" si="236"/>
        <v>6450</v>
      </c>
      <c r="H2204" s="18">
        <f t="shared" si="237"/>
        <v>4416.666666666667</v>
      </c>
      <c r="I2204" s="277">
        <f t="shared" si="238"/>
        <v>5300</v>
      </c>
      <c r="J2204" s="280">
        <f t="shared" si="239"/>
        <v>6191.666666666667</v>
      </c>
      <c r="K2204" s="69">
        <f t="shared" si="240"/>
        <v>7430</v>
      </c>
      <c r="L2204" s="18">
        <f t="shared" si="241"/>
        <v>4625</v>
      </c>
      <c r="M2204" s="277">
        <f t="shared" si="242"/>
        <v>5550</v>
      </c>
      <c r="N2204" s="280">
        <f t="shared" si="243"/>
        <v>6475</v>
      </c>
      <c r="O2204" s="69">
        <f t="shared" si="244"/>
        <v>7770</v>
      </c>
      <c r="P2204" s="18">
        <f t="shared" si="245"/>
        <v>4933.3333333333339</v>
      </c>
      <c r="Q2204" s="277">
        <f t="shared" si="246"/>
        <v>5920.0000000000009</v>
      </c>
      <c r="R2204" s="280">
        <f t="shared" si="247"/>
        <v>6908.3333333333339</v>
      </c>
      <c r="S2204" s="69">
        <f t="shared" si="248"/>
        <v>8290</v>
      </c>
      <c r="T2204" s="18">
        <f t="shared" si="249"/>
        <v>5350</v>
      </c>
      <c r="U2204" s="277">
        <f t="shared" si="250"/>
        <v>6420</v>
      </c>
      <c r="V2204" s="280">
        <f t="shared" si="251"/>
        <v>7483.3333333333339</v>
      </c>
      <c r="W2204" s="69">
        <f t="shared" si="252"/>
        <v>8980</v>
      </c>
      <c r="X2204" s="22"/>
      <c r="Y2204" s="22"/>
      <c r="Z2204" s="22"/>
      <c r="AA2204" s="22"/>
      <c r="AB2204" s="22"/>
      <c r="AC2204" s="346">
        <v>4610</v>
      </c>
      <c r="AD2204" s="346">
        <v>6450</v>
      </c>
      <c r="AE2204" s="346">
        <v>5300</v>
      </c>
      <c r="AF2204" s="346">
        <v>7430</v>
      </c>
      <c r="AG2204" s="346">
        <v>5550</v>
      </c>
      <c r="AH2204" s="346">
        <v>7770</v>
      </c>
      <c r="AI2204" s="346">
        <v>5920</v>
      </c>
      <c r="AJ2204" s="346">
        <v>8290</v>
      </c>
      <c r="AK2204" s="346">
        <v>6420</v>
      </c>
      <c r="AL2204" s="346">
        <v>8980</v>
      </c>
      <c r="AM2204" s="348">
        <v>4610</v>
      </c>
      <c r="AN2204" s="323">
        <f t="shared" si="253"/>
        <v>0</v>
      </c>
      <c r="AO2204" s="348">
        <v>6450</v>
      </c>
      <c r="AP2204" s="495">
        <f t="shared" si="254"/>
        <v>0</v>
      </c>
      <c r="AQ2204" s="348">
        <v>5300</v>
      </c>
      <c r="AR2204" s="348">
        <f t="shared" si="255"/>
        <v>0</v>
      </c>
      <c r="AS2204" s="348">
        <v>7430</v>
      </c>
      <c r="AT2204" s="348">
        <f t="shared" si="256"/>
        <v>0</v>
      </c>
      <c r="AU2204" s="348">
        <v>5550</v>
      </c>
      <c r="AV2204" s="348">
        <f t="shared" si="257"/>
        <v>0</v>
      </c>
      <c r="AW2204" s="348">
        <v>7770</v>
      </c>
    </row>
    <row r="2205" spans="1:49">
      <c r="A2205" s="8"/>
      <c r="B2205" s="23" t="str">
        <f>IF($C$1="ENG","I (240 - 260 mm)","I (240 - 260 мм)")</f>
        <v>I (240 - 260 мм)</v>
      </c>
      <c r="C2205" s="162"/>
      <c r="D2205" s="25">
        <f t="shared" si="233"/>
        <v>4000</v>
      </c>
      <c r="E2205" s="278">
        <f t="shared" si="234"/>
        <v>4800</v>
      </c>
      <c r="F2205" s="281">
        <f t="shared" si="235"/>
        <v>5608.3333333333339</v>
      </c>
      <c r="G2205" s="72">
        <f t="shared" si="236"/>
        <v>6730.0000000000009</v>
      </c>
      <c r="H2205" s="25">
        <f t="shared" si="237"/>
        <v>4608.3333333333339</v>
      </c>
      <c r="I2205" s="278">
        <f t="shared" si="238"/>
        <v>5530.0000000000009</v>
      </c>
      <c r="J2205" s="281">
        <f t="shared" si="239"/>
        <v>6450</v>
      </c>
      <c r="K2205" s="72">
        <f t="shared" si="240"/>
        <v>7740</v>
      </c>
      <c r="L2205" s="25">
        <f t="shared" si="241"/>
        <v>4791.666666666667</v>
      </c>
      <c r="M2205" s="278">
        <f t="shared" si="242"/>
        <v>5750</v>
      </c>
      <c r="N2205" s="281">
        <f t="shared" si="243"/>
        <v>6716.666666666667</v>
      </c>
      <c r="O2205" s="72">
        <f t="shared" si="244"/>
        <v>8060</v>
      </c>
      <c r="P2205" s="25">
        <f t="shared" si="245"/>
        <v>5133.3333333333339</v>
      </c>
      <c r="Q2205" s="278">
        <f t="shared" si="246"/>
        <v>6160.0000000000009</v>
      </c>
      <c r="R2205" s="281">
        <f t="shared" si="247"/>
        <v>7183.3333333333339</v>
      </c>
      <c r="S2205" s="72">
        <f t="shared" si="248"/>
        <v>8620</v>
      </c>
      <c r="T2205" s="25">
        <f t="shared" si="249"/>
        <v>5566.666666666667</v>
      </c>
      <c r="U2205" s="278">
        <f t="shared" si="250"/>
        <v>6680</v>
      </c>
      <c r="V2205" s="281">
        <f t="shared" si="251"/>
        <v>7791.666666666667</v>
      </c>
      <c r="W2205" s="72">
        <f t="shared" si="252"/>
        <v>9350</v>
      </c>
      <c r="X2205" s="22"/>
      <c r="Y2205" s="22"/>
      <c r="Z2205" s="22"/>
      <c r="AA2205" s="22"/>
      <c r="AB2205" s="22"/>
      <c r="AC2205" s="346">
        <v>4800</v>
      </c>
      <c r="AD2205" s="346">
        <v>6730</v>
      </c>
      <c r="AE2205" s="346">
        <v>5530</v>
      </c>
      <c r="AF2205" s="346">
        <v>7740</v>
      </c>
      <c r="AG2205" s="346">
        <v>5750</v>
      </c>
      <c r="AH2205" s="346">
        <v>8060</v>
      </c>
      <c r="AI2205" s="346">
        <v>6160</v>
      </c>
      <c r="AJ2205" s="346">
        <v>8620</v>
      </c>
      <c r="AK2205" s="346">
        <v>6680</v>
      </c>
      <c r="AL2205" s="346">
        <v>9350</v>
      </c>
      <c r="AM2205" s="348">
        <v>4800</v>
      </c>
      <c r="AN2205" s="323">
        <f t="shared" si="253"/>
        <v>0</v>
      </c>
      <c r="AO2205" s="348">
        <v>6730</v>
      </c>
      <c r="AP2205" s="495">
        <f t="shared" si="254"/>
        <v>0</v>
      </c>
      <c r="AQ2205" s="348">
        <v>5530</v>
      </c>
      <c r="AR2205" s="348">
        <f t="shared" si="255"/>
        <v>0</v>
      </c>
      <c r="AS2205" s="348">
        <v>7740</v>
      </c>
      <c r="AT2205" s="348">
        <f t="shared" si="256"/>
        <v>0</v>
      </c>
      <c r="AU2205" s="348">
        <v>5750</v>
      </c>
      <c r="AV2205" s="348">
        <f t="shared" si="257"/>
        <v>0</v>
      </c>
      <c r="AW2205" s="348">
        <v>8060</v>
      </c>
    </row>
    <row r="2206" spans="1:49">
      <c r="C2206" s="26"/>
      <c r="D2206" s="26"/>
      <c r="E2206" s="60"/>
      <c r="F2206" s="26"/>
      <c r="G2206" s="60"/>
      <c r="H2206" s="5"/>
      <c r="K2206" s="20"/>
      <c r="L2206" s="48"/>
      <c r="M2206" s="110"/>
      <c r="N2206" s="48"/>
      <c r="O2206" s="48"/>
      <c r="P2206" s="48"/>
      <c r="Q2206" s="110"/>
      <c r="R2206" s="48"/>
      <c r="S2206" s="48"/>
      <c r="U2206" s="20"/>
      <c r="W2206" s="20"/>
      <c r="AO2206" s="410"/>
      <c r="AP2206" s="410"/>
      <c r="AQ2206" s="410"/>
      <c r="AR2206" s="410"/>
      <c r="AS2206" s="410"/>
      <c r="AT2206" s="410"/>
      <c r="AU2206" s="410"/>
      <c r="AV2206" s="410"/>
    </row>
    <row r="2207" spans="1:49">
      <c r="B2207" s="220" t="str">
        <f>IF($C$1="ENG","For additonal charge:","Послуги за додаткову плату:")</f>
        <v>Послуги за додаткову плату:</v>
      </c>
      <c r="C2207" s="221"/>
      <c r="D2207" s="221"/>
      <c r="E2207" s="222"/>
      <c r="F2207" s="39"/>
      <c r="G2207" s="39"/>
      <c r="H2207" s="10"/>
      <c r="I2207" s="87"/>
      <c r="J2207" s="8"/>
      <c r="K2207" s="8"/>
      <c r="L2207" s="109"/>
      <c r="N2207" s="109"/>
      <c r="P2207" s="109"/>
      <c r="R2207" s="109"/>
      <c r="U2207" s="20"/>
      <c r="W2207" s="20"/>
    </row>
    <row r="2208" spans="1:49" ht="5.0999999999999996" customHeight="1">
      <c r="B2208" s="27"/>
      <c r="C2208" s="26"/>
      <c r="D2208" s="26"/>
      <c r="E2208" s="60"/>
      <c r="F2208" s="26"/>
      <c r="G2208" s="26"/>
      <c r="H2208" s="10"/>
      <c r="I2208" s="8"/>
      <c r="J2208" s="8"/>
      <c r="K2208" s="8"/>
      <c r="U2208" s="20"/>
      <c r="W2208" s="20"/>
    </row>
    <row r="2209" spans="2:38">
      <c r="B2209" s="435" t="str">
        <f>IF($C$1="ENG","third door hindge","третя завіса")</f>
        <v>третя завіса</v>
      </c>
      <c r="C2209" s="436"/>
      <c r="D2209" s="51">
        <f>IF(AC2209="","",(1-$W$2)*(AC2209/1.2))</f>
        <v>66.666666666666671</v>
      </c>
      <c r="E2209" s="88">
        <f>IF($W$5=0.2,D2209*1.2,D2209)/$W$4</f>
        <v>80</v>
      </c>
      <c r="F2209" s="26"/>
      <c r="G2209" s="26"/>
      <c r="H2209" s="10"/>
      <c r="I2209" s="87"/>
      <c r="J2209" s="8"/>
      <c r="K2209" s="87"/>
      <c r="U2209" s="20"/>
      <c r="W2209" s="20"/>
      <c r="AC2209" s="310">
        <v>80</v>
      </c>
      <c r="AD2209" s="301"/>
      <c r="AE2209" s="301"/>
      <c r="AF2209" s="301"/>
      <c r="AG2209" s="301"/>
      <c r="AH2209" s="301"/>
      <c r="AI2209" s="301"/>
      <c r="AJ2209" s="301"/>
      <c r="AK2209" s="301"/>
      <c r="AL2209" s="301"/>
    </row>
    <row r="2210" spans="2:38" ht="14.25" customHeight="1">
      <c r="T2210" s="465" t="str">
        <f>IF($C$1="ENG",CONCATENATE("down to: ",B2260),CONCATENATE("вниз до: ",B2260))</f>
        <v>вниз до: Дверна коробка Verto-FIT Comfort</v>
      </c>
      <c r="U2210" s="465"/>
      <c r="V2210" s="465"/>
      <c r="W2210" s="465"/>
    </row>
    <row r="2211" spans="2:38" ht="14.25" customHeight="1">
      <c r="C2211" s="26"/>
      <c r="D2211" s="26"/>
      <c r="E2211" s="26"/>
      <c r="F2211" s="26"/>
      <c r="G2211" s="60"/>
      <c r="H2211" s="5"/>
      <c r="K2211" s="87"/>
      <c r="L2211" s="290"/>
      <c r="O2211" s="60"/>
      <c r="P2211" s="290"/>
      <c r="S2211" s="60"/>
      <c r="T2211" s="290"/>
      <c r="W2211" s="60"/>
      <c r="X2211" s="290"/>
      <c r="Y2211" s="290"/>
      <c r="Z2211" s="290"/>
      <c r="AA2211" s="290"/>
      <c r="AB2211" s="290"/>
    </row>
    <row r="2212" spans="2:38" ht="14.25" customHeight="1">
      <c r="C2212" s="26"/>
      <c r="D2212" s="26"/>
      <c r="E2212" s="26"/>
      <c r="F2212" s="26"/>
      <c r="G2212" s="60"/>
      <c r="H2212" s="290"/>
      <c r="K2212" s="60"/>
      <c r="L2212" s="254"/>
      <c r="M2212" s="255"/>
      <c r="N2212" s="254"/>
      <c r="O2212" s="254"/>
      <c r="P2212" s="254"/>
      <c r="Q2212" s="255"/>
      <c r="R2212" s="254"/>
      <c r="S2212" s="254"/>
      <c r="T2212" s="254"/>
      <c r="U2212" s="255"/>
      <c r="V2212" s="254"/>
      <c r="W2212" s="254"/>
    </row>
    <row r="2213" spans="2:38" ht="14.25" customHeight="1">
      <c r="C2213" s="26"/>
      <c r="D2213" s="254"/>
      <c r="E2213" s="254"/>
      <c r="F2213" s="254"/>
      <c r="G2213" s="258"/>
      <c r="H2213" s="254"/>
      <c r="I2213" s="255"/>
      <c r="J2213" s="254"/>
      <c r="K2213" s="254"/>
      <c r="L2213" s="254"/>
      <c r="M2213" s="254"/>
      <c r="N2213" s="254"/>
      <c r="O2213" s="254"/>
      <c r="P2213" s="254"/>
      <c r="Q2213" s="254"/>
      <c r="R2213" s="254"/>
      <c r="S2213" s="254"/>
      <c r="T2213" s="254"/>
      <c r="U2213" s="254"/>
      <c r="V2213" s="254"/>
      <c r="W2213" s="254"/>
    </row>
    <row r="2214" spans="2:38" ht="14.25" customHeight="1">
      <c r="C2214" s="26"/>
      <c r="D2214" s="254"/>
      <c r="E2214" s="254"/>
      <c r="F2214" s="254"/>
      <c r="G2214" s="254"/>
      <c r="H2214" s="254"/>
      <c r="I2214" s="254"/>
      <c r="J2214" s="254"/>
      <c r="K2214" s="254"/>
    </row>
    <row r="2215" spans="2:38" ht="14.25" customHeight="1">
      <c r="C2215" s="26"/>
      <c r="D2215" s="26"/>
      <c r="E2215" s="26"/>
      <c r="F2215" s="26"/>
      <c r="G2215" s="26"/>
      <c r="H2215" s="5"/>
    </row>
    <row r="2216" spans="2:38" ht="14.25" customHeight="1">
      <c r="C2216" s="26"/>
      <c r="D2216" s="26"/>
      <c r="E2216" s="26"/>
      <c r="F2216" s="26"/>
      <c r="G2216" s="26"/>
      <c r="H2216" s="5"/>
    </row>
    <row r="2217" spans="2:38" ht="14.25" customHeight="1">
      <c r="C2217" s="26"/>
      <c r="D2217" s="26"/>
      <c r="E2217" s="26"/>
      <c r="F2217" s="26"/>
      <c r="G2217" s="26"/>
      <c r="H2217" s="5"/>
    </row>
    <row r="2218" spans="2:38" ht="14.25" customHeight="1">
      <c r="C2218" s="26"/>
      <c r="D2218" s="26"/>
      <c r="E2218" s="26"/>
      <c r="F2218" s="26"/>
      <c r="G2218" s="26"/>
      <c r="H2218" s="5"/>
    </row>
    <row r="2219" spans="2:38" ht="14.25" customHeight="1">
      <c r="C2219" s="26"/>
      <c r="D2219" s="26"/>
      <c r="E2219" s="26"/>
      <c r="F2219" s="26"/>
      <c r="G2219" s="26"/>
      <c r="H2219" s="5"/>
    </row>
    <row r="2220" spans="2:38" ht="14.25" customHeight="1">
      <c r="C2220" s="26"/>
      <c r="D2220" s="26"/>
      <c r="E2220" s="26"/>
      <c r="F2220" s="26"/>
      <c r="G2220" s="26"/>
      <c r="H2220" s="5"/>
    </row>
    <row r="2221" spans="2:38" ht="14.25" customHeight="1">
      <c r="C2221" s="26"/>
      <c r="D2221" s="26"/>
      <c r="E2221" s="26"/>
      <c r="F2221" s="26"/>
      <c r="G2221" s="26"/>
      <c r="H2221" s="5"/>
    </row>
    <row r="2222" spans="2:38" ht="14.25" customHeight="1">
      <c r="C2222" s="26"/>
      <c r="D2222" s="26"/>
      <c r="E2222" s="26"/>
      <c r="F2222" s="26"/>
      <c r="G2222" s="26"/>
      <c r="H2222" s="5"/>
    </row>
    <row r="2223" spans="2:38" ht="14.25" customHeight="1">
      <c r="C2223" s="26"/>
      <c r="D2223" s="26"/>
      <c r="E2223" s="26"/>
      <c r="F2223" s="26"/>
      <c r="G2223" s="26"/>
      <c r="H2223" s="5"/>
    </row>
    <row r="2224" spans="2:38" ht="14.25" customHeight="1">
      <c r="C2224" s="26"/>
      <c r="D2224" s="26"/>
      <c r="E2224" s="26"/>
      <c r="F2224" s="26"/>
      <c r="G2224" s="26"/>
      <c r="H2224" s="5"/>
    </row>
    <row r="2225" spans="3:8" ht="14.25" customHeight="1">
      <c r="C2225" s="26"/>
      <c r="D2225" s="26"/>
      <c r="E2225" s="26"/>
      <c r="F2225" s="26"/>
      <c r="G2225" s="26"/>
      <c r="H2225" s="5"/>
    </row>
    <row r="2226" spans="3:8" ht="14.25" customHeight="1">
      <c r="C2226" s="26"/>
      <c r="D2226" s="26"/>
      <c r="E2226" s="26"/>
      <c r="F2226" s="26"/>
      <c r="G2226" s="26"/>
      <c r="H2226" s="5"/>
    </row>
    <row r="2227" spans="3:8" ht="14.25" customHeight="1">
      <c r="C2227" s="26"/>
      <c r="D2227" s="26"/>
      <c r="E2227" s="26"/>
      <c r="F2227" s="26"/>
      <c r="G2227" s="26"/>
      <c r="H2227" s="5"/>
    </row>
    <row r="2228" spans="3:8" ht="14.25" customHeight="1">
      <c r="C2228" s="26"/>
      <c r="D2228" s="26"/>
      <c r="E2228" s="26"/>
      <c r="F2228" s="26"/>
      <c r="G2228" s="26"/>
      <c r="H2228" s="5"/>
    </row>
    <row r="2229" spans="3:8" ht="14.25" customHeight="1">
      <c r="C2229" s="26"/>
      <c r="D2229" s="26"/>
      <c r="E2229" s="26"/>
      <c r="F2229" s="26"/>
      <c r="G2229" s="26"/>
      <c r="H2229" s="5"/>
    </row>
    <row r="2230" spans="3:8" ht="14.25" customHeight="1">
      <c r="C2230" s="26"/>
      <c r="D2230" s="26"/>
      <c r="E2230" s="26"/>
      <c r="F2230" s="26"/>
      <c r="G2230" s="26"/>
      <c r="H2230" s="5"/>
    </row>
    <row r="2231" spans="3:8" ht="14.25" customHeight="1">
      <c r="C2231" s="26"/>
      <c r="D2231" s="26"/>
      <c r="E2231" s="26"/>
      <c r="F2231" s="26"/>
      <c r="G2231" s="26"/>
      <c r="H2231" s="5"/>
    </row>
    <row r="2232" spans="3:8" ht="14.25" customHeight="1">
      <c r="C2232" s="26"/>
      <c r="D2232" s="26"/>
      <c r="E2232" s="26"/>
      <c r="F2232" s="26"/>
      <c r="G2232" s="26"/>
      <c r="H2232" s="5"/>
    </row>
    <row r="2233" spans="3:8" ht="14.25" customHeight="1">
      <c r="C2233" s="26"/>
      <c r="D2233" s="26"/>
      <c r="E2233" s="26"/>
      <c r="F2233" s="26"/>
      <c r="G2233" s="26"/>
      <c r="H2233" s="5"/>
    </row>
    <row r="2234" spans="3:8" ht="14.25" customHeight="1">
      <c r="C2234" s="26"/>
      <c r="D2234" s="26"/>
      <c r="E2234" s="26"/>
      <c r="F2234" s="26"/>
      <c r="G2234" s="26"/>
      <c r="H2234" s="5"/>
    </row>
    <row r="2235" spans="3:8" ht="14.25" customHeight="1">
      <c r="C2235" s="26"/>
      <c r="D2235" s="26"/>
      <c r="E2235" s="26"/>
      <c r="F2235" s="26"/>
      <c r="G2235" s="26"/>
      <c r="H2235" s="5"/>
    </row>
    <row r="2236" spans="3:8" ht="14.25" customHeight="1">
      <c r="C2236" s="26"/>
      <c r="D2236" s="26"/>
      <c r="E2236" s="26"/>
      <c r="F2236" s="26"/>
      <c r="G2236" s="26"/>
      <c r="H2236" s="5"/>
    </row>
    <row r="2237" spans="3:8" ht="14.25" customHeight="1">
      <c r="C2237" s="26"/>
      <c r="D2237" s="26"/>
      <c r="E2237" s="26"/>
      <c r="F2237" s="26"/>
      <c r="G2237" s="26"/>
      <c r="H2237" s="5"/>
    </row>
    <row r="2238" spans="3:8" ht="14.25" customHeight="1">
      <c r="C2238" s="26"/>
      <c r="D2238" s="26"/>
      <c r="E2238" s="26"/>
      <c r="F2238" s="26"/>
      <c r="G2238" s="26"/>
      <c r="H2238" s="5"/>
    </row>
    <row r="2239" spans="3:8" ht="14.25" customHeight="1">
      <c r="C2239" s="26"/>
      <c r="D2239" s="26"/>
      <c r="E2239" s="26"/>
      <c r="F2239" s="26"/>
      <c r="G2239" s="26"/>
      <c r="H2239" s="5"/>
    </row>
    <row r="2240" spans="3:8" ht="14.25" customHeight="1">
      <c r="C2240" s="26"/>
      <c r="D2240" s="26"/>
      <c r="E2240" s="26"/>
      <c r="F2240" s="26"/>
      <c r="G2240" s="26"/>
      <c r="H2240" s="5"/>
    </row>
    <row r="2241" spans="3:34" ht="14.25" customHeight="1">
      <c r="C2241" s="26"/>
      <c r="D2241" s="26"/>
      <c r="E2241" s="26"/>
      <c r="F2241" s="26"/>
      <c r="G2241" s="26"/>
      <c r="H2241" s="5"/>
    </row>
    <row r="2242" spans="3:34" ht="14.25" customHeight="1">
      <c r="C2242" s="26"/>
      <c r="D2242" s="26"/>
      <c r="E2242" s="26"/>
      <c r="F2242" s="26"/>
      <c r="G2242" s="26"/>
      <c r="H2242" s="5"/>
    </row>
    <row r="2243" spans="3:34" ht="14.25" customHeight="1">
      <c r="C2243" s="26"/>
      <c r="D2243" s="26"/>
      <c r="E2243" s="26"/>
      <c r="F2243" s="26"/>
      <c r="G2243" s="26"/>
      <c r="H2243" s="5"/>
    </row>
    <row r="2244" spans="3:34" ht="14.25" customHeight="1">
      <c r="C2244" s="26"/>
      <c r="D2244" s="26"/>
      <c r="E2244" s="26"/>
      <c r="F2244" s="26"/>
      <c r="G2244" s="26"/>
      <c r="H2244" s="5"/>
    </row>
    <row r="2245" spans="3:34" ht="14.25" customHeight="1">
      <c r="C2245" s="26"/>
      <c r="D2245" s="26"/>
      <c r="E2245" s="26"/>
      <c r="F2245" s="26"/>
      <c r="G2245" s="26"/>
      <c r="H2245" s="5"/>
    </row>
    <row r="2246" spans="3:34" ht="14.25" customHeight="1">
      <c r="C2246" s="26"/>
      <c r="D2246" s="26"/>
      <c r="E2246" s="26"/>
      <c r="F2246" s="26"/>
      <c r="G2246" s="26"/>
      <c r="H2246" s="5"/>
    </row>
    <row r="2247" spans="3:34" ht="14.25" customHeight="1">
      <c r="C2247" s="26"/>
      <c r="D2247" s="26"/>
      <c r="E2247" s="26"/>
      <c r="F2247" s="26"/>
      <c r="G2247" s="26"/>
      <c r="H2247" s="5"/>
    </row>
    <row r="2248" spans="3:34" ht="14.25" customHeight="1">
      <c r="C2248" s="26"/>
      <c r="D2248" s="26"/>
      <c r="E2248" s="26"/>
      <c r="F2248" s="26"/>
      <c r="G2248" s="26"/>
      <c r="H2248" s="5"/>
    </row>
    <row r="2249" spans="3:34" ht="14.25" customHeight="1">
      <c r="C2249" s="26"/>
      <c r="D2249" s="26"/>
      <c r="E2249" s="26"/>
      <c r="F2249" s="26"/>
      <c r="G2249" s="26"/>
      <c r="H2249" s="5"/>
    </row>
    <row r="2250" spans="3:34" ht="14.25" customHeight="1">
      <c r="C2250" s="26"/>
      <c r="D2250" s="26"/>
      <c r="E2250" s="26"/>
      <c r="F2250" s="26"/>
      <c r="G2250" s="26"/>
      <c r="H2250" s="5"/>
    </row>
    <row r="2251" spans="3:34" ht="14.25" customHeight="1">
      <c r="C2251" s="26"/>
      <c r="D2251" s="26"/>
      <c r="E2251" s="26"/>
      <c r="F2251" s="26"/>
      <c r="G2251" s="26"/>
      <c r="H2251" s="5"/>
    </row>
    <row r="2252" spans="3:34" ht="14.25" customHeight="1">
      <c r="C2252" s="26"/>
      <c r="D2252" s="26"/>
      <c r="E2252" s="26"/>
      <c r="F2252" s="26"/>
      <c r="G2252" s="26"/>
      <c r="H2252" s="5"/>
    </row>
    <row r="2253" spans="3:34" ht="14.25" customHeight="1">
      <c r="C2253" s="26"/>
      <c r="D2253" s="26"/>
      <c r="E2253" s="26"/>
      <c r="F2253" s="26"/>
      <c r="G2253" s="26"/>
      <c r="H2253" s="5"/>
      <c r="AF2253" s="8"/>
      <c r="AH2253" s="8"/>
    </row>
    <row r="2254" spans="3:34" ht="14.25" customHeight="1">
      <c r="C2254" s="26"/>
      <c r="D2254" s="26"/>
      <c r="E2254" s="26"/>
      <c r="F2254" s="26"/>
      <c r="G2254" s="26"/>
      <c r="H2254" s="5"/>
    </row>
    <row r="2255" spans="3:34" ht="14.25" customHeight="1">
      <c r="C2255" s="26"/>
      <c r="D2255" s="26"/>
      <c r="E2255" s="26"/>
      <c r="F2255" s="26"/>
      <c r="G2255" s="26"/>
      <c r="H2255" s="5"/>
    </row>
    <row r="2256" spans="3:34" ht="14.25" customHeight="1">
      <c r="C2256" s="26"/>
      <c r="D2256" s="26"/>
      <c r="E2256" s="26"/>
      <c r="F2256" s="26"/>
      <c r="G2256" s="26"/>
      <c r="H2256" s="5"/>
    </row>
    <row r="2257" spans="1:49" ht="14.25" customHeight="1">
      <c r="C2257" s="26"/>
      <c r="D2257" s="26"/>
      <c r="E2257" s="26"/>
      <c r="F2257" s="26"/>
      <c r="G2257" s="26"/>
      <c r="H2257" s="5"/>
    </row>
    <row r="2258" spans="1:49" ht="14.25" customHeight="1">
      <c r="C2258" s="26"/>
      <c r="D2258" s="26"/>
      <c r="E2258" s="26"/>
      <c r="F2258" s="26"/>
      <c r="G2258" s="26"/>
      <c r="H2258" s="5"/>
    </row>
    <row r="2259" spans="1:49" ht="14.25" customHeight="1">
      <c r="C2259" s="26"/>
      <c r="D2259" s="26"/>
      <c r="E2259" s="26"/>
      <c r="F2259" s="26"/>
      <c r="G2259" s="26"/>
      <c r="H2259" s="5"/>
    </row>
    <row r="2260" spans="1:49" s="8" customFormat="1">
      <c r="B2260" s="428" t="str">
        <f>TITLE!$C$43</f>
        <v>Дверна коробка Verto-FIT Comfort</v>
      </c>
      <c r="C2260" s="421"/>
      <c r="D2260" s="122"/>
      <c r="E2260" s="437" t="str">
        <f>IF($C$1="ENG","For Door Leafs without Rebbit","Для Дверних Полотен без Фальця")</f>
        <v>Для Дверних Полотен без Фальця</v>
      </c>
      <c r="F2260" s="437"/>
      <c r="G2260" s="437"/>
      <c r="H2260" s="437"/>
      <c r="I2260" s="437"/>
      <c r="J2260" s="437"/>
      <c r="K2260" s="437"/>
      <c r="L2260" s="445"/>
      <c r="M2260" s="445"/>
      <c r="N2260" s="445"/>
      <c r="O2260" s="445"/>
      <c r="P2260" s="445"/>
      <c r="Q2260" s="445"/>
      <c r="R2260" s="445"/>
      <c r="S2260" s="445"/>
      <c r="T2260" s="423" t="str">
        <f>IF($C$1="ENG",CONCATENATE("up to: ",B2192),CONCATENATE("вгору до: ",B2192))</f>
        <v>вгору до: Дверна коробка Verto-FIT Plus</v>
      </c>
      <c r="U2260" s="423"/>
      <c r="V2260" s="423"/>
      <c r="W2260" s="423"/>
      <c r="AC2260" s="1"/>
      <c r="AE2260" s="1"/>
      <c r="AF2260" s="1"/>
      <c r="AG2260" s="1"/>
      <c r="AI2260" s="1"/>
      <c r="AK2260" s="1"/>
      <c r="AN2260" s="291"/>
      <c r="AO2260" s="291"/>
      <c r="AP2260" s="291"/>
      <c r="AQ2260" s="291"/>
      <c r="AR2260" s="291"/>
      <c r="AS2260" s="291"/>
      <c r="AT2260" s="291"/>
    </row>
    <row r="2261" spans="1:49" s="8" customFormat="1" ht="5.0999999999999996" customHeight="1">
      <c r="T2261" s="120"/>
      <c r="U2261" s="120"/>
      <c r="V2261" s="120"/>
      <c r="W2261" s="120"/>
      <c r="AN2261" s="291"/>
      <c r="AO2261" s="291"/>
      <c r="AP2261" s="291"/>
      <c r="AQ2261" s="291"/>
      <c r="AR2261" s="291"/>
      <c r="AS2261" s="291"/>
      <c r="AT2261" s="291"/>
    </row>
    <row r="2262" spans="1:49" ht="12.75" customHeight="1">
      <c r="A2262" s="8"/>
      <c r="B2262" s="319" t="str">
        <f>IF($C$1="ENG","model","модель")</f>
        <v>модель</v>
      </c>
      <c r="C2262" s="126" t="str">
        <f>IF($C$1="ENG","cover:","покриття:")</f>
        <v>покриття:</v>
      </c>
      <c r="D2262" s="430" t="str">
        <f>IF($C$1="ENG","SIMPLEX / VERTO-CELL","SIMPLEX / VERTO-CELL ")</f>
        <v xml:space="preserve">SIMPLEX / VERTO-CELL </v>
      </c>
      <c r="E2262" s="431"/>
      <c r="F2262" s="431"/>
      <c r="G2262" s="432"/>
      <c r="H2262" s="430" t="str">
        <f>IF($C$1="ENG","UNI-MAT","UNI-MAT")</f>
        <v>UNI-MAT</v>
      </c>
      <c r="I2262" s="431"/>
      <c r="J2262" s="431"/>
      <c r="K2262" s="432"/>
      <c r="L2262" s="430" t="str">
        <f>IF($C$1="ENG","RESIST","RESIST")</f>
        <v>RESIST</v>
      </c>
      <c r="M2262" s="431"/>
      <c r="N2262" s="431"/>
      <c r="O2262" s="432"/>
      <c r="P2262" s="430" t="str">
        <f>IF($C$1="ENG","Verto LINE-3D","Verto LINE-3D")</f>
        <v>Verto LINE-3D</v>
      </c>
      <c r="Q2262" s="431"/>
      <c r="R2262" s="431"/>
      <c r="S2262" s="432"/>
      <c r="T2262" s="430" t="str">
        <f>IF($C$1="ENG","ECO Shpon / LOFT","ЕКО Шпон / LOFT")</f>
        <v>ЕКО Шпон / LOFT</v>
      </c>
      <c r="U2262" s="431"/>
      <c r="V2262" s="431"/>
      <c r="W2262" s="432"/>
      <c r="AO2262" s="406">
        <v>0.15</v>
      </c>
    </row>
    <row r="2263" spans="1:49" ht="12.75" customHeight="1">
      <c r="A2263" s="8"/>
      <c r="B2263" s="320"/>
      <c r="C2263" s="128" t="str">
        <f>IF($C$1="ENG","type:","виконання:")</f>
        <v>виконання:</v>
      </c>
      <c r="D2263" s="424" t="str">
        <f>IF($C$1="ENG","single leaf","одностулкове")</f>
        <v>одностулкове</v>
      </c>
      <c r="E2263" s="438"/>
      <c r="F2263" s="141"/>
      <c r="G2263" s="130"/>
      <c r="H2263" s="424" t="str">
        <f>IF($C$1="ENG","single leaf","одностулкове")</f>
        <v>одностулкове</v>
      </c>
      <c r="I2263" s="438"/>
      <c r="J2263" s="141"/>
      <c r="K2263" s="130"/>
      <c r="L2263" s="424" t="str">
        <f>IF($C$1="ENG","single leaf","одностулкове")</f>
        <v>одностулкове</v>
      </c>
      <c r="M2263" s="438"/>
      <c r="N2263" s="467"/>
      <c r="O2263" s="434"/>
      <c r="P2263" s="424" t="str">
        <f>IF($C$1="ENG","single leaf","одностулкове")</f>
        <v>одностулкове</v>
      </c>
      <c r="Q2263" s="438"/>
      <c r="R2263" s="467"/>
      <c r="S2263" s="434"/>
      <c r="T2263" s="424" t="str">
        <f>IF($C$1="ENG","single leaf","одностулкове")</f>
        <v>одностулкове</v>
      </c>
      <c r="U2263" s="438"/>
      <c r="V2263" s="467"/>
      <c r="W2263" s="434"/>
    </row>
    <row r="2264" spans="1:49" ht="12.75" customHeight="1">
      <c r="A2264" s="8"/>
      <c r="B2264" s="13" t="str">
        <f>IF($C$1="ENG","A (75 - 95 mm)","A (75 - 95 мм)")</f>
        <v>A (75 - 95 мм)</v>
      </c>
      <c r="C2264" s="160"/>
      <c r="D2264" s="15">
        <f t="shared" ref="D2264:D2273" si="258">IF(AC2264="","",(1-$W$2)*(AC2264/1.2))</f>
        <v>2975</v>
      </c>
      <c r="E2264" s="276">
        <f t="shared" ref="E2264:E2273" si="259">IF($W$5=0.2,D2264*1.2,D2264)/$W$4</f>
        <v>3570</v>
      </c>
      <c r="F2264" s="279"/>
      <c r="G2264" s="67"/>
      <c r="H2264" s="15">
        <f t="shared" ref="H2264:H2273" si="260">IF(AE2264="","",(1-$W$2)*(AE2264/1.2))</f>
        <v>3417.5</v>
      </c>
      <c r="I2264" s="276">
        <f t="shared" ref="I2264:I2273" si="261">IF($W$5=0.2,H2264*1.2,H2264)/$W$4</f>
        <v>4101</v>
      </c>
      <c r="J2264" s="279"/>
      <c r="K2264" s="67"/>
      <c r="L2264" s="15">
        <f t="shared" ref="L2264:L2273" si="262">IF(AG2264="","",(1-$W$2)*(AG2264/1.2))</f>
        <v>3600</v>
      </c>
      <c r="M2264" s="276">
        <f t="shared" ref="M2264:M2273" si="263">IF($W$5=0.2,L2264*1.2,L2264)/$W$4</f>
        <v>4320</v>
      </c>
      <c r="N2264" s="279"/>
      <c r="O2264" s="67"/>
      <c r="P2264" s="15">
        <f t="shared" ref="P2264:P2273" si="264">IF(AI2264="","",(1-$W$2)*(AI2264/1.2))</f>
        <v>3841.666666666667</v>
      </c>
      <c r="Q2264" s="276">
        <f t="shared" ref="Q2264:Q2273" si="265">IF($W$5=0.2,P2264*1.2,P2264)/$W$4</f>
        <v>4610</v>
      </c>
      <c r="R2264" s="279"/>
      <c r="S2264" s="67"/>
      <c r="T2264" s="15">
        <f t="shared" ref="T2264:T2273" si="266">IF(AK2264="","",(1-$W$2)*(AK2264/1.2))</f>
        <v>4108.3333333333339</v>
      </c>
      <c r="U2264" s="276">
        <f t="shared" ref="U2264:U2273" si="267">IF($W$5=0.2,T2264*1.2,T2264)/$W$4</f>
        <v>4930.0000000000009</v>
      </c>
      <c r="V2264" s="279"/>
      <c r="W2264" s="67"/>
      <c r="X2264" s="22"/>
      <c r="Y2264" s="22"/>
      <c r="Z2264" s="22"/>
      <c r="AA2264" s="22"/>
      <c r="AB2264" s="22"/>
      <c r="AC2264" s="346">
        <v>3570</v>
      </c>
      <c r="AD2264" s="346"/>
      <c r="AE2264" s="346">
        <v>4101</v>
      </c>
      <c r="AF2264" s="346"/>
      <c r="AG2264" s="346">
        <v>4320</v>
      </c>
      <c r="AH2264" s="346"/>
      <c r="AI2264" s="346">
        <v>4610</v>
      </c>
      <c r="AJ2264" s="346"/>
      <c r="AK2264" s="346">
        <v>4930</v>
      </c>
      <c r="AL2264" s="301"/>
      <c r="AM2264" s="409">
        <v>3570</v>
      </c>
      <c r="AN2264" s="323">
        <f>AM2264/AC2264-1</f>
        <v>0</v>
      </c>
      <c r="AO2264" s="409">
        <f>AD2264/100*13+AD2264</f>
        <v>0</v>
      </c>
      <c r="AP2264" s="30" t="e">
        <f>AO2264/AD2264-1</f>
        <v>#DIV/0!</v>
      </c>
      <c r="AQ2264" s="409">
        <v>4101</v>
      </c>
      <c r="AR2264" s="30">
        <f>AQ2264/AE2264-1</f>
        <v>0</v>
      </c>
      <c r="AS2264" s="409">
        <f>AF2264/100*13+AF2264</f>
        <v>0</v>
      </c>
      <c r="AT2264" s="30" t="e">
        <f>AS2264/AF2264-1</f>
        <v>#DIV/0!</v>
      </c>
      <c r="AU2264" s="409">
        <v>4320</v>
      </c>
      <c r="AV2264" s="1">
        <f>AU2264/AG2264-1</f>
        <v>0</v>
      </c>
      <c r="AW2264" s="1">
        <f>AH2264/100*13+AH2264</f>
        <v>0</v>
      </c>
    </row>
    <row r="2265" spans="1:49">
      <c r="A2265" s="8"/>
      <c r="B2265" s="16" t="str">
        <f>IF($C$1="ENG","B (95 - 115 mm)","B (95 - 115 мм)")</f>
        <v>B (95 - 115 мм)</v>
      </c>
      <c r="C2265" s="161"/>
      <c r="D2265" s="18">
        <f t="shared" si="258"/>
        <v>3116.666666666667</v>
      </c>
      <c r="E2265" s="277">
        <f t="shared" si="259"/>
        <v>3740</v>
      </c>
      <c r="F2265" s="280"/>
      <c r="G2265" s="69"/>
      <c r="H2265" s="18">
        <f t="shared" si="260"/>
        <v>3591.666666666667</v>
      </c>
      <c r="I2265" s="277">
        <f t="shared" si="261"/>
        <v>4310</v>
      </c>
      <c r="J2265" s="280"/>
      <c r="K2265" s="69"/>
      <c r="L2265" s="18">
        <f t="shared" si="262"/>
        <v>3766.666666666667</v>
      </c>
      <c r="M2265" s="277">
        <f t="shared" si="263"/>
        <v>4520</v>
      </c>
      <c r="N2265" s="280"/>
      <c r="O2265" s="69"/>
      <c r="P2265" s="18">
        <f t="shared" si="264"/>
        <v>4033.3333333333335</v>
      </c>
      <c r="Q2265" s="277">
        <f t="shared" si="265"/>
        <v>4840</v>
      </c>
      <c r="R2265" s="280"/>
      <c r="S2265" s="69"/>
      <c r="T2265" s="18">
        <f t="shared" si="266"/>
        <v>5141.666666666667</v>
      </c>
      <c r="U2265" s="277">
        <f t="shared" si="267"/>
        <v>6170</v>
      </c>
      <c r="V2265" s="280"/>
      <c r="W2265" s="69"/>
      <c r="X2265" s="22"/>
      <c r="Y2265" s="22"/>
      <c r="Z2265" s="22"/>
      <c r="AA2265" s="22"/>
      <c r="AB2265" s="22"/>
      <c r="AC2265" s="346">
        <v>3740</v>
      </c>
      <c r="AD2265" s="346"/>
      <c r="AE2265" s="346">
        <v>4310</v>
      </c>
      <c r="AF2265" s="346"/>
      <c r="AG2265" s="346">
        <v>4520</v>
      </c>
      <c r="AH2265" s="346"/>
      <c r="AI2265" s="346">
        <v>4840</v>
      </c>
      <c r="AJ2265" s="346"/>
      <c r="AK2265" s="346">
        <v>6170</v>
      </c>
      <c r="AL2265" s="301"/>
      <c r="AM2265" s="409">
        <v>3740</v>
      </c>
      <c r="AN2265" s="30">
        <f t="shared" ref="AN2265:AN2273" si="268">AM2265/AC2265-1</f>
        <v>0</v>
      </c>
      <c r="AO2265" s="409">
        <f t="shared" ref="AO2265:AO2273" si="269">AD2265/100*13+AD2265</f>
        <v>0</v>
      </c>
      <c r="AP2265" s="30" t="e">
        <f t="shared" ref="AP2265:AP2273" si="270">AO2265/AD2265-1</f>
        <v>#DIV/0!</v>
      </c>
      <c r="AQ2265" s="409">
        <v>4310</v>
      </c>
      <c r="AR2265" s="30">
        <f t="shared" ref="AR2265:AR2273" si="271">AQ2265/AE2265-1</f>
        <v>0</v>
      </c>
      <c r="AS2265" s="409">
        <f t="shared" ref="AS2265:AS2273" si="272">AF2265/100*13+AF2265</f>
        <v>0</v>
      </c>
      <c r="AT2265" s="30" t="e">
        <f t="shared" ref="AT2265:AT2273" si="273">AS2265/AF2265-1</f>
        <v>#DIV/0!</v>
      </c>
      <c r="AU2265" s="409">
        <v>4520</v>
      </c>
      <c r="AV2265" s="1">
        <f t="shared" ref="AV2265:AV2273" si="274">AU2265/AG2265-1</f>
        <v>0</v>
      </c>
      <c r="AW2265" s="1">
        <f t="shared" ref="AW2265:AW2273" si="275">AH2265/100*13+AH2265</f>
        <v>0</v>
      </c>
    </row>
    <row r="2266" spans="1:49">
      <c r="A2266" s="8"/>
      <c r="B2266" s="16" t="str">
        <f>IF($C$1="ENG","B+ (115 - 135 mm)","B+ (115 - 135 мм)")</f>
        <v>B+ (115 - 135 мм)</v>
      </c>
      <c r="C2266" s="161"/>
      <c r="D2266" s="18">
        <f t="shared" si="258"/>
        <v>3183.3333333333335</v>
      </c>
      <c r="E2266" s="277">
        <f t="shared" si="259"/>
        <v>3820</v>
      </c>
      <c r="F2266" s="280"/>
      <c r="G2266" s="69"/>
      <c r="H2266" s="18">
        <f t="shared" si="260"/>
        <v>3666.666666666667</v>
      </c>
      <c r="I2266" s="277">
        <f t="shared" si="261"/>
        <v>4400</v>
      </c>
      <c r="J2266" s="280"/>
      <c r="K2266" s="69"/>
      <c r="L2266" s="18">
        <f t="shared" si="262"/>
        <v>3858.3333333333335</v>
      </c>
      <c r="M2266" s="277">
        <f t="shared" si="263"/>
        <v>4630</v>
      </c>
      <c r="N2266" s="280"/>
      <c r="O2266" s="69"/>
      <c r="P2266" s="18">
        <f t="shared" si="264"/>
        <v>4125</v>
      </c>
      <c r="Q2266" s="277">
        <f t="shared" si="265"/>
        <v>4950</v>
      </c>
      <c r="R2266" s="280"/>
      <c r="S2266" s="69"/>
      <c r="T2266" s="18">
        <f t="shared" si="266"/>
        <v>4400</v>
      </c>
      <c r="U2266" s="277">
        <f t="shared" si="267"/>
        <v>5280</v>
      </c>
      <c r="V2266" s="280"/>
      <c r="W2266" s="69"/>
      <c r="X2266" s="22"/>
      <c r="Y2266" s="22"/>
      <c r="Z2266" s="22"/>
      <c r="AA2266" s="22"/>
      <c r="AB2266" s="22"/>
      <c r="AC2266" s="346">
        <v>3820</v>
      </c>
      <c r="AD2266" s="346"/>
      <c r="AE2266" s="346">
        <v>4400</v>
      </c>
      <c r="AF2266" s="346"/>
      <c r="AG2266" s="346">
        <v>4630</v>
      </c>
      <c r="AH2266" s="346"/>
      <c r="AI2266" s="346">
        <v>4950</v>
      </c>
      <c r="AJ2266" s="346"/>
      <c r="AK2266" s="346">
        <v>5280</v>
      </c>
      <c r="AL2266" s="301"/>
      <c r="AM2266" s="409">
        <v>3820</v>
      </c>
      <c r="AN2266" s="323">
        <f t="shared" si="268"/>
        <v>0</v>
      </c>
      <c r="AO2266" s="409">
        <f t="shared" si="269"/>
        <v>0</v>
      </c>
      <c r="AP2266" s="323" t="e">
        <f t="shared" si="270"/>
        <v>#DIV/0!</v>
      </c>
      <c r="AQ2266" s="409">
        <v>4400</v>
      </c>
      <c r="AR2266" s="30">
        <f t="shared" si="271"/>
        <v>0</v>
      </c>
      <c r="AS2266" s="409">
        <f t="shared" si="272"/>
        <v>0</v>
      </c>
      <c r="AT2266" s="30" t="e">
        <f t="shared" si="273"/>
        <v>#DIV/0!</v>
      </c>
      <c r="AU2266" s="409">
        <v>4630</v>
      </c>
      <c r="AV2266" s="1">
        <f t="shared" si="274"/>
        <v>0</v>
      </c>
      <c r="AW2266" s="1">
        <f t="shared" si="275"/>
        <v>0</v>
      </c>
    </row>
    <row r="2267" spans="1:49">
      <c r="A2267" s="8"/>
      <c r="B2267" s="16" t="str">
        <f>IF($C$1="ENG","C (120 - 140 mm)","C (120 - 140 мм)")</f>
        <v>C (120 - 140 мм)</v>
      </c>
      <c r="C2267" s="161"/>
      <c r="D2267" s="18">
        <f t="shared" si="258"/>
        <v>3258.3333333333335</v>
      </c>
      <c r="E2267" s="277">
        <f t="shared" si="259"/>
        <v>3910</v>
      </c>
      <c r="F2267" s="280"/>
      <c r="G2267" s="69"/>
      <c r="H2267" s="18">
        <f t="shared" si="260"/>
        <v>3666.666666666667</v>
      </c>
      <c r="I2267" s="277">
        <f t="shared" si="261"/>
        <v>4400</v>
      </c>
      <c r="J2267" s="280"/>
      <c r="K2267" s="69"/>
      <c r="L2267" s="18">
        <f t="shared" si="262"/>
        <v>3925</v>
      </c>
      <c r="M2267" s="277">
        <f t="shared" si="263"/>
        <v>4710</v>
      </c>
      <c r="N2267" s="280"/>
      <c r="O2267" s="69"/>
      <c r="P2267" s="18">
        <f t="shared" si="264"/>
        <v>4216.666666666667</v>
      </c>
      <c r="Q2267" s="277">
        <f t="shared" si="265"/>
        <v>5060</v>
      </c>
      <c r="R2267" s="280"/>
      <c r="S2267" s="69"/>
      <c r="T2267" s="18">
        <f t="shared" si="266"/>
        <v>4500</v>
      </c>
      <c r="U2267" s="277">
        <f t="shared" si="267"/>
        <v>5400</v>
      </c>
      <c r="V2267" s="280"/>
      <c r="W2267" s="69"/>
      <c r="X2267" s="22"/>
      <c r="Y2267" s="22"/>
      <c r="Z2267" s="22"/>
      <c r="AA2267" s="22"/>
      <c r="AB2267" s="22"/>
      <c r="AC2267" s="346">
        <v>3910</v>
      </c>
      <c r="AD2267" s="346"/>
      <c r="AE2267" s="346">
        <v>4400</v>
      </c>
      <c r="AF2267" s="346"/>
      <c r="AG2267" s="346">
        <v>4710</v>
      </c>
      <c r="AH2267" s="346"/>
      <c r="AI2267" s="346">
        <v>5060</v>
      </c>
      <c r="AJ2267" s="346"/>
      <c r="AK2267" s="346">
        <v>5400</v>
      </c>
      <c r="AL2267" s="301"/>
      <c r="AM2267" s="409">
        <v>3910</v>
      </c>
      <c r="AN2267" s="323">
        <f t="shared" si="268"/>
        <v>0</v>
      </c>
      <c r="AO2267" s="409">
        <f t="shared" si="269"/>
        <v>0</v>
      </c>
      <c r="AP2267" s="30" t="e">
        <f t="shared" si="270"/>
        <v>#DIV/0!</v>
      </c>
      <c r="AQ2267" s="409">
        <v>4400</v>
      </c>
      <c r="AR2267" s="30">
        <f t="shared" si="271"/>
        <v>0</v>
      </c>
      <c r="AS2267" s="409">
        <f t="shared" si="272"/>
        <v>0</v>
      </c>
      <c r="AT2267" s="30" t="e">
        <f t="shared" si="273"/>
        <v>#DIV/0!</v>
      </c>
      <c r="AU2267" s="409">
        <v>4710</v>
      </c>
      <c r="AV2267" s="1">
        <f t="shared" si="274"/>
        <v>0</v>
      </c>
      <c r="AW2267" s="1">
        <f t="shared" si="275"/>
        <v>0</v>
      </c>
    </row>
    <row r="2268" spans="1:49">
      <c r="A2268" s="8"/>
      <c r="B2268" s="16" t="str">
        <f>IF($C$1="ENG","D (140 - 160 mm)","D (140 - 160 мм)")</f>
        <v>D (140 - 160 мм)</v>
      </c>
      <c r="C2268" s="161"/>
      <c r="D2268" s="18">
        <f t="shared" si="258"/>
        <v>3400</v>
      </c>
      <c r="E2268" s="277">
        <f t="shared" si="259"/>
        <v>4080</v>
      </c>
      <c r="F2268" s="280"/>
      <c r="G2268" s="69"/>
      <c r="H2268" s="18">
        <f t="shared" si="260"/>
        <v>3908.3333333333335</v>
      </c>
      <c r="I2268" s="277">
        <f t="shared" si="261"/>
        <v>4690</v>
      </c>
      <c r="J2268" s="280"/>
      <c r="K2268" s="69"/>
      <c r="L2268" s="18">
        <f t="shared" si="262"/>
        <v>4108.3333333333339</v>
      </c>
      <c r="M2268" s="277">
        <f t="shared" si="263"/>
        <v>4930.0000000000009</v>
      </c>
      <c r="N2268" s="280"/>
      <c r="O2268" s="69"/>
      <c r="P2268" s="18">
        <f t="shared" si="264"/>
        <v>4408.3333333333339</v>
      </c>
      <c r="Q2268" s="277">
        <f t="shared" si="265"/>
        <v>5290.0000000000009</v>
      </c>
      <c r="R2268" s="280"/>
      <c r="S2268" s="69"/>
      <c r="T2268" s="18">
        <f t="shared" si="266"/>
        <v>4708.3333333333339</v>
      </c>
      <c r="U2268" s="277">
        <f t="shared" si="267"/>
        <v>5650.0000000000009</v>
      </c>
      <c r="V2268" s="280"/>
      <c r="W2268" s="69"/>
      <c r="X2268" s="22"/>
      <c r="Y2268" s="22"/>
      <c r="Z2268" s="22"/>
      <c r="AA2268" s="22"/>
      <c r="AB2268" s="22"/>
      <c r="AC2268" s="346">
        <v>4080</v>
      </c>
      <c r="AD2268" s="346"/>
      <c r="AE2268" s="346">
        <v>4690</v>
      </c>
      <c r="AF2268" s="346"/>
      <c r="AG2268" s="346">
        <v>4930</v>
      </c>
      <c r="AH2268" s="346"/>
      <c r="AI2268" s="346">
        <v>5290</v>
      </c>
      <c r="AJ2268" s="346"/>
      <c r="AK2268" s="346">
        <v>5650</v>
      </c>
      <c r="AL2268" s="301"/>
      <c r="AM2268" s="409">
        <v>4080</v>
      </c>
      <c r="AN2268" s="323">
        <f t="shared" si="268"/>
        <v>0</v>
      </c>
      <c r="AO2268" s="409">
        <f t="shared" si="269"/>
        <v>0</v>
      </c>
      <c r="AP2268" s="30" t="e">
        <f t="shared" si="270"/>
        <v>#DIV/0!</v>
      </c>
      <c r="AQ2268" s="409">
        <v>4690</v>
      </c>
      <c r="AR2268" s="30">
        <f t="shared" si="271"/>
        <v>0</v>
      </c>
      <c r="AS2268" s="409">
        <f t="shared" si="272"/>
        <v>0</v>
      </c>
      <c r="AT2268" s="30" t="e">
        <f t="shared" si="273"/>
        <v>#DIV/0!</v>
      </c>
      <c r="AU2268" s="409">
        <v>4930</v>
      </c>
      <c r="AV2268" s="1">
        <f t="shared" si="274"/>
        <v>0</v>
      </c>
      <c r="AW2268" s="1">
        <f t="shared" si="275"/>
        <v>0</v>
      </c>
    </row>
    <row r="2269" spans="1:49">
      <c r="A2269" s="8"/>
      <c r="B2269" s="16" t="str">
        <f>IF($C$1="ENG","E (160 - 180 mm)","E (160 - 180 мм)")</f>
        <v>E (160 - 180 мм)</v>
      </c>
      <c r="C2269" s="161"/>
      <c r="D2269" s="18">
        <f t="shared" si="258"/>
        <v>3541.666666666667</v>
      </c>
      <c r="E2269" s="277">
        <f t="shared" si="259"/>
        <v>4250</v>
      </c>
      <c r="F2269" s="280"/>
      <c r="G2269" s="69"/>
      <c r="H2269" s="18">
        <f t="shared" si="260"/>
        <v>4066.666666666667</v>
      </c>
      <c r="I2269" s="277">
        <f t="shared" si="261"/>
        <v>4880</v>
      </c>
      <c r="J2269" s="280"/>
      <c r="K2269" s="69"/>
      <c r="L2269" s="18">
        <f t="shared" si="262"/>
        <v>4283.3333333333339</v>
      </c>
      <c r="M2269" s="277">
        <f t="shared" si="263"/>
        <v>5140.0000000000009</v>
      </c>
      <c r="N2269" s="280"/>
      <c r="O2269" s="69"/>
      <c r="P2269" s="18">
        <f t="shared" si="264"/>
        <v>4600</v>
      </c>
      <c r="Q2269" s="277">
        <f t="shared" si="265"/>
        <v>5520</v>
      </c>
      <c r="R2269" s="280"/>
      <c r="S2269" s="69"/>
      <c r="T2269" s="18">
        <f t="shared" si="266"/>
        <v>4908.3333333333339</v>
      </c>
      <c r="U2269" s="277">
        <f t="shared" si="267"/>
        <v>5890.0000000000009</v>
      </c>
      <c r="V2269" s="280"/>
      <c r="W2269" s="69"/>
      <c r="X2269" s="22"/>
      <c r="Y2269" s="22"/>
      <c r="Z2269" s="22"/>
      <c r="AA2269" s="22"/>
      <c r="AB2269" s="22"/>
      <c r="AC2269" s="346">
        <v>4250</v>
      </c>
      <c r="AD2269" s="346"/>
      <c r="AE2269" s="346">
        <v>4880</v>
      </c>
      <c r="AF2269" s="346"/>
      <c r="AG2269" s="346">
        <v>5140</v>
      </c>
      <c r="AH2269" s="346"/>
      <c r="AI2269" s="346">
        <v>5520</v>
      </c>
      <c r="AJ2269" s="346"/>
      <c r="AK2269" s="346">
        <v>5890</v>
      </c>
      <c r="AL2269" s="301"/>
      <c r="AM2269" s="409">
        <v>4250</v>
      </c>
      <c r="AN2269" s="323">
        <f t="shared" si="268"/>
        <v>0</v>
      </c>
      <c r="AO2269" s="409">
        <f t="shared" si="269"/>
        <v>0</v>
      </c>
      <c r="AP2269" s="30" t="e">
        <f t="shared" si="270"/>
        <v>#DIV/0!</v>
      </c>
      <c r="AQ2269" s="409">
        <v>4880</v>
      </c>
      <c r="AR2269" s="30">
        <f t="shared" si="271"/>
        <v>0</v>
      </c>
      <c r="AS2269" s="409">
        <f t="shared" si="272"/>
        <v>0</v>
      </c>
      <c r="AT2269" s="30" t="e">
        <f t="shared" si="273"/>
        <v>#DIV/0!</v>
      </c>
      <c r="AU2269" s="409">
        <v>5140</v>
      </c>
      <c r="AV2269" s="1">
        <f t="shared" si="274"/>
        <v>0</v>
      </c>
      <c r="AW2269" s="1">
        <f t="shared" si="275"/>
        <v>0</v>
      </c>
    </row>
    <row r="2270" spans="1:49">
      <c r="A2270" s="8"/>
      <c r="B2270" s="16" t="str">
        <f>IF($C$1="ENG","F (180 - 200 mm)","F (180 - 200 мм)")</f>
        <v>F (180 - 200 мм)</v>
      </c>
      <c r="C2270" s="161"/>
      <c r="D2270" s="18">
        <f t="shared" si="258"/>
        <v>3683.3333333333335</v>
      </c>
      <c r="E2270" s="277">
        <f t="shared" si="259"/>
        <v>4420</v>
      </c>
      <c r="F2270" s="280"/>
      <c r="G2270" s="69"/>
      <c r="H2270" s="18">
        <f t="shared" si="260"/>
        <v>4241.666666666667</v>
      </c>
      <c r="I2270" s="277">
        <f t="shared" si="261"/>
        <v>5090</v>
      </c>
      <c r="J2270" s="280"/>
      <c r="K2270" s="69"/>
      <c r="L2270" s="18">
        <f t="shared" si="262"/>
        <v>4458.3333333333339</v>
      </c>
      <c r="M2270" s="277">
        <f t="shared" si="263"/>
        <v>5350.0000000000009</v>
      </c>
      <c r="N2270" s="280"/>
      <c r="O2270" s="69"/>
      <c r="P2270" s="18">
        <f t="shared" si="264"/>
        <v>4783.3333333333339</v>
      </c>
      <c r="Q2270" s="277">
        <f t="shared" si="265"/>
        <v>5740.0000000000009</v>
      </c>
      <c r="R2270" s="280"/>
      <c r="S2270" s="69"/>
      <c r="T2270" s="18">
        <f t="shared" si="266"/>
        <v>5116.666666666667</v>
      </c>
      <c r="U2270" s="277">
        <f t="shared" si="267"/>
        <v>6140</v>
      </c>
      <c r="V2270" s="280"/>
      <c r="W2270" s="69"/>
      <c r="X2270" s="22"/>
      <c r="Y2270" s="22"/>
      <c r="Z2270" s="22"/>
      <c r="AA2270" s="22"/>
      <c r="AB2270" s="22"/>
      <c r="AC2270" s="346">
        <v>4420</v>
      </c>
      <c r="AD2270" s="346"/>
      <c r="AE2270" s="346">
        <v>5090</v>
      </c>
      <c r="AF2270" s="346"/>
      <c r="AG2270" s="346">
        <v>5350</v>
      </c>
      <c r="AH2270" s="346"/>
      <c r="AI2270" s="346">
        <v>5740</v>
      </c>
      <c r="AJ2270" s="346"/>
      <c r="AK2270" s="346">
        <v>6140</v>
      </c>
      <c r="AL2270" s="301"/>
      <c r="AM2270" s="409">
        <v>4420</v>
      </c>
      <c r="AN2270" s="323">
        <f t="shared" si="268"/>
        <v>0</v>
      </c>
      <c r="AO2270" s="409">
        <f t="shared" si="269"/>
        <v>0</v>
      </c>
      <c r="AP2270" s="30" t="e">
        <f t="shared" si="270"/>
        <v>#DIV/0!</v>
      </c>
      <c r="AQ2270" s="409">
        <v>5090</v>
      </c>
      <c r="AR2270" s="30">
        <f t="shared" si="271"/>
        <v>0</v>
      </c>
      <c r="AS2270" s="409">
        <f t="shared" si="272"/>
        <v>0</v>
      </c>
      <c r="AT2270" s="30" t="e">
        <f t="shared" si="273"/>
        <v>#DIV/0!</v>
      </c>
      <c r="AU2270" s="409">
        <v>5350</v>
      </c>
      <c r="AV2270" s="1">
        <f t="shared" si="274"/>
        <v>0</v>
      </c>
      <c r="AW2270" s="1">
        <f t="shared" si="275"/>
        <v>0</v>
      </c>
    </row>
    <row r="2271" spans="1:49">
      <c r="A2271" s="8"/>
      <c r="B2271" s="16" t="str">
        <f>IF($C$1="ENG","G (200 - 220 mm)","G (200 - 220 мм)")</f>
        <v>G (200 - 220 мм)</v>
      </c>
      <c r="C2271" s="161"/>
      <c r="D2271" s="18">
        <f t="shared" si="258"/>
        <v>3825</v>
      </c>
      <c r="E2271" s="277">
        <f t="shared" si="259"/>
        <v>4590</v>
      </c>
      <c r="F2271" s="280"/>
      <c r="G2271" s="69"/>
      <c r="H2271" s="18">
        <f t="shared" si="260"/>
        <v>4400</v>
      </c>
      <c r="I2271" s="277">
        <f t="shared" si="261"/>
        <v>5280</v>
      </c>
      <c r="J2271" s="280"/>
      <c r="K2271" s="69"/>
      <c r="L2271" s="18">
        <f t="shared" si="262"/>
        <v>4633.3333333333339</v>
      </c>
      <c r="M2271" s="277">
        <f t="shared" si="263"/>
        <v>5560.0000000000009</v>
      </c>
      <c r="N2271" s="280"/>
      <c r="O2271" s="69"/>
      <c r="P2271" s="18">
        <f t="shared" si="264"/>
        <v>4975</v>
      </c>
      <c r="Q2271" s="277">
        <f t="shared" si="265"/>
        <v>5970</v>
      </c>
      <c r="R2271" s="280"/>
      <c r="S2271" s="69"/>
      <c r="T2271" s="18">
        <f t="shared" si="266"/>
        <v>5308.3333333333339</v>
      </c>
      <c r="U2271" s="277">
        <f t="shared" si="267"/>
        <v>6370.0000000000009</v>
      </c>
      <c r="V2271" s="280"/>
      <c r="W2271" s="69"/>
      <c r="X2271" s="22"/>
      <c r="Y2271" s="22"/>
      <c r="Z2271" s="22"/>
      <c r="AA2271" s="22"/>
      <c r="AB2271" s="22"/>
      <c r="AC2271" s="346">
        <v>4590</v>
      </c>
      <c r="AD2271" s="346"/>
      <c r="AE2271" s="346">
        <v>5280</v>
      </c>
      <c r="AF2271" s="346"/>
      <c r="AG2271" s="346">
        <v>5560</v>
      </c>
      <c r="AH2271" s="346"/>
      <c r="AI2271" s="346">
        <v>5970</v>
      </c>
      <c r="AJ2271" s="346"/>
      <c r="AK2271" s="346">
        <v>6370</v>
      </c>
      <c r="AL2271" s="301"/>
      <c r="AM2271" s="409">
        <v>4590</v>
      </c>
      <c r="AN2271" s="323">
        <f t="shared" si="268"/>
        <v>0</v>
      </c>
      <c r="AO2271" s="409">
        <f t="shared" si="269"/>
        <v>0</v>
      </c>
      <c r="AP2271" s="30" t="e">
        <f t="shared" si="270"/>
        <v>#DIV/0!</v>
      </c>
      <c r="AQ2271" s="409">
        <v>5280</v>
      </c>
      <c r="AR2271" s="30">
        <f t="shared" si="271"/>
        <v>0</v>
      </c>
      <c r="AS2271" s="409">
        <f t="shared" si="272"/>
        <v>0</v>
      </c>
      <c r="AT2271" s="30" t="e">
        <f t="shared" si="273"/>
        <v>#DIV/0!</v>
      </c>
      <c r="AU2271" s="409">
        <v>5560</v>
      </c>
      <c r="AV2271" s="1">
        <f t="shared" si="274"/>
        <v>0</v>
      </c>
      <c r="AW2271" s="1">
        <f t="shared" si="275"/>
        <v>0</v>
      </c>
    </row>
    <row r="2272" spans="1:49">
      <c r="A2272" s="8"/>
      <c r="B2272" s="16" t="str">
        <f>IF($C$1="ENG","H (220 - 240 mm)","H (220 - 240 мм)")</f>
        <v>H (220 - 240 мм)</v>
      </c>
      <c r="C2272" s="161"/>
      <c r="D2272" s="18">
        <f t="shared" si="258"/>
        <v>3966.666666666667</v>
      </c>
      <c r="E2272" s="277">
        <f t="shared" si="259"/>
        <v>4760</v>
      </c>
      <c r="F2272" s="280"/>
      <c r="G2272" s="69"/>
      <c r="H2272" s="18">
        <f t="shared" si="260"/>
        <v>4558.3333333333339</v>
      </c>
      <c r="I2272" s="277">
        <f t="shared" si="261"/>
        <v>5470.0000000000009</v>
      </c>
      <c r="J2272" s="280"/>
      <c r="K2272" s="69"/>
      <c r="L2272" s="18">
        <f t="shared" si="262"/>
        <v>4800</v>
      </c>
      <c r="M2272" s="277">
        <f t="shared" si="263"/>
        <v>5760</v>
      </c>
      <c r="N2272" s="280"/>
      <c r="O2272" s="69"/>
      <c r="P2272" s="18">
        <f t="shared" si="264"/>
        <v>5158.3333333333339</v>
      </c>
      <c r="Q2272" s="277">
        <f t="shared" si="265"/>
        <v>6190.0000000000009</v>
      </c>
      <c r="R2272" s="280"/>
      <c r="S2272" s="69"/>
      <c r="T2272" s="18">
        <f t="shared" si="266"/>
        <v>5500</v>
      </c>
      <c r="U2272" s="277">
        <f t="shared" si="267"/>
        <v>6600</v>
      </c>
      <c r="V2272" s="280"/>
      <c r="W2272" s="69"/>
      <c r="X2272" s="22"/>
      <c r="Y2272" s="22"/>
      <c r="Z2272" s="22"/>
      <c r="AA2272" s="22"/>
      <c r="AB2272" s="22"/>
      <c r="AC2272" s="346">
        <v>4760</v>
      </c>
      <c r="AD2272" s="346"/>
      <c r="AE2272" s="346">
        <v>5470</v>
      </c>
      <c r="AF2272" s="346"/>
      <c r="AG2272" s="346">
        <v>5760</v>
      </c>
      <c r="AH2272" s="346"/>
      <c r="AI2272" s="346">
        <v>6190</v>
      </c>
      <c r="AJ2272" s="346"/>
      <c r="AK2272" s="346">
        <v>6600</v>
      </c>
      <c r="AL2272" s="301"/>
      <c r="AM2272" s="409">
        <v>4760</v>
      </c>
      <c r="AN2272" s="323">
        <f t="shared" si="268"/>
        <v>0</v>
      </c>
      <c r="AO2272" s="409">
        <f t="shared" si="269"/>
        <v>0</v>
      </c>
      <c r="AP2272" s="30" t="e">
        <f t="shared" si="270"/>
        <v>#DIV/0!</v>
      </c>
      <c r="AQ2272" s="409">
        <v>5470</v>
      </c>
      <c r="AR2272" s="30">
        <f t="shared" si="271"/>
        <v>0</v>
      </c>
      <c r="AS2272" s="409">
        <f t="shared" si="272"/>
        <v>0</v>
      </c>
      <c r="AT2272" s="30" t="e">
        <f t="shared" si="273"/>
        <v>#DIV/0!</v>
      </c>
      <c r="AU2272" s="409">
        <v>5760</v>
      </c>
      <c r="AV2272" s="1">
        <f t="shared" si="274"/>
        <v>0</v>
      </c>
      <c r="AW2272" s="1">
        <f t="shared" si="275"/>
        <v>0</v>
      </c>
    </row>
    <row r="2273" spans="1:49">
      <c r="A2273" s="8"/>
      <c r="B2273" s="23" t="str">
        <f>IF($C$1="ENG","I (240 - 260 mm)","I (240 - 260 мм)")</f>
        <v>I (240 - 260 мм)</v>
      </c>
      <c r="C2273" s="162"/>
      <c r="D2273" s="25">
        <f t="shared" si="258"/>
        <v>4108.3333333333339</v>
      </c>
      <c r="E2273" s="278">
        <f t="shared" si="259"/>
        <v>4930.0000000000009</v>
      </c>
      <c r="F2273" s="281"/>
      <c r="G2273" s="72"/>
      <c r="H2273" s="25">
        <f t="shared" si="260"/>
        <v>4716.666666666667</v>
      </c>
      <c r="I2273" s="278">
        <f t="shared" si="261"/>
        <v>5660</v>
      </c>
      <c r="J2273" s="281"/>
      <c r="K2273" s="72"/>
      <c r="L2273" s="25">
        <f t="shared" si="262"/>
        <v>4991.666666666667</v>
      </c>
      <c r="M2273" s="278">
        <f t="shared" si="263"/>
        <v>5990</v>
      </c>
      <c r="N2273" s="281"/>
      <c r="O2273" s="72"/>
      <c r="P2273" s="25">
        <f t="shared" si="264"/>
        <v>5350</v>
      </c>
      <c r="Q2273" s="278">
        <f t="shared" si="265"/>
        <v>6420</v>
      </c>
      <c r="R2273" s="281"/>
      <c r="S2273" s="72"/>
      <c r="T2273" s="25">
        <f t="shared" si="266"/>
        <v>5708.3333333333339</v>
      </c>
      <c r="U2273" s="278">
        <f t="shared" si="267"/>
        <v>6850.0000000000009</v>
      </c>
      <c r="V2273" s="281"/>
      <c r="W2273" s="72"/>
      <c r="X2273" s="22"/>
      <c r="Y2273" s="22"/>
      <c r="Z2273" s="22"/>
      <c r="AA2273" s="22"/>
      <c r="AB2273" s="22"/>
      <c r="AC2273" s="346">
        <v>4930</v>
      </c>
      <c r="AD2273" s="346"/>
      <c r="AE2273" s="346">
        <v>5660</v>
      </c>
      <c r="AF2273" s="346"/>
      <c r="AG2273" s="346">
        <v>5990</v>
      </c>
      <c r="AH2273" s="346"/>
      <c r="AI2273" s="346">
        <v>6420</v>
      </c>
      <c r="AJ2273" s="346"/>
      <c r="AK2273" s="346">
        <v>6850</v>
      </c>
      <c r="AL2273" s="301"/>
      <c r="AM2273" s="409">
        <v>4930</v>
      </c>
      <c r="AN2273" s="323">
        <f t="shared" si="268"/>
        <v>0</v>
      </c>
      <c r="AO2273" s="409">
        <f t="shared" si="269"/>
        <v>0</v>
      </c>
      <c r="AP2273" s="30" t="e">
        <f t="shared" si="270"/>
        <v>#DIV/0!</v>
      </c>
      <c r="AQ2273" s="409">
        <v>5660</v>
      </c>
      <c r="AR2273" s="30">
        <f t="shared" si="271"/>
        <v>0</v>
      </c>
      <c r="AS2273" s="409">
        <f t="shared" si="272"/>
        <v>0</v>
      </c>
      <c r="AT2273" s="30" t="e">
        <f t="shared" si="273"/>
        <v>#DIV/0!</v>
      </c>
      <c r="AU2273" s="409">
        <v>5990</v>
      </c>
      <c r="AV2273" s="1">
        <f t="shared" si="274"/>
        <v>0</v>
      </c>
      <c r="AW2273" s="1">
        <f t="shared" si="275"/>
        <v>0</v>
      </c>
    </row>
    <row r="2274" spans="1:49" s="48" customFormat="1" ht="24.95" customHeight="1">
      <c r="B2274" s="55" t="str">
        <f>IF($C$1="ENG","ADJUSTABLE PANELS","ПЛАНКИ РЕГУЛЮВАЛЬНІ")</f>
        <v>ПЛАНКИ РЕГУЛЮВАЛЬНІ</v>
      </c>
      <c r="C2274" s="56"/>
      <c r="D2274" s="28"/>
      <c r="E2274" s="429" t="str">
        <f>IF($C$1="ENG","For Door Frames Verto-FIT Comfort","Для Дверних Коробок Verto-FIT  Comfort")</f>
        <v>Для Дверних Коробок Verto-FIT  Comfort</v>
      </c>
      <c r="F2274" s="429"/>
      <c r="G2274" s="429"/>
      <c r="H2274" s="429"/>
      <c r="I2274" s="429"/>
      <c r="J2274" s="429"/>
      <c r="K2274" s="429"/>
      <c r="L2274" s="28"/>
      <c r="M2274" s="110"/>
      <c r="N2274" s="28"/>
      <c r="O2274" s="29"/>
      <c r="P2274" s="28"/>
      <c r="Q2274" s="110"/>
      <c r="R2274" s="28"/>
      <c r="S2274" s="29"/>
      <c r="T2274" s="158"/>
      <c r="U2274" s="163"/>
      <c r="V2274" s="158"/>
      <c r="W2274" s="159"/>
      <c r="AN2274" s="57"/>
      <c r="AO2274" s="57"/>
      <c r="AP2274" s="57"/>
      <c r="AQ2274" s="57"/>
      <c r="AR2274" s="57"/>
      <c r="AS2274" s="57"/>
      <c r="AT2274" s="57"/>
    </row>
    <row r="2275" spans="1:49" ht="34.5" customHeight="1">
      <c r="A2275" s="8"/>
      <c r="B2275" s="253" t="str">
        <f>IF($C$1="ENG","Panel (1 set) 80 mm","Планка (1 к-т) 80 мм")</f>
        <v>Планка (1 к-т) 80 мм</v>
      </c>
      <c r="C2275" s="321"/>
      <c r="D2275" s="15">
        <f>IF(AC2275="","",(1-$W$2)*(AC2275/1.2))</f>
        <v>991.66666666666674</v>
      </c>
      <c r="E2275" s="311">
        <f>IF($W$5=0.2,D2275*1.2,D2275)/$W$4</f>
        <v>1190</v>
      </c>
      <c r="F2275" s="279"/>
      <c r="G2275" s="67"/>
      <c r="H2275" s="15">
        <f>IF(AE2275="","",(1-$W$2)*(AE2275/1.2))</f>
        <v>1091.6666666666667</v>
      </c>
      <c r="I2275" s="276">
        <f>IF($W$5=0.2,H2275*1.2,H2275)/$W$4</f>
        <v>1310</v>
      </c>
      <c r="J2275" s="279"/>
      <c r="K2275" s="67"/>
      <c r="L2275" s="15">
        <f>IF(AG2275="","",(1-$W$2)*(AG2275/1.2))</f>
        <v>1158.3333333333335</v>
      </c>
      <c r="M2275" s="276">
        <f>IF($W$5=0.2,L2275*1.2,L2275)/$W$4</f>
        <v>1390.0000000000002</v>
      </c>
      <c r="N2275" s="279"/>
      <c r="O2275" s="67"/>
      <c r="P2275" s="15">
        <f>IF(AI2275="","",(1-$W$2)*(AI2275/1.2))</f>
        <v>1225</v>
      </c>
      <c r="Q2275" s="276">
        <f>IF($W$5=0.2,P2275*1.2,P2275)/$W$4</f>
        <v>1470</v>
      </c>
      <c r="R2275" s="279"/>
      <c r="S2275" s="67"/>
      <c r="T2275" s="15">
        <f>IF(AK2275="","",(1-$W$2)*(AK2275/1.2))</f>
        <v>1291.6666666666667</v>
      </c>
      <c r="U2275" s="276">
        <f>IF($W$5=0.2,T2275*1.2,T2275)/$W$4</f>
        <v>1550</v>
      </c>
      <c r="V2275" s="279"/>
      <c r="W2275" s="67"/>
      <c r="AC2275" s="346">
        <v>1190</v>
      </c>
      <c r="AD2275" s="346"/>
      <c r="AE2275" s="346">
        <v>1310</v>
      </c>
      <c r="AF2275" s="346"/>
      <c r="AG2275" s="346">
        <v>1390</v>
      </c>
      <c r="AH2275" s="346"/>
      <c r="AI2275" s="346">
        <v>1470</v>
      </c>
      <c r="AJ2275" s="346"/>
      <c r="AK2275" s="346">
        <v>1550</v>
      </c>
      <c r="AL2275" s="301"/>
      <c r="AM2275" s="409">
        <v>1190</v>
      </c>
      <c r="AN2275" s="323">
        <f>AM2275/AC2275-1</f>
        <v>0</v>
      </c>
      <c r="AO2275" s="409">
        <f>AD2275/100*13+AD2275</f>
        <v>0</v>
      </c>
      <c r="AP2275" s="30" t="e">
        <f>AO2275/AD2275-1</f>
        <v>#DIV/0!</v>
      </c>
      <c r="AQ2275" s="409">
        <v>1310</v>
      </c>
      <c r="AR2275" s="30">
        <f>AQ2275/AE2275-1</f>
        <v>0</v>
      </c>
      <c r="AS2275" s="409">
        <f>AF2275/100*13+AF2275</f>
        <v>0</v>
      </c>
      <c r="AT2275" s="30" t="e">
        <f>AS2275/AF2275-1</f>
        <v>#DIV/0!</v>
      </c>
      <c r="AU2275" s="409">
        <v>1390</v>
      </c>
      <c r="AV2275" s="1">
        <f>AU2275/AG2275-1</f>
        <v>0</v>
      </c>
      <c r="AW2275" s="1">
        <f>AH2275/100*13+AH2275</f>
        <v>0</v>
      </c>
    </row>
    <row r="2276" spans="1:49" ht="34.5" customHeight="1">
      <c r="A2276" s="8"/>
      <c r="B2276" s="326" t="str">
        <f>IF($C$1="ENG","Panel (1 set) 160 mm","Планка (1 к-т) 160 мм")</f>
        <v>Планка (1 к-т) 160 мм</v>
      </c>
      <c r="C2276" s="161"/>
      <c r="D2276" s="18">
        <f>IF(AC2276="","",(1-$W$2)*(AC2276/1.2))</f>
        <v>1650</v>
      </c>
      <c r="E2276" s="277">
        <f>IF($W$5=0.2,D2276*1.2,D2276)/$W$4</f>
        <v>1980</v>
      </c>
      <c r="F2276" s="280"/>
      <c r="G2276" s="69"/>
      <c r="H2276" s="18">
        <f>IF(AE2276="","",(1-$W$2)*(AE2276/1.2))</f>
        <v>1875</v>
      </c>
      <c r="I2276" s="277">
        <f>IF($W$5=0.2,H2276*1.2,H2276)/$W$4</f>
        <v>2250</v>
      </c>
      <c r="J2276" s="280"/>
      <c r="K2276" s="69"/>
      <c r="L2276" s="18">
        <f>IF(AG2276="","",(1-$W$2)*(AG2276/1.2))</f>
        <v>1991.6666666666667</v>
      </c>
      <c r="M2276" s="277">
        <f>IF($W$5=0.2,L2276*1.2,L2276)/$W$4</f>
        <v>2390</v>
      </c>
      <c r="N2276" s="280"/>
      <c r="O2276" s="69"/>
      <c r="P2276" s="18">
        <f>IF(AI2276="","",(1-$W$2)*(AI2276/1.2))</f>
        <v>2116.666666666667</v>
      </c>
      <c r="Q2276" s="277">
        <f>IF($W$5=0.2,P2276*1.2,P2276)/$W$4</f>
        <v>2540.0000000000005</v>
      </c>
      <c r="R2276" s="280"/>
      <c r="S2276" s="69"/>
      <c r="T2276" s="18">
        <f>IF(AK2276="","",(1-$W$2)*(AK2276/1.2))</f>
        <v>2241.666666666667</v>
      </c>
      <c r="U2276" s="277">
        <f>IF($W$5=0.2,T2276*1.2,T2276)/$W$4</f>
        <v>2690.0000000000005</v>
      </c>
      <c r="V2276" s="280"/>
      <c r="W2276" s="69"/>
      <c r="AC2276" s="346">
        <v>1980</v>
      </c>
      <c r="AD2276" s="346"/>
      <c r="AE2276" s="346">
        <v>2250</v>
      </c>
      <c r="AF2276" s="346"/>
      <c r="AG2276" s="346">
        <v>2390</v>
      </c>
      <c r="AH2276" s="346"/>
      <c r="AI2276" s="346">
        <v>2540</v>
      </c>
      <c r="AJ2276" s="346"/>
      <c r="AK2276" s="346">
        <v>2690</v>
      </c>
      <c r="AL2276" s="301"/>
      <c r="AM2276" s="409">
        <v>1980</v>
      </c>
      <c r="AN2276" s="323">
        <f t="shared" ref="AN2276:AN2284" si="276">AM2276/AC2276-1</f>
        <v>0</v>
      </c>
      <c r="AO2276" s="409">
        <f t="shared" ref="AO2276:AO2284" si="277">AD2276/100*13+AD2276</f>
        <v>0</v>
      </c>
      <c r="AP2276" s="30" t="e">
        <f t="shared" ref="AP2276:AP2284" si="278">AO2276/AD2276-1</f>
        <v>#DIV/0!</v>
      </c>
      <c r="AQ2276" s="409">
        <v>2250</v>
      </c>
      <c r="AR2276" s="30">
        <f t="shared" ref="AR2276:AR2284" si="279">AQ2276/AE2276-1</f>
        <v>0</v>
      </c>
      <c r="AS2276" s="409">
        <f t="shared" ref="AS2276:AS2284" si="280">AF2276/100*13+AF2276</f>
        <v>0</v>
      </c>
      <c r="AT2276" s="30" t="e">
        <f t="shared" ref="AT2276:AT2284" si="281">AS2276/AF2276-1</f>
        <v>#DIV/0!</v>
      </c>
      <c r="AU2276" s="409">
        <v>2390</v>
      </c>
      <c r="AV2276" s="1">
        <f t="shared" ref="AV2276:AV2284" si="282">AU2276/AG2276-1</f>
        <v>0</v>
      </c>
      <c r="AW2276" s="1">
        <f t="shared" ref="AW2276:AW2284" si="283">AH2276/100*13+AH2276</f>
        <v>0</v>
      </c>
    </row>
    <row r="2277" spans="1:49" ht="34.5" customHeight="1">
      <c r="A2277" s="8"/>
      <c r="B2277" s="112" t="str">
        <f>IF($C$1="ENG","Panel (1 set) 200 mm","Планка (1 к-т) 200 мм")</f>
        <v>Планка (1 к-т) 200 мм</v>
      </c>
      <c r="C2277" s="162"/>
      <c r="D2277" s="25">
        <f>IF(AC2277="","",(1-$W$2)*(AC2277/1.2))</f>
        <v>1966.6666666666667</v>
      </c>
      <c r="E2277" s="278">
        <f>IF($W$5=0.2,D2277*1.2,D2277)/$W$4</f>
        <v>2360</v>
      </c>
      <c r="F2277" s="281"/>
      <c r="G2277" s="72"/>
      <c r="H2277" s="25">
        <f>IF(AE2277="","",(1-$W$2)*(AE2277/1.2))</f>
        <v>2241.666666666667</v>
      </c>
      <c r="I2277" s="278">
        <f>IF($W$5=0.2,H2277*1.2,H2277)/$W$4</f>
        <v>2690.0000000000005</v>
      </c>
      <c r="J2277" s="281"/>
      <c r="K2277" s="72"/>
      <c r="L2277" s="25">
        <f>IF(AG2277="","",(1-$W$2)*(AG2277/1.2))</f>
        <v>2391.666666666667</v>
      </c>
      <c r="M2277" s="278">
        <f>IF($W$5=0.2,L2277*1.2,L2277)/$W$4</f>
        <v>2870.0000000000005</v>
      </c>
      <c r="N2277" s="281"/>
      <c r="O2277" s="72"/>
      <c r="P2277" s="25">
        <f>IF(AI2277="","",(1-$W$2)*(AI2277/1.2))</f>
        <v>2525</v>
      </c>
      <c r="Q2277" s="278">
        <f>IF($W$5=0.2,P2277*1.2,P2277)/$W$4</f>
        <v>3030</v>
      </c>
      <c r="R2277" s="281"/>
      <c r="S2277" s="72"/>
      <c r="T2277" s="25">
        <f>IF(AK2277="","",(1-$W$2)*(AK2277/1.2))</f>
        <v>2675</v>
      </c>
      <c r="U2277" s="278">
        <f>IF($W$5=0.2,T2277*1.2,T2277)/$W$4</f>
        <v>3210</v>
      </c>
      <c r="V2277" s="281"/>
      <c r="W2277" s="72"/>
      <c r="AC2277" s="346">
        <v>2360</v>
      </c>
      <c r="AD2277" s="346"/>
      <c r="AE2277" s="346">
        <v>2690</v>
      </c>
      <c r="AF2277" s="346"/>
      <c r="AG2277" s="346">
        <v>2870</v>
      </c>
      <c r="AH2277" s="346"/>
      <c r="AI2277" s="346">
        <v>3030</v>
      </c>
      <c r="AJ2277" s="346"/>
      <c r="AK2277" s="346">
        <v>3210</v>
      </c>
      <c r="AL2277" s="301"/>
      <c r="AM2277" s="409">
        <v>2360</v>
      </c>
      <c r="AN2277" s="323">
        <f t="shared" si="276"/>
        <v>0</v>
      </c>
      <c r="AO2277" s="409">
        <f t="shared" si="277"/>
        <v>0</v>
      </c>
      <c r="AP2277" s="30" t="e">
        <f t="shared" si="278"/>
        <v>#DIV/0!</v>
      </c>
      <c r="AQ2277" s="409">
        <v>2690</v>
      </c>
      <c r="AR2277" s="30">
        <f t="shared" si="279"/>
        <v>0</v>
      </c>
      <c r="AS2277" s="409">
        <f t="shared" si="280"/>
        <v>0</v>
      </c>
      <c r="AT2277" s="30" t="e">
        <f t="shared" si="281"/>
        <v>#DIV/0!</v>
      </c>
      <c r="AU2277" s="409">
        <v>2870</v>
      </c>
      <c r="AV2277" s="1">
        <f t="shared" si="282"/>
        <v>0</v>
      </c>
      <c r="AW2277" s="1">
        <f t="shared" si="283"/>
        <v>0</v>
      </c>
    </row>
    <row r="2278" spans="1:49">
      <c r="C2278" s="26"/>
      <c r="D2278" s="26"/>
      <c r="E2278" s="60"/>
      <c r="F2278" s="26"/>
      <c r="G2278" s="60"/>
      <c r="H2278" s="5"/>
      <c r="K2278" s="20"/>
      <c r="L2278" s="48"/>
      <c r="M2278" s="110"/>
      <c r="N2278" s="48"/>
      <c r="O2278" s="48"/>
      <c r="P2278" s="48"/>
      <c r="Q2278" s="110"/>
      <c r="R2278" s="48"/>
      <c r="S2278" s="48"/>
      <c r="U2278" s="20"/>
      <c r="W2278" s="20"/>
    </row>
    <row r="2279" spans="1:49">
      <c r="B2279" s="220" t="str">
        <f>IF($C$1="ENG","For additonal charge:","Послуги за додаткову плату:")</f>
        <v>Послуги за додаткову плату:</v>
      </c>
      <c r="C2279" s="221"/>
      <c r="D2279" s="221"/>
      <c r="E2279" s="222"/>
      <c r="F2279" s="39"/>
      <c r="G2279" s="39"/>
      <c r="H2279" s="10"/>
      <c r="I2279" s="87"/>
      <c r="J2279" s="8"/>
      <c r="K2279" s="8"/>
      <c r="L2279" s="109"/>
      <c r="N2279" s="109"/>
      <c r="P2279" s="109"/>
      <c r="R2279" s="109"/>
      <c r="U2279" s="20"/>
      <c r="W2279" s="20"/>
    </row>
    <row r="2280" spans="1:49" ht="5.0999999999999996" customHeight="1">
      <c r="B2280" s="27"/>
      <c r="C2280" s="26"/>
      <c r="D2280" s="26"/>
      <c r="E2280" s="60"/>
      <c r="F2280" s="26"/>
      <c r="G2280" s="26"/>
      <c r="H2280" s="10"/>
      <c r="I2280" s="8"/>
      <c r="J2280" s="8"/>
      <c r="K2280" s="8"/>
      <c r="U2280" s="20"/>
      <c r="W2280" s="20"/>
    </row>
    <row r="2281" spans="1:49">
      <c r="B2281" s="435" t="str">
        <f>IF($C$1="ENG","hidden 3D door hindge","прихована 3D завіса")</f>
        <v>прихована 3D завіса</v>
      </c>
      <c r="C2281" s="436"/>
      <c r="D2281" s="51">
        <f>IF(AC2281="","",(1-$W$2)*(AC2281/1.2))</f>
        <v>741.66666666666674</v>
      </c>
      <c r="E2281" s="88">
        <f>IF($W$5=0.2,D2281*1.2,D2281)/$W$4</f>
        <v>890.00000000000011</v>
      </c>
      <c r="F2281" s="26"/>
      <c r="G2281" s="26"/>
      <c r="H2281" s="10"/>
      <c r="I2281" s="87"/>
      <c r="J2281" s="8"/>
      <c r="K2281" s="87"/>
      <c r="U2281" s="20"/>
      <c r="W2281" s="20"/>
      <c r="AC2281" s="310">
        <v>890</v>
      </c>
      <c r="AD2281" s="409"/>
      <c r="AE2281" s="30"/>
      <c r="AF2281" s="301"/>
      <c r="AG2281" s="301"/>
      <c r="AH2281" s="301"/>
      <c r="AI2281" s="301"/>
      <c r="AJ2281" s="301"/>
      <c r="AK2281" s="301"/>
      <c r="AL2281" s="301"/>
    </row>
    <row r="2282" spans="1:49" ht="14.25" customHeight="1">
      <c r="T2282" s="465" t="str">
        <f>IF($C$1="ENG",CONCATENATE("down to: ",B2332),CONCATENATE("вниз до: ",B2332))</f>
        <v>вниз до: Плінтуси</v>
      </c>
      <c r="U2282" s="465"/>
      <c r="V2282" s="465"/>
      <c r="W2282" s="465"/>
    </row>
    <row r="2283" spans="1:49" ht="14.25" customHeight="1">
      <c r="C2283" s="26"/>
      <c r="D2283" s="26"/>
      <c r="E2283" s="26"/>
      <c r="F2283" s="26"/>
      <c r="G2283" s="60"/>
      <c r="H2283" s="5"/>
      <c r="K2283" s="87"/>
    </row>
    <row r="2284" spans="1:49" ht="14.25" customHeight="1">
      <c r="C2284" s="26"/>
      <c r="D2284" s="26"/>
      <c r="E2284" s="26"/>
      <c r="F2284" s="26"/>
      <c r="G2284" s="26"/>
      <c r="H2284" s="5"/>
    </row>
    <row r="2285" spans="1:49" ht="14.25" customHeight="1">
      <c r="C2285" s="26"/>
      <c r="D2285" s="26"/>
      <c r="E2285" s="26"/>
      <c r="F2285" s="26"/>
      <c r="G2285" s="26"/>
      <c r="H2285" s="5"/>
    </row>
    <row r="2286" spans="1:49" ht="14.25" customHeight="1">
      <c r="C2286" s="26"/>
      <c r="D2286" s="26"/>
      <c r="E2286" s="26"/>
      <c r="F2286" s="26"/>
      <c r="G2286" s="26"/>
      <c r="H2286" s="5"/>
    </row>
    <row r="2287" spans="1:49" ht="14.25" customHeight="1">
      <c r="C2287" s="26"/>
      <c r="D2287" s="26"/>
      <c r="E2287" s="26"/>
      <c r="F2287" s="26"/>
      <c r="G2287" s="26"/>
      <c r="H2287" s="5"/>
    </row>
    <row r="2288" spans="1:49" ht="14.25" customHeight="1">
      <c r="C2288" s="26"/>
      <c r="D2288" s="26"/>
      <c r="E2288" s="26"/>
      <c r="F2288" s="26"/>
      <c r="G2288" s="26"/>
      <c r="H2288" s="5"/>
    </row>
    <row r="2289" spans="3:8" ht="14.25" customHeight="1">
      <c r="C2289" s="26"/>
      <c r="D2289" s="26"/>
      <c r="E2289" s="26"/>
      <c r="F2289" s="26"/>
      <c r="G2289" s="26"/>
      <c r="H2289" s="5"/>
    </row>
    <row r="2290" spans="3:8" ht="14.25" customHeight="1">
      <c r="C2290" s="26"/>
      <c r="D2290" s="26"/>
      <c r="E2290" s="26"/>
      <c r="F2290" s="26"/>
      <c r="G2290" s="26"/>
      <c r="H2290" s="5"/>
    </row>
    <row r="2291" spans="3:8" ht="14.25" customHeight="1">
      <c r="C2291" s="26"/>
      <c r="D2291" s="26"/>
      <c r="E2291" s="26"/>
      <c r="F2291" s="26"/>
      <c r="G2291" s="26"/>
      <c r="H2291" s="5"/>
    </row>
    <row r="2292" spans="3:8" ht="14.25" customHeight="1">
      <c r="C2292" s="26"/>
      <c r="D2292" s="26"/>
      <c r="E2292" s="26"/>
      <c r="F2292" s="26"/>
      <c r="G2292" s="26"/>
      <c r="H2292" s="5"/>
    </row>
    <row r="2293" spans="3:8" ht="14.25" customHeight="1">
      <c r="C2293" s="26"/>
      <c r="D2293" s="26"/>
      <c r="E2293" s="26"/>
      <c r="F2293" s="26"/>
      <c r="G2293" s="26"/>
      <c r="H2293" s="5"/>
    </row>
    <row r="2294" spans="3:8" ht="14.25" customHeight="1">
      <c r="C2294" s="26"/>
      <c r="D2294" s="26"/>
      <c r="E2294" s="26"/>
      <c r="F2294" s="26"/>
      <c r="G2294" s="26"/>
      <c r="H2294" s="5"/>
    </row>
    <row r="2295" spans="3:8" ht="14.25" customHeight="1">
      <c r="C2295" s="26"/>
      <c r="D2295" s="26"/>
      <c r="E2295" s="26"/>
      <c r="F2295" s="26"/>
      <c r="G2295" s="26"/>
      <c r="H2295" s="5"/>
    </row>
    <row r="2296" spans="3:8" ht="14.25" customHeight="1">
      <c r="C2296" s="26"/>
      <c r="D2296" s="26"/>
      <c r="E2296" s="26"/>
      <c r="F2296" s="26"/>
      <c r="G2296" s="26"/>
      <c r="H2296" s="5"/>
    </row>
    <row r="2297" spans="3:8" ht="14.25" customHeight="1">
      <c r="C2297" s="26"/>
      <c r="D2297" s="26"/>
      <c r="E2297" s="26"/>
      <c r="F2297" s="26"/>
      <c r="G2297" s="26"/>
      <c r="H2297" s="5"/>
    </row>
    <row r="2298" spans="3:8" ht="14.25" customHeight="1">
      <c r="C2298" s="26"/>
      <c r="D2298" s="26"/>
      <c r="E2298" s="26"/>
      <c r="F2298" s="26"/>
      <c r="G2298" s="26"/>
      <c r="H2298" s="5"/>
    </row>
    <row r="2299" spans="3:8" ht="14.25" customHeight="1">
      <c r="C2299" s="26"/>
      <c r="D2299" s="26"/>
      <c r="E2299" s="26"/>
      <c r="F2299" s="26"/>
      <c r="G2299" s="26"/>
      <c r="H2299" s="5"/>
    </row>
    <row r="2300" spans="3:8" ht="14.25" customHeight="1">
      <c r="C2300" s="26"/>
      <c r="D2300" s="26"/>
      <c r="E2300" s="26"/>
      <c r="F2300" s="26"/>
      <c r="G2300" s="26"/>
      <c r="H2300" s="5"/>
    </row>
    <row r="2301" spans="3:8" ht="14.25" customHeight="1">
      <c r="C2301" s="26"/>
      <c r="D2301" s="26"/>
      <c r="E2301" s="26"/>
      <c r="F2301" s="26"/>
      <c r="G2301" s="26"/>
      <c r="H2301" s="5"/>
    </row>
    <row r="2302" spans="3:8" ht="14.25" customHeight="1">
      <c r="C2302" s="26"/>
      <c r="D2302" s="26"/>
      <c r="E2302" s="26"/>
      <c r="F2302" s="26"/>
      <c r="G2302" s="26"/>
      <c r="H2302" s="5"/>
    </row>
    <row r="2303" spans="3:8" ht="14.25" customHeight="1">
      <c r="C2303" s="26"/>
      <c r="D2303" s="26"/>
      <c r="E2303" s="26"/>
      <c r="F2303" s="26"/>
      <c r="G2303" s="26"/>
      <c r="H2303" s="5"/>
    </row>
    <row r="2304" spans="3:8" ht="14.25" customHeight="1">
      <c r="C2304" s="26"/>
      <c r="D2304" s="26"/>
      <c r="E2304" s="26"/>
      <c r="F2304" s="26"/>
      <c r="G2304" s="26"/>
      <c r="H2304" s="5"/>
    </row>
    <row r="2305" spans="3:8" ht="14.25" customHeight="1">
      <c r="C2305" s="26"/>
      <c r="D2305" s="26"/>
      <c r="E2305" s="26"/>
      <c r="F2305" s="26"/>
      <c r="G2305" s="26"/>
      <c r="H2305" s="5"/>
    </row>
    <row r="2306" spans="3:8" ht="14.25" customHeight="1">
      <c r="C2306" s="26"/>
      <c r="D2306" s="26"/>
      <c r="E2306" s="26"/>
      <c r="F2306" s="26"/>
      <c r="G2306" s="26"/>
      <c r="H2306" s="5"/>
    </row>
    <row r="2307" spans="3:8" ht="14.25" customHeight="1">
      <c r="C2307" s="26"/>
      <c r="D2307" s="26"/>
      <c r="E2307" s="26"/>
      <c r="F2307" s="26"/>
      <c r="G2307" s="26"/>
      <c r="H2307" s="5"/>
    </row>
    <row r="2308" spans="3:8" ht="14.25" customHeight="1">
      <c r="C2308" s="26"/>
      <c r="D2308" s="26"/>
      <c r="E2308" s="26"/>
      <c r="F2308" s="26"/>
      <c r="G2308" s="26"/>
      <c r="H2308" s="5"/>
    </row>
    <row r="2309" spans="3:8" ht="14.25" customHeight="1">
      <c r="C2309" s="26"/>
      <c r="D2309" s="26"/>
      <c r="E2309" s="26"/>
      <c r="F2309" s="26"/>
      <c r="G2309" s="26"/>
      <c r="H2309" s="5"/>
    </row>
    <row r="2310" spans="3:8" ht="14.25" customHeight="1">
      <c r="C2310" s="26"/>
      <c r="D2310" s="26"/>
      <c r="E2310" s="26"/>
      <c r="F2310" s="26"/>
      <c r="G2310" s="26"/>
      <c r="H2310" s="5"/>
    </row>
    <row r="2311" spans="3:8" ht="14.25" customHeight="1">
      <c r="C2311" s="26"/>
      <c r="D2311" s="26"/>
      <c r="E2311" s="26"/>
      <c r="F2311" s="26"/>
      <c r="G2311" s="26"/>
      <c r="H2311" s="5"/>
    </row>
    <row r="2312" spans="3:8" ht="14.25" customHeight="1">
      <c r="C2312" s="26"/>
      <c r="D2312" s="26"/>
      <c r="E2312" s="26"/>
      <c r="F2312" s="26"/>
      <c r="G2312" s="26"/>
      <c r="H2312" s="5"/>
    </row>
    <row r="2313" spans="3:8" ht="14.25" customHeight="1">
      <c r="C2313" s="26"/>
      <c r="D2313" s="26"/>
      <c r="E2313" s="26"/>
      <c r="F2313" s="26"/>
      <c r="G2313" s="26"/>
      <c r="H2313" s="5"/>
    </row>
    <row r="2314" spans="3:8" ht="14.25" customHeight="1">
      <c r="C2314" s="26"/>
      <c r="D2314" s="26"/>
      <c r="E2314" s="26"/>
      <c r="F2314" s="26"/>
      <c r="G2314" s="26"/>
      <c r="H2314" s="5"/>
    </row>
    <row r="2315" spans="3:8" ht="14.25" customHeight="1">
      <c r="C2315" s="26"/>
      <c r="D2315" s="26"/>
      <c r="E2315" s="26"/>
      <c r="F2315" s="26"/>
      <c r="G2315" s="26"/>
      <c r="H2315" s="5"/>
    </row>
    <row r="2316" spans="3:8" ht="14.25" customHeight="1">
      <c r="C2316" s="26"/>
      <c r="D2316" s="26"/>
      <c r="E2316" s="26"/>
      <c r="F2316" s="26"/>
      <c r="G2316" s="26"/>
      <c r="H2316" s="5"/>
    </row>
    <row r="2317" spans="3:8" ht="14.25" customHeight="1">
      <c r="C2317" s="26"/>
      <c r="D2317" s="26"/>
      <c r="E2317" s="26"/>
      <c r="F2317" s="26"/>
      <c r="G2317" s="26"/>
      <c r="H2317" s="5"/>
    </row>
    <row r="2318" spans="3:8" ht="14.25" customHeight="1">
      <c r="C2318" s="26"/>
      <c r="D2318" s="26"/>
      <c r="E2318" s="26"/>
      <c r="F2318" s="26"/>
      <c r="G2318" s="26"/>
      <c r="H2318" s="5"/>
    </row>
    <row r="2319" spans="3:8" ht="14.25" customHeight="1">
      <c r="C2319" s="26"/>
      <c r="D2319" s="26"/>
      <c r="E2319" s="26"/>
      <c r="F2319" s="26"/>
      <c r="G2319" s="26"/>
      <c r="H2319" s="5"/>
    </row>
    <row r="2320" spans="3:8" ht="14.25" customHeight="1">
      <c r="C2320" s="26"/>
      <c r="D2320" s="26"/>
      <c r="E2320" s="26"/>
      <c r="F2320" s="26"/>
      <c r="G2320" s="26"/>
      <c r="H2320" s="5"/>
    </row>
    <row r="2321" spans="2:45" ht="14.25" customHeight="1">
      <c r="C2321" s="26"/>
      <c r="D2321" s="26"/>
      <c r="E2321" s="26"/>
      <c r="F2321" s="26"/>
      <c r="G2321" s="26"/>
      <c r="H2321" s="5"/>
    </row>
    <row r="2322" spans="2:45" ht="14.25" customHeight="1">
      <c r="C2322" s="26"/>
      <c r="D2322" s="26"/>
      <c r="E2322" s="26"/>
      <c r="F2322" s="26"/>
      <c r="G2322" s="26"/>
      <c r="H2322" s="5"/>
    </row>
    <row r="2323" spans="2:45" ht="14.25" customHeight="1">
      <c r="C2323" s="26"/>
      <c r="D2323" s="26"/>
      <c r="E2323" s="26"/>
      <c r="F2323" s="26"/>
      <c r="G2323" s="26"/>
      <c r="H2323" s="5"/>
    </row>
    <row r="2324" spans="2:45" ht="14.25" customHeight="1">
      <c r="C2324" s="26"/>
      <c r="D2324" s="26"/>
      <c r="E2324" s="26"/>
      <c r="F2324" s="26"/>
      <c r="G2324" s="26"/>
      <c r="H2324" s="5"/>
    </row>
    <row r="2325" spans="2:45" ht="14.25" customHeight="1">
      <c r="C2325" s="26"/>
      <c r="D2325" s="26"/>
      <c r="E2325" s="26"/>
      <c r="F2325" s="26"/>
      <c r="G2325" s="26"/>
      <c r="H2325" s="5"/>
    </row>
    <row r="2326" spans="2:45" ht="14.25" customHeight="1">
      <c r="C2326" s="26"/>
      <c r="D2326" s="26"/>
      <c r="E2326" s="26"/>
      <c r="F2326" s="26"/>
      <c r="G2326" s="26"/>
      <c r="H2326" s="5"/>
    </row>
    <row r="2327" spans="2:45" ht="14.25" customHeight="1">
      <c r="C2327" s="26"/>
      <c r="D2327" s="26"/>
      <c r="E2327" s="26"/>
      <c r="F2327" s="26"/>
      <c r="G2327" s="26"/>
      <c r="H2327" s="5"/>
    </row>
    <row r="2328" spans="2:45" ht="14.25" customHeight="1">
      <c r="C2328" s="26"/>
      <c r="D2328" s="26"/>
      <c r="E2328" s="26"/>
      <c r="F2328" s="26"/>
      <c r="G2328" s="26"/>
      <c r="H2328" s="5"/>
    </row>
    <row r="2329" spans="2:45" ht="14.25" customHeight="1">
      <c r="C2329" s="26"/>
      <c r="D2329" s="26"/>
      <c r="E2329" s="26"/>
      <c r="F2329" s="26"/>
      <c r="G2329" s="26"/>
      <c r="H2329" s="5"/>
    </row>
    <row r="2330" spans="2:45" ht="14.25" customHeight="1">
      <c r="C2330" s="26"/>
      <c r="D2330" s="26"/>
      <c r="E2330" s="26"/>
      <c r="F2330" s="26"/>
      <c r="G2330" s="26"/>
      <c r="H2330" s="5"/>
    </row>
    <row r="2331" spans="2:45" ht="14.25" customHeight="1">
      <c r="C2331" s="26"/>
      <c r="D2331" s="26"/>
      <c r="E2331" s="26"/>
      <c r="F2331" s="26"/>
      <c r="G2331" s="26"/>
      <c r="H2331" s="5"/>
    </row>
    <row r="2332" spans="2:45" ht="14.25" customHeight="1">
      <c r="B2332" s="428" t="str">
        <f>TITLE!C44</f>
        <v>Плінтуси</v>
      </c>
      <c r="C2332" s="421"/>
      <c r="D2332" s="122"/>
      <c r="E2332" s="122"/>
      <c r="F2332" s="122"/>
      <c r="G2332" s="122"/>
      <c r="H2332" s="445"/>
      <c r="I2332" s="445"/>
      <c r="J2332" s="125"/>
      <c r="K2332" s="125"/>
      <c r="L2332" s="125"/>
      <c r="M2332" s="125"/>
      <c r="N2332" s="125"/>
      <c r="O2332" s="125"/>
      <c r="P2332" s="125"/>
      <c r="Q2332" s="125"/>
      <c r="R2332" s="125"/>
      <c r="S2332" s="125"/>
      <c r="T2332" s="423" t="str">
        <f>IF($C$1="ENG",CONCATENATE("up to: ",B2260),CONCATENATE("вгору до: ",B2260))</f>
        <v>вгору до: Дверна коробка Verto-FIT Comfort</v>
      </c>
      <c r="U2332" s="423"/>
      <c r="V2332" s="423"/>
      <c r="W2332" s="423"/>
    </row>
    <row r="2333" spans="2:45" ht="14.25" customHeight="1"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48"/>
      <c r="M2333" s="48"/>
      <c r="N2333" s="48"/>
      <c r="O2333" s="48"/>
      <c r="P2333" s="48"/>
      <c r="Q2333" s="48"/>
      <c r="R2333" s="48"/>
      <c r="S2333" s="48"/>
      <c r="T2333" s="119"/>
      <c r="U2333" s="119"/>
      <c r="V2333" s="119"/>
      <c r="W2333" s="119"/>
    </row>
    <row r="2334" spans="2:45" ht="27" customHeight="1">
      <c r="B2334" s="317" t="str">
        <f>IF($C$1="ENG","model","модель")</f>
        <v>модель</v>
      </c>
      <c r="C2334" s="126" t="str">
        <f>IF($C$1="ENG","cover:","покриття:")</f>
        <v>покриття:</v>
      </c>
      <c r="D2334" s="430" t="str">
        <f>IF($C$1="ENG","SIMPL / V-CELL ","SIMPL / V-CELL")</f>
        <v>SIMPL / V-CELL</v>
      </c>
      <c r="E2334" s="432"/>
      <c r="F2334" s="430" t="str">
        <f>IF($C$1="ENG","UNI-MAT","UNI-MAT")</f>
        <v>UNI-MAT</v>
      </c>
      <c r="G2334" s="432"/>
      <c r="H2334" s="430" t="str">
        <f>IF($C$1="ENG","RESIST","RESIST")</f>
        <v>RESIST</v>
      </c>
      <c r="I2334" s="432"/>
      <c r="J2334" s="430" t="str">
        <f>IF($C$1="ENG","Verto LINE-3D","Verto LINE-3D")</f>
        <v>Verto LINE-3D</v>
      </c>
      <c r="K2334" s="432"/>
      <c r="L2334" s="430" t="str">
        <f>IF($C$1="ENG","ECO Shpon / LOFT","ЕКО Шпон / LOFT")</f>
        <v>ЕКО Шпон / LOFT</v>
      </c>
      <c r="M2334" s="432"/>
      <c r="N2334" s="47"/>
      <c r="O2334" s="47"/>
      <c r="P2334" s="47"/>
      <c r="Q2334" s="47"/>
      <c r="R2334" s="47"/>
      <c r="S2334" s="47"/>
      <c r="AM2334" s="407">
        <v>0.15</v>
      </c>
    </row>
    <row r="2335" spans="2:45" ht="14.25" customHeight="1">
      <c r="B2335" s="318"/>
      <c r="C2335" s="128" t="str">
        <f>IF($C$1="ENG","type:","виконання:")</f>
        <v>виконання:</v>
      </c>
      <c r="D2335" s="424" t="str">
        <f>IF($C$1="ENG","for 1 pcs","за 1 шт.")</f>
        <v>за 1 шт.</v>
      </c>
      <c r="E2335" s="434"/>
      <c r="F2335" s="424" t="str">
        <f>IF($C$1="ENG","for 1 pcs","за 1 шт.")</f>
        <v>за 1 шт.</v>
      </c>
      <c r="G2335" s="434"/>
      <c r="H2335" s="424" t="str">
        <f>IF($C$1="ENG","for 1 pcs","за 1 шт.")</f>
        <v>за 1 шт.</v>
      </c>
      <c r="I2335" s="434"/>
      <c r="J2335" s="424" t="str">
        <f>IF($C$1="ENG","for 1 pcs","за 1 шт.")</f>
        <v>за 1 шт.</v>
      </c>
      <c r="K2335" s="434"/>
      <c r="L2335" s="424" t="str">
        <f>IF($C$1="ENG","for 1 pcs","за 1 шт.")</f>
        <v>за 1 шт.</v>
      </c>
      <c r="M2335" s="434"/>
      <c r="N2335" s="47"/>
      <c r="O2335" s="47"/>
      <c r="P2335" s="47"/>
      <c r="Q2335" s="47"/>
      <c r="R2335" s="47"/>
      <c r="S2335" s="47"/>
    </row>
    <row r="2336" spans="2:45" ht="34.5" customHeight="1">
      <c r="B2336" s="350" t="str">
        <f>IF($C$1="ENG","Plinth 60 mm","Плінтус 60 мм")</f>
        <v>Плінтус 60 мм</v>
      </c>
      <c r="C2336" s="426"/>
      <c r="D2336" s="15">
        <f>IF(AC2336="","",(1-$W$2)*(AC2336/1.2))</f>
        <v>266.66666666666669</v>
      </c>
      <c r="E2336" s="96">
        <f>IF($W$5=0.2,D2336*1.2,D2336)/$W$4</f>
        <v>320</v>
      </c>
      <c r="F2336" s="136">
        <f>IF(AD2336="","",(1-$W$2)*(AD2336/1.2))</f>
        <v>291.66666666666669</v>
      </c>
      <c r="G2336" s="96">
        <f>IF($W$5=0.2,F2336*1.2,F2336)/$W$4</f>
        <v>350</v>
      </c>
      <c r="H2336" s="136">
        <f>IF(AE2336="","",(1-$W$2)*(AE2336/1.2))</f>
        <v>341.66666666666669</v>
      </c>
      <c r="I2336" s="96">
        <f>IF($W$5=0.2,H2336*1.2,H2336)/$W$4</f>
        <v>410</v>
      </c>
      <c r="J2336" s="136">
        <f>IF(AF2336="","",(1-$W$2)*(AF2336/1.2))</f>
        <v>358.33333333333337</v>
      </c>
      <c r="K2336" s="96">
        <f>IF($W$5=0.2,J2336*1.2,J2336)/$W$4</f>
        <v>430.00000000000006</v>
      </c>
      <c r="L2336" s="136">
        <f>IF(AG2336="","",(1-$W$2)*(AG2336/1.2))</f>
        <v>375</v>
      </c>
      <c r="M2336" s="96">
        <f>IF($W$5=0.2,L2336*1.2,L2336)/$W$4</f>
        <v>450</v>
      </c>
      <c r="N2336" s="109"/>
      <c r="O2336" s="110"/>
      <c r="P2336" s="28"/>
      <c r="Q2336" s="110"/>
      <c r="R2336" s="109"/>
      <c r="S2336" s="110"/>
      <c r="T2336" s="109"/>
      <c r="U2336" s="110"/>
      <c r="V2336" s="109"/>
      <c r="W2336" s="110"/>
      <c r="AC2336" s="346">
        <v>320</v>
      </c>
      <c r="AD2336" s="346">
        <v>350</v>
      </c>
      <c r="AE2336" s="346">
        <v>410</v>
      </c>
      <c r="AF2336" s="346">
        <v>430</v>
      </c>
      <c r="AG2336" s="346">
        <v>450</v>
      </c>
      <c r="AH2336" s="301">
        <v>320</v>
      </c>
      <c r="AI2336" s="301">
        <f>AH2336/AC2336-1</f>
        <v>0</v>
      </c>
      <c r="AJ2336" s="301">
        <v>350</v>
      </c>
      <c r="AK2336" s="301">
        <f>AJ2336/AD2336-1</f>
        <v>0</v>
      </c>
      <c r="AL2336" s="301">
        <v>410</v>
      </c>
      <c r="AM2336" s="1">
        <f>AL2336/AE2336-1</f>
        <v>0</v>
      </c>
      <c r="AN2336" s="301">
        <v>430</v>
      </c>
      <c r="AO2336" s="1">
        <f>AN2336/AF2336-1</f>
        <v>0</v>
      </c>
      <c r="AP2336" s="301">
        <v>450</v>
      </c>
      <c r="AQ2336" s="1">
        <f>AP2336/AG2336-1</f>
        <v>0</v>
      </c>
      <c r="AR2336" s="347"/>
      <c r="AS2336" s="347"/>
    </row>
    <row r="2337" spans="2:49" ht="34.5" customHeight="1">
      <c r="B2337" s="351" t="str">
        <f>IF($C$1="ENG","Plinth 80 mm","Плінтус 80 мм")</f>
        <v>Плінтус 80 мм</v>
      </c>
      <c r="C2337" s="427"/>
      <c r="D2337" s="25">
        <f>IF(AC2337="","",(1-$W$2)*(AC2337/1.2))</f>
        <v>300</v>
      </c>
      <c r="E2337" s="98">
        <f>IF($W$5=0.2,D2337*1.2,D2337)/$W$4</f>
        <v>360</v>
      </c>
      <c r="F2337" s="138">
        <f>IF(AD2337="","",(1-$W$2)*(AD2337/1.2))</f>
        <v>358.33333333333337</v>
      </c>
      <c r="G2337" s="98">
        <f>IF($W$5=0.2,F2337*1.2,F2337)/$W$4</f>
        <v>430.00000000000006</v>
      </c>
      <c r="H2337" s="138">
        <f>IF(AE2337="","",(1-$W$2)*(AE2337/1.2))</f>
        <v>375</v>
      </c>
      <c r="I2337" s="98">
        <f>IF($W$5=0.2,H2337*1.2,H2337)/$W$4</f>
        <v>450</v>
      </c>
      <c r="J2337" s="138">
        <f>IF(AF2337="","",(1-$W$2)*(AF2337/1.2))</f>
        <v>425</v>
      </c>
      <c r="K2337" s="98">
        <f>IF($W$5=0.2,J2337*1.2,J2337)/$W$4</f>
        <v>510</v>
      </c>
      <c r="L2337" s="138">
        <f>IF(AG2337="","",(1-$W$2)*(AG2337/1.2))</f>
        <v>475</v>
      </c>
      <c r="M2337" s="98">
        <f>IF($W$5=0.2,L2337*1.2,L2337)/$W$4</f>
        <v>570</v>
      </c>
      <c r="AC2337" s="346">
        <v>360</v>
      </c>
      <c r="AD2337" s="346">
        <v>430</v>
      </c>
      <c r="AE2337" s="346">
        <v>450</v>
      </c>
      <c r="AF2337" s="346">
        <v>510</v>
      </c>
      <c r="AG2337" s="346">
        <v>570</v>
      </c>
      <c r="AH2337" s="301">
        <v>360</v>
      </c>
      <c r="AI2337" s="301">
        <f>AH2337/AC2337-1</f>
        <v>0</v>
      </c>
      <c r="AJ2337" s="301">
        <v>430</v>
      </c>
      <c r="AK2337" s="301">
        <f>AJ2337/AD2337-1</f>
        <v>0</v>
      </c>
      <c r="AL2337" s="301">
        <v>450</v>
      </c>
      <c r="AM2337" s="1">
        <f>AL2337/AE2337-1</f>
        <v>0</v>
      </c>
      <c r="AN2337" s="301">
        <v>510</v>
      </c>
      <c r="AO2337" s="1">
        <f>AN2337/AF2337-1</f>
        <v>0</v>
      </c>
      <c r="AP2337" s="301">
        <v>570</v>
      </c>
      <c r="AQ2337" s="1">
        <f>AP2337/AG2337-1</f>
        <v>0</v>
      </c>
      <c r="AR2337" s="347"/>
      <c r="AS2337" s="347"/>
    </row>
    <row r="2338" spans="2:49" ht="14.25" customHeight="1">
      <c r="C2338" s="26"/>
      <c r="D2338" s="26"/>
      <c r="E2338" s="26"/>
      <c r="F2338" s="26"/>
      <c r="G2338" s="26"/>
      <c r="H2338" s="5"/>
    </row>
    <row r="2339" spans="2:49">
      <c r="B2339" s="220" t="str">
        <f>IF($C$1="ENG","Orders for skirting plinths are accepted in quantities of 8 pcs.","Замовлення на Плінтус приймаються в кількості від 8 шт.")</f>
        <v>Замовлення на Плінтус приймаються в кількості від 8 шт.</v>
      </c>
      <c r="C2339" s="221"/>
      <c r="D2339" s="221"/>
      <c r="E2339" s="222"/>
      <c r="F2339" s="334"/>
      <c r="G2339" s="334"/>
      <c r="H2339" s="10"/>
      <c r="I2339" s="87"/>
      <c r="J2339" s="8"/>
      <c r="K2339" s="8"/>
      <c r="L2339" s="109"/>
      <c r="N2339" s="109"/>
      <c r="P2339" s="109"/>
      <c r="R2339" s="109"/>
      <c r="U2339" s="20"/>
      <c r="W2339" s="20"/>
    </row>
    <row r="2340" spans="2:49" ht="14.25" customHeight="1">
      <c r="B2340" s="1" t="s">
        <v>68</v>
      </c>
      <c r="C2340" s="26"/>
      <c r="D2340" s="26"/>
      <c r="E2340" s="26"/>
      <c r="F2340" s="26"/>
      <c r="G2340" s="26"/>
      <c r="H2340" s="5"/>
      <c r="T2340" s="465" t="str">
        <f>IF($C$1="ENG",CONCATENATE("down to: ",B2390),CONCATENATE("вниз до: ",B2390))</f>
        <v>вниз до: Фрамуги</v>
      </c>
      <c r="U2340" s="465"/>
      <c r="V2340" s="465"/>
      <c r="W2340" s="465"/>
      <c r="X2340" s="330"/>
      <c r="Y2340" s="330"/>
      <c r="Z2340" s="330"/>
      <c r="AA2340" s="330"/>
      <c r="AB2340" s="330"/>
    </row>
    <row r="2341" spans="2:49" ht="14.25" customHeight="1">
      <c r="C2341" s="26"/>
      <c r="D2341" s="26"/>
      <c r="E2341" s="26"/>
      <c r="F2341" s="26"/>
      <c r="G2341" s="26"/>
      <c r="H2341" s="5"/>
      <c r="U2341" s="331"/>
      <c r="V2341" s="331"/>
      <c r="W2341" s="331"/>
      <c r="X2341" s="331"/>
      <c r="Y2341" s="331"/>
      <c r="Z2341" s="331"/>
      <c r="AA2341" s="331"/>
      <c r="AB2341" s="331"/>
    </row>
    <row r="2342" spans="2:49" ht="14.25" customHeight="1">
      <c r="C2342" s="26"/>
      <c r="D2342" s="26"/>
      <c r="E2342" s="26"/>
      <c r="F2342" s="26"/>
      <c r="G2342" s="26"/>
      <c r="H2342" s="5"/>
    </row>
    <row r="2343" spans="2:49" ht="14.25" customHeight="1">
      <c r="C2343" s="26"/>
      <c r="D2343" s="26"/>
      <c r="E2343" s="26"/>
      <c r="F2343" s="26"/>
      <c r="G2343" s="26"/>
      <c r="H2343" s="5"/>
    </row>
    <row r="2344" spans="2:49" ht="14.25" customHeight="1">
      <c r="C2344" s="26"/>
      <c r="D2344" s="26"/>
      <c r="E2344" s="26"/>
      <c r="F2344" s="26"/>
      <c r="G2344" s="26"/>
      <c r="H2344" s="5"/>
    </row>
    <row r="2345" spans="2:49" ht="14.25" customHeight="1">
      <c r="C2345" s="26"/>
      <c r="D2345" s="26"/>
      <c r="E2345" s="26"/>
      <c r="F2345" s="26"/>
      <c r="G2345" s="26"/>
      <c r="H2345" s="5"/>
    </row>
    <row r="2346" spans="2:49" ht="14.25" customHeight="1">
      <c r="C2346" s="26"/>
      <c r="D2346" s="26"/>
      <c r="E2346" s="26"/>
      <c r="F2346" s="26"/>
      <c r="G2346" s="26"/>
      <c r="H2346" s="5"/>
    </row>
    <row r="2347" spans="2:49" ht="14.25" customHeight="1">
      <c r="C2347" s="26"/>
      <c r="D2347" s="26"/>
      <c r="E2347" s="26"/>
      <c r="F2347" s="26"/>
      <c r="G2347" s="26"/>
      <c r="H2347" s="5"/>
    </row>
    <row r="2348" spans="2:49" ht="14.25" customHeight="1">
      <c r="C2348" s="26"/>
      <c r="D2348" s="26"/>
      <c r="E2348" s="26"/>
      <c r="F2348" s="26"/>
      <c r="G2348" s="26"/>
      <c r="H2348" s="5"/>
    </row>
    <row r="2349" spans="2:49" ht="14.25" customHeight="1">
      <c r="C2349" s="26"/>
      <c r="D2349" s="26"/>
      <c r="E2349" s="26"/>
      <c r="F2349" s="26"/>
      <c r="G2349" s="26"/>
      <c r="H2349" s="5"/>
      <c r="AG2349" s="1">
        <f>W2349/100*13+W2349</f>
        <v>0</v>
      </c>
      <c r="AH2349" s="1" t="e">
        <f>AG2349/W2349-1</f>
        <v>#DIV/0!</v>
      </c>
      <c r="AI2349" s="1">
        <f>X2349/100*13+X2349</f>
        <v>0</v>
      </c>
      <c r="AJ2349" s="1" t="e">
        <f>AI2349/X2349-1</f>
        <v>#DIV/0!</v>
      </c>
      <c r="AK2349" s="1">
        <f>Y2349/100*13+Y2349</f>
        <v>0</v>
      </c>
      <c r="AL2349" s="1" t="e">
        <f>AK2349/Y2349-1</f>
        <v>#DIV/0!</v>
      </c>
      <c r="AM2349" s="1">
        <f>Z2349/100*13+Z2349</f>
        <v>0</v>
      </c>
      <c r="AN2349" s="30" t="e">
        <f>AM2349/Z2349-1</f>
        <v>#DIV/0!</v>
      </c>
      <c r="AO2349" s="30">
        <f>AA2349/100*13+AA2349</f>
        <v>0</v>
      </c>
      <c r="AP2349" s="30" t="e">
        <f>AO2349/AA2349-1</f>
        <v>#DIV/0!</v>
      </c>
      <c r="AQ2349" s="30">
        <f>AB2349/100*13+AB2349</f>
        <v>0</v>
      </c>
      <c r="AR2349" s="30" t="e">
        <f>AQ2349/AB2349-1</f>
        <v>#DIV/0!</v>
      </c>
      <c r="AS2349" s="30">
        <f>AC2349/100*13+AC2349</f>
        <v>0</v>
      </c>
      <c r="AT2349" s="30" t="e">
        <f>AS2349/AC2349-1</f>
        <v>#DIV/0!</v>
      </c>
      <c r="AU2349" s="1">
        <f>AD2349/100*13+AD2349</f>
        <v>0</v>
      </c>
      <c r="AV2349" s="1" t="e">
        <f>AU2349/AD2349-1</f>
        <v>#DIV/0!</v>
      </c>
      <c r="AW2349" s="1">
        <f>AE2349/100*13+AE2349</f>
        <v>0</v>
      </c>
    </row>
    <row r="2350" spans="2:49" ht="14.25" customHeight="1">
      <c r="C2350" s="26"/>
      <c r="D2350" s="26"/>
      <c r="E2350" s="26"/>
      <c r="F2350" s="26"/>
      <c r="G2350" s="26"/>
      <c r="H2350" s="5"/>
      <c r="AG2350" s="1">
        <f t="shared" ref="AG2350:AG2358" si="284">W2350/100*13+W2350</f>
        <v>0</v>
      </c>
      <c r="AH2350" s="1" t="e">
        <f t="shared" ref="AH2350:AH2358" si="285">AG2350/W2350-1</f>
        <v>#DIV/0!</v>
      </c>
      <c r="AI2350" s="1">
        <f t="shared" ref="AI2350:AI2358" si="286">X2350/100*13+X2350</f>
        <v>0</v>
      </c>
      <c r="AJ2350" s="1" t="e">
        <f t="shared" ref="AJ2350:AJ2358" si="287">AI2350/X2350-1</f>
        <v>#DIV/0!</v>
      </c>
      <c r="AK2350" s="1">
        <f t="shared" ref="AK2350:AK2358" si="288">Y2350/100*13+Y2350</f>
        <v>0</v>
      </c>
      <c r="AL2350" s="1" t="e">
        <f t="shared" ref="AL2350:AL2358" si="289">AK2350/Y2350-1</f>
        <v>#DIV/0!</v>
      </c>
      <c r="AM2350" s="1">
        <f t="shared" ref="AM2350:AM2358" si="290">Z2350/100*13+Z2350</f>
        <v>0</v>
      </c>
      <c r="AN2350" s="30" t="e">
        <f t="shared" ref="AN2350:AN2358" si="291">AM2350/Z2350-1</f>
        <v>#DIV/0!</v>
      </c>
      <c r="AO2350" s="30">
        <f t="shared" ref="AO2350:AO2358" si="292">AA2350/100*13+AA2350</f>
        <v>0</v>
      </c>
      <c r="AP2350" s="30" t="e">
        <f t="shared" ref="AP2350:AP2358" si="293">AO2350/AA2350-1</f>
        <v>#DIV/0!</v>
      </c>
      <c r="AQ2350" s="30">
        <f t="shared" ref="AQ2350:AQ2358" si="294">AB2350/100*13+AB2350</f>
        <v>0</v>
      </c>
      <c r="AR2350" s="30" t="e">
        <f t="shared" ref="AR2350:AR2358" si="295">AQ2350/AB2350-1</f>
        <v>#DIV/0!</v>
      </c>
      <c r="AS2350" s="30">
        <f t="shared" ref="AS2350:AS2358" si="296">AC2350/100*13+AC2350</f>
        <v>0</v>
      </c>
      <c r="AT2350" s="30" t="e">
        <f t="shared" ref="AT2350:AT2358" si="297">AS2350/AC2350-1</f>
        <v>#DIV/0!</v>
      </c>
      <c r="AU2350" s="1">
        <f t="shared" ref="AU2350:AU2358" si="298">AD2350/100*13+AD2350</f>
        <v>0</v>
      </c>
      <c r="AV2350" s="1" t="e">
        <f t="shared" ref="AV2350:AV2358" si="299">AU2350/AD2350-1</f>
        <v>#DIV/0!</v>
      </c>
      <c r="AW2350" s="1">
        <f t="shared" ref="AW2350:AW2358" si="300">AE2350/100*13+AE2350</f>
        <v>0</v>
      </c>
    </row>
    <row r="2351" spans="2:49" ht="14.25" customHeight="1">
      <c r="C2351" s="26"/>
      <c r="D2351" s="26"/>
      <c r="E2351" s="26"/>
      <c r="F2351" s="26"/>
      <c r="G2351" s="26"/>
      <c r="H2351" s="5"/>
      <c r="AG2351" s="1">
        <f t="shared" si="284"/>
        <v>0</v>
      </c>
      <c r="AH2351" s="1" t="e">
        <f t="shared" si="285"/>
        <v>#DIV/0!</v>
      </c>
      <c r="AI2351" s="1">
        <f t="shared" si="286"/>
        <v>0</v>
      </c>
      <c r="AJ2351" s="1" t="e">
        <f t="shared" si="287"/>
        <v>#DIV/0!</v>
      </c>
      <c r="AK2351" s="1">
        <f t="shared" si="288"/>
        <v>0</v>
      </c>
      <c r="AL2351" s="1" t="e">
        <f t="shared" si="289"/>
        <v>#DIV/0!</v>
      </c>
      <c r="AM2351" s="1">
        <f t="shared" si="290"/>
        <v>0</v>
      </c>
      <c r="AN2351" s="30" t="e">
        <f t="shared" si="291"/>
        <v>#DIV/0!</v>
      </c>
      <c r="AO2351" s="30">
        <f t="shared" si="292"/>
        <v>0</v>
      </c>
      <c r="AP2351" s="30" t="e">
        <f t="shared" si="293"/>
        <v>#DIV/0!</v>
      </c>
      <c r="AQ2351" s="30">
        <f t="shared" si="294"/>
        <v>0</v>
      </c>
      <c r="AR2351" s="30" t="e">
        <f t="shared" si="295"/>
        <v>#DIV/0!</v>
      </c>
      <c r="AS2351" s="30">
        <f t="shared" si="296"/>
        <v>0</v>
      </c>
      <c r="AT2351" s="30" t="e">
        <f t="shared" si="297"/>
        <v>#DIV/0!</v>
      </c>
      <c r="AU2351" s="1">
        <f t="shared" si="298"/>
        <v>0</v>
      </c>
      <c r="AV2351" s="1" t="e">
        <f t="shared" si="299"/>
        <v>#DIV/0!</v>
      </c>
      <c r="AW2351" s="1">
        <f t="shared" si="300"/>
        <v>0</v>
      </c>
    </row>
    <row r="2352" spans="2:49" ht="14.25" customHeight="1">
      <c r="C2352" s="26"/>
      <c r="D2352" s="26"/>
      <c r="E2352" s="26"/>
      <c r="F2352" s="26"/>
      <c r="G2352" s="26"/>
      <c r="H2352" s="5"/>
      <c r="AG2352" s="1">
        <f t="shared" si="284"/>
        <v>0</v>
      </c>
      <c r="AH2352" s="1" t="e">
        <f t="shared" si="285"/>
        <v>#DIV/0!</v>
      </c>
      <c r="AI2352" s="1">
        <f t="shared" si="286"/>
        <v>0</v>
      </c>
      <c r="AJ2352" s="1" t="e">
        <f t="shared" si="287"/>
        <v>#DIV/0!</v>
      </c>
      <c r="AK2352" s="1">
        <f t="shared" si="288"/>
        <v>0</v>
      </c>
      <c r="AL2352" s="1" t="e">
        <f t="shared" si="289"/>
        <v>#DIV/0!</v>
      </c>
      <c r="AM2352" s="1">
        <f t="shared" si="290"/>
        <v>0</v>
      </c>
      <c r="AN2352" s="30" t="e">
        <f t="shared" si="291"/>
        <v>#DIV/0!</v>
      </c>
      <c r="AO2352" s="30">
        <f t="shared" si="292"/>
        <v>0</v>
      </c>
      <c r="AP2352" s="30" t="e">
        <f t="shared" si="293"/>
        <v>#DIV/0!</v>
      </c>
      <c r="AQ2352" s="30">
        <f t="shared" si="294"/>
        <v>0</v>
      </c>
      <c r="AR2352" s="30" t="e">
        <f t="shared" si="295"/>
        <v>#DIV/0!</v>
      </c>
      <c r="AS2352" s="30">
        <f t="shared" si="296"/>
        <v>0</v>
      </c>
      <c r="AT2352" s="30" t="e">
        <f t="shared" si="297"/>
        <v>#DIV/0!</v>
      </c>
      <c r="AU2352" s="1">
        <f t="shared" si="298"/>
        <v>0</v>
      </c>
      <c r="AV2352" s="1" t="e">
        <f t="shared" si="299"/>
        <v>#DIV/0!</v>
      </c>
      <c r="AW2352" s="1">
        <f t="shared" si="300"/>
        <v>0</v>
      </c>
    </row>
    <row r="2353" spans="3:49" ht="14.25" customHeight="1">
      <c r="C2353" s="26"/>
      <c r="D2353" s="26"/>
      <c r="E2353" s="26"/>
      <c r="F2353" s="26"/>
      <c r="G2353" s="26"/>
      <c r="H2353" s="5"/>
      <c r="AG2353" s="1">
        <f t="shared" si="284"/>
        <v>0</v>
      </c>
      <c r="AH2353" s="1" t="e">
        <f t="shared" si="285"/>
        <v>#DIV/0!</v>
      </c>
      <c r="AI2353" s="1">
        <f t="shared" si="286"/>
        <v>0</v>
      </c>
      <c r="AJ2353" s="1" t="e">
        <f t="shared" si="287"/>
        <v>#DIV/0!</v>
      </c>
      <c r="AK2353" s="1">
        <f t="shared" si="288"/>
        <v>0</v>
      </c>
      <c r="AL2353" s="1" t="e">
        <f t="shared" si="289"/>
        <v>#DIV/0!</v>
      </c>
      <c r="AM2353" s="1">
        <f t="shared" si="290"/>
        <v>0</v>
      </c>
      <c r="AN2353" s="30" t="e">
        <f t="shared" si="291"/>
        <v>#DIV/0!</v>
      </c>
      <c r="AO2353" s="30">
        <f t="shared" si="292"/>
        <v>0</v>
      </c>
      <c r="AP2353" s="30" t="e">
        <f t="shared" si="293"/>
        <v>#DIV/0!</v>
      </c>
      <c r="AQ2353" s="30">
        <f t="shared" si="294"/>
        <v>0</v>
      </c>
      <c r="AR2353" s="30" t="e">
        <f t="shared" si="295"/>
        <v>#DIV/0!</v>
      </c>
      <c r="AS2353" s="30">
        <f t="shared" si="296"/>
        <v>0</v>
      </c>
      <c r="AT2353" s="30" t="e">
        <f t="shared" si="297"/>
        <v>#DIV/0!</v>
      </c>
      <c r="AU2353" s="1">
        <f t="shared" si="298"/>
        <v>0</v>
      </c>
      <c r="AV2353" s="1" t="e">
        <f t="shared" si="299"/>
        <v>#DIV/0!</v>
      </c>
      <c r="AW2353" s="1">
        <f t="shared" si="300"/>
        <v>0</v>
      </c>
    </row>
    <row r="2354" spans="3:49" ht="14.25" customHeight="1">
      <c r="C2354" s="26"/>
      <c r="D2354" s="26"/>
      <c r="E2354" s="26"/>
      <c r="F2354" s="26"/>
      <c r="G2354" s="26"/>
      <c r="H2354" s="5"/>
      <c r="AG2354" s="1">
        <f t="shared" si="284"/>
        <v>0</v>
      </c>
      <c r="AH2354" s="1" t="e">
        <f t="shared" si="285"/>
        <v>#DIV/0!</v>
      </c>
      <c r="AI2354" s="1">
        <f t="shared" si="286"/>
        <v>0</v>
      </c>
      <c r="AJ2354" s="1" t="e">
        <f t="shared" si="287"/>
        <v>#DIV/0!</v>
      </c>
      <c r="AK2354" s="1">
        <f t="shared" si="288"/>
        <v>0</v>
      </c>
      <c r="AL2354" s="1" t="e">
        <f t="shared" si="289"/>
        <v>#DIV/0!</v>
      </c>
      <c r="AM2354" s="1">
        <f t="shared" si="290"/>
        <v>0</v>
      </c>
      <c r="AN2354" s="30" t="e">
        <f t="shared" si="291"/>
        <v>#DIV/0!</v>
      </c>
      <c r="AO2354" s="30">
        <f t="shared" si="292"/>
        <v>0</v>
      </c>
      <c r="AP2354" s="30" t="e">
        <f t="shared" si="293"/>
        <v>#DIV/0!</v>
      </c>
      <c r="AQ2354" s="30">
        <f t="shared" si="294"/>
        <v>0</v>
      </c>
      <c r="AR2354" s="30" t="e">
        <f t="shared" si="295"/>
        <v>#DIV/0!</v>
      </c>
      <c r="AS2354" s="30">
        <f t="shared" si="296"/>
        <v>0</v>
      </c>
      <c r="AT2354" s="30" t="e">
        <f t="shared" si="297"/>
        <v>#DIV/0!</v>
      </c>
      <c r="AU2354" s="1">
        <f t="shared" si="298"/>
        <v>0</v>
      </c>
      <c r="AV2354" s="1" t="e">
        <f t="shared" si="299"/>
        <v>#DIV/0!</v>
      </c>
      <c r="AW2354" s="1">
        <f t="shared" si="300"/>
        <v>0</v>
      </c>
    </row>
    <row r="2355" spans="3:49" ht="14.25" customHeight="1">
      <c r="C2355" s="26"/>
      <c r="D2355" s="26"/>
      <c r="E2355" s="26"/>
      <c r="F2355" s="26"/>
      <c r="G2355" s="26"/>
      <c r="H2355" s="5"/>
      <c r="AG2355" s="1">
        <f t="shared" si="284"/>
        <v>0</v>
      </c>
      <c r="AH2355" s="1" t="e">
        <f t="shared" si="285"/>
        <v>#DIV/0!</v>
      </c>
      <c r="AI2355" s="1">
        <f t="shared" si="286"/>
        <v>0</v>
      </c>
      <c r="AJ2355" s="1" t="e">
        <f t="shared" si="287"/>
        <v>#DIV/0!</v>
      </c>
      <c r="AK2355" s="1">
        <f t="shared" si="288"/>
        <v>0</v>
      </c>
      <c r="AL2355" s="1" t="e">
        <f t="shared" si="289"/>
        <v>#DIV/0!</v>
      </c>
      <c r="AM2355" s="1">
        <f t="shared" si="290"/>
        <v>0</v>
      </c>
      <c r="AN2355" s="30" t="e">
        <f t="shared" si="291"/>
        <v>#DIV/0!</v>
      </c>
      <c r="AO2355" s="30">
        <f t="shared" si="292"/>
        <v>0</v>
      </c>
      <c r="AP2355" s="30" t="e">
        <f t="shared" si="293"/>
        <v>#DIV/0!</v>
      </c>
      <c r="AQ2355" s="30">
        <f t="shared" si="294"/>
        <v>0</v>
      </c>
      <c r="AR2355" s="30" t="e">
        <f t="shared" si="295"/>
        <v>#DIV/0!</v>
      </c>
      <c r="AS2355" s="30">
        <f t="shared" si="296"/>
        <v>0</v>
      </c>
      <c r="AT2355" s="30" t="e">
        <f t="shared" si="297"/>
        <v>#DIV/0!</v>
      </c>
      <c r="AU2355" s="1">
        <f t="shared" si="298"/>
        <v>0</v>
      </c>
      <c r="AV2355" s="1" t="e">
        <f t="shared" si="299"/>
        <v>#DIV/0!</v>
      </c>
      <c r="AW2355" s="1">
        <f t="shared" si="300"/>
        <v>0</v>
      </c>
    </row>
    <row r="2356" spans="3:49" ht="14.25" customHeight="1">
      <c r="C2356" s="26"/>
      <c r="D2356" s="26"/>
      <c r="E2356" s="26"/>
      <c r="F2356" s="26"/>
      <c r="G2356" s="26"/>
      <c r="H2356" s="5"/>
      <c r="AG2356" s="1">
        <f t="shared" si="284"/>
        <v>0</v>
      </c>
      <c r="AH2356" s="1" t="e">
        <f t="shared" si="285"/>
        <v>#DIV/0!</v>
      </c>
      <c r="AI2356" s="1">
        <f t="shared" si="286"/>
        <v>0</v>
      </c>
      <c r="AJ2356" s="1" t="e">
        <f t="shared" si="287"/>
        <v>#DIV/0!</v>
      </c>
      <c r="AK2356" s="1">
        <f t="shared" si="288"/>
        <v>0</v>
      </c>
      <c r="AL2356" s="1" t="e">
        <f t="shared" si="289"/>
        <v>#DIV/0!</v>
      </c>
      <c r="AM2356" s="1">
        <f t="shared" si="290"/>
        <v>0</v>
      </c>
      <c r="AN2356" s="30" t="e">
        <f t="shared" si="291"/>
        <v>#DIV/0!</v>
      </c>
      <c r="AO2356" s="30">
        <f t="shared" si="292"/>
        <v>0</v>
      </c>
      <c r="AP2356" s="30" t="e">
        <f t="shared" si="293"/>
        <v>#DIV/0!</v>
      </c>
      <c r="AQ2356" s="30">
        <f t="shared" si="294"/>
        <v>0</v>
      </c>
      <c r="AR2356" s="30" t="e">
        <f t="shared" si="295"/>
        <v>#DIV/0!</v>
      </c>
      <c r="AS2356" s="30">
        <f t="shared" si="296"/>
        <v>0</v>
      </c>
      <c r="AT2356" s="30" t="e">
        <f t="shared" si="297"/>
        <v>#DIV/0!</v>
      </c>
      <c r="AU2356" s="1">
        <f t="shared" si="298"/>
        <v>0</v>
      </c>
      <c r="AV2356" s="1" t="e">
        <f t="shared" si="299"/>
        <v>#DIV/0!</v>
      </c>
      <c r="AW2356" s="1">
        <f t="shared" si="300"/>
        <v>0</v>
      </c>
    </row>
    <row r="2357" spans="3:49" ht="14.25" customHeight="1">
      <c r="C2357" s="26"/>
      <c r="D2357" s="26"/>
      <c r="E2357" s="26"/>
      <c r="F2357" s="26"/>
      <c r="G2357" s="26"/>
      <c r="H2357" s="5"/>
      <c r="AG2357" s="1">
        <f t="shared" si="284"/>
        <v>0</v>
      </c>
      <c r="AH2357" s="1" t="e">
        <f t="shared" si="285"/>
        <v>#DIV/0!</v>
      </c>
      <c r="AI2357" s="1">
        <f t="shared" si="286"/>
        <v>0</v>
      </c>
      <c r="AJ2357" s="1" t="e">
        <f t="shared" si="287"/>
        <v>#DIV/0!</v>
      </c>
      <c r="AK2357" s="1">
        <f t="shared" si="288"/>
        <v>0</v>
      </c>
      <c r="AL2357" s="1" t="e">
        <f t="shared" si="289"/>
        <v>#DIV/0!</v>
      </c>
      <c r="AM2357" s="1">
        <f t="shared" si="290"/>
        <v>0</v>
      </c>
      <c r="AN2357" s="30" t="e">
        <f t="shared" si="291"/>
        <v>#DIV/0!</v>
      </c>
      <c r="AO2357" s="30">
        <f t="shared" si="292"/>
        <v>0</v>
      </c>
      <c r="AP2357" s="30" t="e">
        <f t="shared" si="293"/>
        <v>#DIV/0!</v>
      </c>
      <c r="AQ2357" s="30">
        <f t="shared" si="294"/>
        <v>0</v>
      </c>
      <c r="AR2357" s="30" t="e">
        <f t="shared" si="295"/>
        <v>#DIV/0!</v>
      </c>
      <c r="AS2357" s="30">
        <f t="shared" si="296"/>
        <v>0</v>
      </c>
      <c r="AT2357" s="30" t="e">
        <f t="shared" si="297"/>
        <v>#DIV/0!</v>
      </c>
      <c r="AU2357" s="1">
        <f t="shared" si="298"/>
        <v>0</v>
      </c>
      <c r="AV2357" s="1" t="e">
        <f t="shared" si="299"/>
        <v>#DIV/0!</v>
      </c>
      <c r="AW2357" s="1">
        <f t="shared" si="300"/>
        <v>0</v>
      </c>
    </row>
    <row r="2358" spans="3:49" ht="14.25" customHeight="1">
      <c r="C2358" s="26"/>
      <c r="D2358" s="26"/>
      <c r="E2358" s="26"/>
      <c r="F2358" s="26"/>
      <c r="G2358" s="26"/>
      <c r="H2358" s="5"/>
      <c r="AG2358" s="1">
        <f t="shared" si="284"/>
        <v>0</v>
      </c>
      <c r="AH2358" s="1" t="e">
        <f t="shared" si="285"/>
        <v>#DIV/0!</v>
      </c>
      <c r="AI2358" s="1">
        <f t="shared" si="286"/>
        <v>0</v>
      </c>
      <c r="AJ2358" s="1" t="e">
        <f t="shared" si="287"/>
        <v>#DIV/0!</v>
      </c>
      <c r="AK2358" s="1">
        <f t="shared" si="288"/>
        <v>0</v>
      </c>
      <c r="AL2358" s="1" t="e">
        <f t="shared" si="289"/>
        <v>#DIV/0!</v>
      </c>
      <c r="AM2358" s="1">
        <f t="shared" si="290"/>
        <v>0</v>
      </c>
      <c r="AN2358" s="30" t="e">
        <f t="shared" si="291"/>
        <v>#DIV/0!</v>
      </c>
      <c r="AO2358" s="30">
        <f t="shared" si="292"/>
        <v>0</v>
      </c>
      <c r="AP2358" s="30" t="e">
        <f t="shared" si="293"/>
        <v>#DIV/0!</v>
      </c>
      <c r="AQ2358" s="30">
        <f t="shared" si="294"/>
        <v>0</v>
      </c>
      <c r="AR2358" s="30" t="e">
        <f t="shared" si="295"/>
        <v>#DIV/0!</v>
      </c>
      <c r="AS2358" s="30">
        <f t="shared" si="296"/>
        <v>0</v>
      </c>
      <c r="AT2358" s="30" t="e">
        <f t="shared" si="297"/>
        <v>#DIV/0!</v>
      </c>
      <c r="AU2358" s="1">
        <f t="shared" si="298"/>
        <v>0</v>
      </c>
      <c r="AV2358" s="1" t="e">
        <f t="shared" si="299"/>
        <v>#DIV/0!</v>
      </c>
      <c r="AW2358" s="1">
        <f t="shared" si="300"/>
        <v>0</v>
      </c>
    </row>
    <row r="2359" spans="3:49" ht="14.25" customHeight="1">
      <c r="C2359" s="26"/>
      <c r="D2359" s="26"/>
      <c r="E2359" s="26"/>
      <c r="F2359" s="26"/>
      <c r="G2359" s="26"/>
      <c r="H2359" s="5"/>
    </row>
    <row r="2360" spans="3:49" ht="14.25" customHeight="1">
      <c r="C2360" s="26"/>
      <c r="D2360" s="26"/>
      <c r="E2360" s="26"/>
      <c r="F2360" s="26"/>
      <c r="G2360" s="26"/>
      <c r="H2360" s="5"/>
    </row>
    <row r="2361" spans="3:49" ht="14.25" customHeight="1">
      <c r="C2361" s="26"/>
      <c r="D2361" s="26"/>
      <c r="E2361" s="26"/>
      <c r="F2361" s="26"/>
      <c r="G2361" s="26"/>
      <c r="H2361" s="5"/>
    </row>
    <row r="2362" spans="3:49" ht="14.25" customHeight="1">
      <c r="C2362" s="26"/>
      <c r="D2362" s="26"/>
      <c r="E2362" s="26"/>
      <c r="F2362" s="26"/>
      <c r="G2362" s="26"/>
      <c r="H2362" s="5"/>
    </row>
    <row r="2363" spans="3:49" ht="14.25" customHeight="1">
      <c r="C2363" s="26"/>
      <c r="D2363" s="26"/>
      <c r="E2363" s="26"/>
      <c r="F2363" s="26"/>
      <c r="G2363" s="26"/>
      <c r="H2363" s="5"/>
    </row>
    <row r="2364" spans="3:49" ht="14.25" customHeight="1">
      <c r="C2364" s="26"/>
      <c r="D2364" s="26"/>
      <c r="E2364" s="26"/>
      <c r="F2364" s="26"/>
      <c r="G2364" s="26"/>
      <c r="H2364" s="5"/>
    </row>
    <row r="2365" spans="3:49" ht="14.25" customHeight="1">
      <c r="C2365" s="26"/>
      <c r="D2365" s="26"/>
      <c r="E2365" s="26"/>
      <c r="F2365" s="26"/>
      <c r="G2365" s="26"/>
      <c r="H2365" s="5"/>
    </row>
    <row r="2366" spans="3:49" ht="14.25" customHeight="1">
      <c r="C2366" s="26"/>
      <c r="D2366" s="26"/>
      <c r="E2366" s="26"/>
      <c r="F2366" s="26"/>
      <c r="G2366" s="26"/>
      <c r="H2366" s="5"/>
    </row>
    <row r="2367" spans="3:49" ht="14.25" customHeight="1">
      <c r="C2367" s="26"/>
      <c r="D2367" s="26"/>
      <c r="E2367" s="26"/>
      <c r="F2367" s="26"/>
      <c r="G2367" s="26"/>
      <c r="H2367" s="5"/>
    </row>
    <row r="2368" spans="3:49" ht="14.25" customHeight="1">
      <c r="C2368" s="26"/>
      <c r="D2368" s="26"/>
      <c r="E2368" s="26"/>
      <c r="F2368" s="26"/>
      <c r="G2368" s="26"/>
      <c r="H2368" s="5"/>
    </row>
    <row r="2369" spans="3:8" ht="14.25" customHeight="1">
      <c r="C2369" s="26"/>
      <c r="D2369" s="26"/>
      <c r="E2369" s="26"/>
      <c r="F2369" s="26"/>
      <c r="G2369" s="26"/>
      <c r="H2369" s="5"/>
    </row>
    <row r="2370" spans="3:8" ht="14.25" customHeight="1">
      <c r="C2370" s="26"/>
      <c r="D2370" s="26"/>
      <c r="E2370" s="26"/>
      <c r="F2370" s="26"/>
      <c r="G2370" s="26"/>
      <c r="H2370" s="5"/>
    </row>
    <row r="2371" spans="3:8" ht="14.25" customHeight="1">
      <c r="C2371" s="26"/>
      <c r="D2371" s="26"/>
      <c r="E2371" s="26"/>
      <c r="F2371" s="26"/>
      <c r="G2371" s="26"/>
      <c r="H2371" s="5"/>
    </row>
    <row r="2372" spans="3:8" ht="14.25" customHeight="1">
      <c r="C2372" s="26"/>
      <c r="D2372" s="26"/>
      <c r="E2372" s="26"/>
      <c r="F2372" s="26"/>
      <c r="G2372" s="26"/>
      <c r="H2372" s="5"/>
    </row>
    <row r="2373" spans="3:8" ht="14.25" customHeight="1">
      <c r="C2373" s="26"/>
      <c r="D2373" s="26"/>
      <c r="E2373" s="26"/>
      <c r="F2373" s="26"/>
      <c r="G2373" s="26"/>
      <c r="H2373" s="5"/>
    </row>
    <row r="2374" spans="3:8" ht="14.25" customHeight="1">
      <c r="C2374" s="26"/>
      <c r="D2374" s="26"/>
      <c r="E2374" s="26"/>
      <c r="F2374" s="26"/>
      <c r="G2374" s="26"/>
      <c r="H2374" s="5"/>
    </row>
    <row r="2375" spans="3:8" ht="14.25" customHeight="1">
      <c r="C2375" s="26"/>
      <c r="D2375" s="26"/>
      <c r="E2375" s="26"/>
      <c r="F2375" s="26"/>
      <c r="G2375" s="26"/>
      <c r="H2375" s="5"/>
    </row>
    <row r="2376" spans="3:8" ht="14.25" customHeight="1">
      <c r="C2376" s="26"/>
      <c r="D2376" s="26"/>
      <c r="E2376" s="26"/>
      <c r="F2376" s="26"/>
      <c r="G2376" s="26"/>
      <c r="H2376" s="5"/>
    </row>
    <row r="2377" spans="3:8" ht="14.25" customHeight="1">
      <c r="C2377" s="26"/>
      <c r="D2377" s="26"/>
      <c r="E2377" s="26"/>
      <c r="F2377" s="26"/>
      <c r="G2377" s="26"/>
      <c r="H2377" s="5"/>
    </row>
    <row r="2378" spans="3:8" ht="14.25" customHeight="1">
      <c r="C2378" s="26"/>
      <c r="D2378" s="26"/>
      <c r="E2378" s="26"/>
      <c r="F2378" s="26"/>
      <c r="G2378" s="26"/>
      <c r="H2378" s="5"/>
    </row>
    <row r="2379" spans="3:8" ht="14.25" customHeight="1">
      <c r="C2379" s="26"/>
      <c r="D2379" s="26"/>
      <c r="E2379" s="26"/>
      <c r="F2379" s="26"/>
      <c r="G2379" s="26"/>
      <c r="H2379" s="5"/>
    </row>
    <row r="2380" spans="3:8" ht="14.25" customHeight="1">
      <c r="C2380" s="26"/>
      <c r="D2380" s="26"/>
      <c r="E2380" s="26"/>
      <c r="F2380" s="26"/>
      <c r="G2380" s="26"/>
      <c r="H2380" s="5"/>
    </row>
    <row r="2381" spans="3:8" ht="14.25" customHeight="1">
      <c r="C2381" s="26"/>
      <c r="D2381" s="26"/>
      <c r="E2381" s="26"/>
      <c r="F2381" s="26"/>
      <c r="G2381" s="26"/>
      <c r="H2381" s="5"/>
    </row>
    <row r="2382" spans="3:8" ht="14.25" customHeight="1">
      <c r="C2382" s="26"/>
      <c r="D2382" s="26"/>
      <c r="E2382" s="26"/>
      <c r="F2382" s="26"/>
      <c r="G2382" s="26"/>
      <c r="H2382" s="5"/>
    </row>
    <row r="2383" spans="3:8" ht="14.25" customHeight="1">
      <c r="C2383" s="26"/>
      <c r="D2383" s="26"/>
      <c r="E2383" s="26"/>
      <c r="F2383" s="26"/>
      <c r="G2383" s="26"/>
      <c r="H2383" s="5"/>
    </row>
    <row r="2384" spans="3:8" ht="14.25" customHeight="1">
      <c r="C2384" s="26"/>
      <c r="D2384" s="26"/>
      <c r="E2384" s="26"/>
      <c r="F2384" s="26"/>
      <c r="G2384" s="26"/>
      <c r="H2384" s="5"/>
    </row>
    <row r="2385" spans="1:46" ht="14.25" customHeight="1">
      <c r="C2385" s="26"/>
      <c r="D2385" s="26"/>
      <c r="E2385" s="26"/>
      <c r="F2385" s="26"/>
      <c r="G2385" s="26"/>
      <c r="H2385" s="5"/>
    </row>
    <row r="2386" spans="1:46" ht="14.25" customHeight="1">
      <c r="C2386" s="26"/>
      <c r="D2386" s="26"/>
      <c r="E2386" s="26"/>
      <c r="F2386" s="26"/>
      <c r="G2386" s="26"/>
      <c r="H2386" s="5"/>
      <c r="AO2386" s="1">
        <v>850</v>
      </c>
    </row>
    <row r="2387" spans="1:46" ht="14.25" customHeight="1">
      <c r="C2387" s="26"/>
      <c r="D2387" s="26"/>
      <c r="E2387" s="26"/>
      <c r="F2387" s="26"/>
      <c r="G2387" s="26"/>
      <c r="H2387" s="5"/>
      <c r="T2387" s="306"/>
      <c r="U2387" s="306"/>
      <c r="V2387" s="306"/>
      <c r="W2387" s="306"/>
    </row>
    <row r="2388" spans="1:46" ht="14.25" customHeight="1">
      <c r="C2388" s="26"/>
      <c r="D2388" s="26"/>
      <c r="E2388" s="26"/>
      <c r="F2388" s="26"/>
      <c r="G2388" s="26"/>
      <c r="H2388" s="5"/>
      <c r="I2388" s="26"/>
      <c r="T2388" s="306"/>
      <c r="U2388" s="306"/>
      <c r="V2388" s="306"/>
      <c r="W2388" s="306"/>
    </row>
    <row r="2389" spans="1:46" ht="14.25" customHeight="1">
      <c r="C2389" s="26"/>
      <c r="D2389" s="26"/>
      <c r="E2389" s="26"/>
      <c r="F2389" s="26"/>
      <c r="G2389" s="26"/>
      <c r="H2389" s="5"/>
      <c r="T2389" s="306"/>
      <c r="U2389" s="306"/>
      <c r="V2389" s="306"/>
      <c r="W2389" s="306"/>
    </row>
    <row r="2390" spans="1:46" s="8" customFormat="1">
      <c r="B2390" s="428" t="str">
        <f>TITLE!$C$45</f>
        <v>Фрамуги</v>
      </c>
      <c r="C2390" s="421"/>
      <c r="D2390" s="122"/>
      <c r="E2390" s="122"/>
      <c r="F2390" s="122"/>
      <c r="G2390" s="122"/>
      <c r="H2390" s="445"/>
      <c r="I2390" s="445"/>
      <c r="J2390" s="125"/>
      <c r="K2390" s="125"/>
      <c r="L2390" s="125"/>
      <c r="M2390" s="125"/>
      <c r="N2390" s="125"/>
      <c r="O2390" s="125"/>
      <c r="P2390" s="125"/>
      <c r="Q2390" s="125"/>
      <c r="R2390" s="125"/>
      <c r="S2390" s="125"/>
      <c r="T2390" s="423" t="str">
        <f>IF($C$1="ENG",CONCATENATE("up to: ",B2332),CONCATENATE("вгору до: ",B2332))</f>
        <v>вгору до: Плінтуси</v>
      </c>
      <c r="U2390" s="423"/>
      <c r="V2390" s="423"/>
      <c r="W2390" s="423"/>
      <c r="AC2390" s="1"/>
      <c r="AD2390" s="1"/>
      <c r="AE2390" s="1"/>
      <c r="AF2390" s="1"/>
      <c r="AG2390" s="1"/>
      <c r="AI2390" s="1"/>
      <c r="AK2390" s="1"/>
      <c r="AN2390" s="291"/>
      <c r="AO2390" s="291"/>
      <c r="AP2390" s="291"/>
      <c r="AQ2390" s="291"/>
      <c r="AR2390" s="291"/>
      <c r="AS2390" s="291"/>
      <c r="AT2390" s="291"/>
    </row>
    <row r="2391" spans="1:46" s="8" customFormat="1" ht="5.0999999999999996" customHeight="1">
      <c r="L2391" s="48"/>
      <c r="M2391" s="48"/>
      <c r="N2391" s="48"/>
      <c r="O2391" s="48"/>
      <c r="P2391" s="48"/>
      <c r="Q2391" s="48"/>
      <c r="R2391" s="48"/>
      <c r="S2391" s="48"/>
      <c r="T2391" s="119"/>
      <c r="U2391" s="119"/>
      <c r="V2391" s="119"/>
      <c r="W2391" s="119"/>
      <c r="AC2391" s="1"/>
      <c r="AE2391" s="1"/>
      <c r="AG2391" s="1"/>
      <c r="AI2391" s="1"/>
      <c r="AK2391" s="1"/>
      <c r="AN2391" s="291"/>
      <c r="AO2391" s="291"/>
      <c r="AP2391" s="291"/>
      <c r="AQ2391" s="291"/>
      <c r="AR2391" s="291"/>
      <c r="AS2391" s="291"/>
      <c r="AT2391" s="291"/>
    </row>
    <row r="2392" spans="1:46" ht="24.75" customHeight="1">
      <c r="A2392" s="8"/>
      <c r="B2392" s="317" t="str">
        <f>IF($C$1="ENG","model","модель")</f>
        <v>модель</v>
      </c>
      <c r="C2392" s="126" t="str">
        <f>IF($C$1="ENG","cover:","покриття:")</f>
        <v>покриття:</v>
      </c>
      <c r="D2392" s="430" t="str">
        <f>IF($C$1="ENG","SIMPL / V-CELL ","SIMPL / V-CELL / V-C Plus")</f>
        <v>SIMPL / V-CELL / V-C Plus</v>
      </c>
      <c r="E2392" s="432"/>
      <c r="F2392" s="430" t="str">
        <f>IF($C$1="ENG","UNI-MAT","UNI-MAT")</f>
        <v>UNI-MAT</v>
      </c>
      <c r="G2392" s="432"/>
      <c r="H2392" s="430" t="str">
        <f>IF($C$1="ENG","RESIST","RESIST")</f>
        <v>RESIST</v>
      </c>
      <c r="I2392" s="432"/>
      <c r="J2392" s="430" t="str">
        <f>IF($C$1="ENG","Verto LINE-3D","Verto LINE-3D")</f>
        <v>Verto LINE-3D</v>
      </c>
      <c r="K2392" s="432"/>
      <c r="L2392" s="430" t="str">
        <f>IF($C$1="ENG","ECO Shpon / LOFT","ЕКО Шпон / LOFT")</f>
        <v>ЕКО Шпон / LOFT</v>
      </c>
      <c r="M2392" s="432"/>
      <c r="N2392" s="47"/>
      <c r="O2392" s="47"/>
      <c r="P2392" s="47"/>
      <c r="Q2392" s="47"/>
      <c r="R2392" s="47"/>
      <c r="S2392" s="47"/>
      <c r="AC2392" s="407">
        <v>0.1</v>
      </c>
    </row>
    <row r="2393" spans="1:46" ht="12.75" customHeight="1">
      <c r="A2393" s="8"/>
      <c r="B2393" s="318"/>
      <c r="C2393" s="128" t="str">
        <f>IF($C$1="ENG","type:","виконання:")</f>
        <v>виконання:</v>
      </c>
      <c r="D2393" s="424" t="str">
        <f>IF($C$1="ENG","for 1 meter","за 1 пг.м")</f>
        <v>за 1 пг.м</v>
      </c>
      <c r="E2393" s="434"/>
      <c r="F2393" s="424" t="str">
        <f>IF($C$1="ENG","for 1 meter","за 1 пг.м")</f>
        <v>за 1 пг.м</v>
      </c>
      <c r="G2393" s="434"/>
      <c r="H2393" s="424" t="str">
        <f>IF($C$1="ENG","for 1 meter","за 1 пг.м")</f>
        <v>за 1 пг.м</v>
      </c>
      <c r="I2393" s="434"/>
      <c r="J2393" s="424" t="str">
        <f>IF($C$1="ENG","for 1 meter","за 1 пг.м")</f>
        <v>за 1 пг.м</v>
      </c>
      <c r="K2393" s="434"/>
      <c r="L2393" s="424" t="str">
        <f>IF($C$1="ENG","for 1 meter","за 1 пг.м")</f>
        <v>за 1 пг.м</v>
      </c>
      <c r="M2393" s="434"/>
      <c r="N2393" s="47"/>
      <c r="O2393" s="47"/>
      <c r="P2393" s="47"/>
      <c r="Q2393" s="47"/>
      <c r="R2393" s="47"/>
      <c r="S2393" s="47"/>
      <c r="AN2393" s="30">
        <v>0.15</v>
      </c>
    </row>
    <row r="2394" spans="1:46" s="48" customFormat="1" ht="24.75" customHeight="1">
      <c r="B2394" s="55" t="str">
        <f>IF($C$1="ENG","TRANSOM STANDART","ФРАМУГА STANDART")</f>
        <v>ФРАМУГА STANDART</v>
      </c>
      <c r="C2394" s="56"/>
      <c r="D2394" s="28"/>
      <c r="E2394" s="29"/>
      <c r="F2394" s="28"/>
      <c r="G2394" s="29"/>
      <c r="H2394" s="29"/>
      <c r="I2394" s="29"/>
      <c r="J2394" s="29"/>
      <c r="K2394" s="29"/>
      <c r="L2394" s="29"/>
      <c r="M2394" s="29"/>
      <c r="N2394" s="29"/>
      <c r="O2394" s="29"/>
      <c r="P2394" s="28"/>
      <c r="Q2394" s="29"/>
      <c r="R2394" s="29"/>
      <c r="S2394" s="29"/>
      <c r="T2394" s="52"/>
      <c r="U2394" s="30"/>
      <c r="W2394" s="30"/>
      <c r="AN2394" s="57"/>
      <c r="AO2394" s="57"/>
      <c r="AP2394" s="57"/>
      <c r="AQ2394" s="57"/>
      <c r="AR2394" s="57"/>
      <c r="AS2394" s="57"/>
      <c r="AT2394" s="57"/>
    </row>
    <row r="2395" spans="1:46" ht="34.5" customHeight="1">
      <c r="A2395" s="8"/>
      <c r="B2395" s="288" t="str">
        <f>IF($C$1="ENG","Transom wood 80 mm","Фрамуга дерево 80 мм")</f>
        <v>Фрамуга дерево 80 мм</v>
      </c>
      <c r="C2395" s="54"/>
      <c r="D2395" s="51">
        <f>IF(AC2395="","",(1-$W$2)*(AC2395/1.2))</f>
        <v>625</v>
      </c>
      <c r="E2395" s="88">
        <f>IF($W$5=0.2,D2395*1.2,D2395)/$W$4</f>
        <v>750</v>
      </c>
      <c r="F2395" s="51">
        <f>IF(AD2395="","",(1-$W$2)*(AD2395/1.2))</f>
        <v>700</v>
      </c>
      <c r="G2395" s="88">
        <f>IF($W$5=0.2,F2395*1.2,F2395)/$W$4</f>
        <v>840</v>
      </c>
      <c r="H2395" s="51">
        <f>IF(AE2395="","",(1-$W$2)*(AE2395/1.2))</f>
        <v>733.33333333333337</v>
      </c>
      <c r="I2395" s="88">
        <f>IF($W$5=0.2,H2395*1.2,H2395)/$W$4</f>
        <v>880</v>
      </c>
      <c r="J2395" s="51">
        <f>IF(AF2395="","",(1-$W$2)*(AF2395/1.2))</f>
        <v>800</v>
      </c>
      <c r="K2395" s="88">
        <f>IF($W$5=0.2,J2395*1.2,J2395)/$W$4</f>
        <v>960</v>
      </c>
      <c r="L2395" s="51">
        <f>IF(AG2395="","",(1-$W$2)*(AG2395/1.2))</f>
        <v>883.33333333333337</v>
      </c>
      <c r="M2395" s="88">
        <f>IF($W$5=0.2,L2395*1.2,L2395)/$W$4</f>
        <v>1060</v>
      </c>
      <c r="N2395" s="109"/>
      <c r="O2395" s="110"/>
      <c r="P2395" s="28"/>
      <c r="Q2395" s="110"/>
      <c r="R2395" s="109"/>
      <c r="S2395" s="110"/>
      <c r="T2395" s="109"/>
      <c r="U2395" s="110"/>
      <c r="V2395" s="109"/>
      <c r="W2395" s="110"/>
      <c r="X2395" s="22"/>
      <c r="Y2395" s="22"/>
      <c r="Z2395" s="22"/>
      <c r="AA2395" s="22"/>
      <c r="AB2395" s="22"/>
      <c r="AC2395" s="346">
        <v>750</v>
      </c>
      <c r="AD2395" s="346">
        <v>840</v>
      </c>
      <c r="AE2395" s="346">
        <v>880</v>
      </c>
      <c r="AF2395" s="346">
        <v>960</v>
      </c>
      <c r="AG2395" s="346">
        <v>1060</v>
      </c>
      <c r="AH2395" s="1">
        <v>750</v>
      </c>
      <c r="AI2395" s="1">
        <f>AH2395/AC2395-1</f>
        <v>0</v>
      </c>
      <c r="AJ2395" s="1">
        <v>840</v>
      </c>
      <c r="AK2395" s="1">
        <f>AJ2395/AD2395-1</f>
        <v>0</v>
      </c>
      <c r="AL2395" s="1">
        <v>880</v>
      </c>
      <c r="AM2395" s="1">
        <f>AL2395/AE2395-1</f>
        <v>0</v>
      </c>
      <c r="AN2395" s="1">
        <v>960</v>
      </c>
      <c r="AO2395" s="1">
        <f>AN2395/AF2395-1</f>
        <v>0</v>
      </c>
      <c r="AP2395" s="1">
        <v>1060</v>
      </c>
      <c r="AQ2395" s="1">
        <f>AP2395/AG2395-1</f>
        <v>0</v>
      </c>
      <c r="AR2395" s="347"/>
      <c r="AS2395" s="347"/>
    </row>
    <row r="2396" spans="1:46" s="48" customFormat="1" ht="24.75" customHeight="1">
      <c r="B2396" s="55" t="str">
        <f>IF($C$1="ENG","TRANSOM VERTO-FIT","ФРАМУГА VERTO-FIT")</f>
        <v>ФРАМУГА VERTO-FIT</v>
      </c>
      <c r="C2396" s="56"/>
      <c r="D2396" s="28"/>
      <c r="E2396" s="62"/>
      <c r="F2396" s="28"/>
      <c r="G2396" s="62"/>
      <c r="H2396" s="28"/>
      <c r="I2396" s="29"/>
      <c r="J2396" s="158"/>
      <c r="K2396" s="159"/>
      <c r="L2396" s="158"/>
      <c r="M2396" s="159"/>
      <c r="N2396" s="28"/>
      <c r="O2396" s="29"/>
      <c r="P2396" s="28"/>
      <c r="Q2396" s="29"/>
      <c r="R2396" s="28"/>
      <c r="S2396" s="29"/>
      <c r="T2396" s="29"/>
      <c r="U2396" s="29"/>
      <c r="W2396" s="29"/>
      <c r="AN2396" s="57"/>
      <c r="AO2396" s="57"/>
      <c r="AP2396" s="57"/>
      <c r="AQ2396" s="57"/>
      <c r="AR2396" s="57"/>
      <c r="AS2396" s="57"/>
      <c r="AT2396" s="57"/>
    </row>
    <row r="2397" spans="1:46">
      <c r="A2397" s="8"/>
      <c r="B2397" s="13" t="str">
        <f>IF($C$1="ENG","A (75 - 95 mm)","A (75 - 95 мм)")</f>
        <v>A (75 - 95 мм)</v>
      </c>
      <c r="C2397" s="160"/>
      <c r="D2397" s="15">
        <f t="shared" ref="D2397:D2406" si="301">IF(AC2397="","",(1-$W$2)*(AC2397/1.2))</f>
        <v>816.66666666666674</v>
      </c>
      <c r="E2397" s="67">
        <f t="shared" ref="E2397:E2406" si="302">IF($W$5=0.2,D2397*1.2,D2397)/$W$4</f>
        <v>980</v>
      </c>
      <c r="F2397" s="15">
        <f t="shared" ref="F2397:F2406" si="303">IF(AD2397="","",(1-$W$2)*(AD2397/1.2))</f>
        <v>941.66666666666674</v>
      </c>
      <c r="G2397" s="67">
        <f t="shared" ref="G2397:G2406" si="304">IF($W$5=0.2,F2397*1.2,F2397)/$W$4</f>
        <v>1130</v>
      </c>
      <c r="H2397" s="15">
        <f t="shared" ref="H2397:H2406" si="305">IF(AE2397="","",(1-$W$2)*(AE2397/1.2))</f>
        <v>991.66666666666674</v>
      </c>
      <c r="I2397" s="67">
        <f t="shared" ref="I2397:I2406" si="306">IF($W$5=0.2,H2397*1.2,H2397)/$W$4</f>
        <v>1190</v>
      </c>
      <c r="J2397" s="15">
        <f t="shared" ref="J2397:J2406" si="307">IF(AF2397="","",(1-$W$2)*(AF2397/1.2))</f>
        <v>1050</v>
      </c>
      <c r="K2397" s="67">
        <f t="shared" ref="K2397:K2406" si="308">IF($W$5=0.2,J2397*1.2,J2397)/$W$4</f>
        <v>1260</v>
      </c>
      <c r="L2397" s="15">
        <f t="shared" ref="L2397:L2406" si="309">IF(AG2397="","",(1-$W$2)*(AG2397/1.2))</f>
        <v>1125</v>
      </c>
      <c r="M2397" s="67">
        <f t="shared" ref="M2397:M2406" si="310">IF($W$5=0.2,L2397*1.2,L2397)/$W$4</f>
        <v>1350</v>
      </c>
      <c r="N2397" s="109"/>
      <c r="O2397" s="110"/>
      <c r="P2397" s="28"/>
      <c r="Q2397" s="109"/>
      <c r="R2397" s="109"/>
      <c r="S2397" s="110"/>
      <c r="T2397" s="109"/>
      <c r="U2397" s="110"/>
      <c r="V2397" s="109"/>
      <c r="W2397" s="110"/>
      <c r="X2397" s="109"/>
      <c r="Y2397" s="109"/>
      <c r="Z2397" s="109"/>
      <c r="AA2397" s="109"/>
      <c r="AB2397" s="109"/>
      <c r="AC2397" s="346">
        <v>980</v>
      </c>
      <c r="AD2397" s="346">
        <v>1130</v>
      </c>
      <c r="AE2397" s="346">
        <v>1190</v>
      </c>
      <c r="AF2397" s="346">
        <v>1260</v>
      </c>
      <c r="AG2397" s="346">
        <v>1350</v>
      </c>
      <c r="AH2397" s="301">
        <v>980</v>
      </c>
      <c r="AI2397" s="301">
        <f>AH2397/AC2397-1</f>
        <v>0</v>
      </c>
      <c r="AJ2397" s="301">
        <v>1130</v>
      </c>
      <c r="AK2397" s="301">
        <f>AJ2397/AD2397-1</f>
        <v>0</v>
      </c>
      <c r="AL2397" s="301">
        <v>1190</v>
      </c>
      <c r="AM2397" s="1">
        <f>AL2397/AE2397-1</f>
        <v>0</v>
      </c>
      <c r="AN2397" s="30">
        <v>1260</v>
      </c>
      <c r="AO2397" s="1">
        <f>AN2397/AF2397-1</f>
        <v>0</v>
      </c>
      <c r="AP2397" s="1">
        <v>1350</v>
      </c>
      <c r="AQ2397" s="1">
        <f>AP2397/AG2397-1</f>
        <v>0</v>
      </c>
      <c r="AR2397" s="347"/>
      <c r="AS2397" s="347"/>
    </row>
    <row r="2398" spans="1:46">
      <c r="A2398" s="8"/>
      <c r="B2398" s="16" t="str">
        <f>IF($C$1="ENG","B (95 - 115 mm)","B (95 - 115 мм)")</f>
        <v>B (95 - 115 мм)</v>
      </c>
      <c r="C2398" s="161"/>
      <c r="D2398" s="18">
        <f t="shared" si="301"/>
        <v>883.33333333333337</v>
      </c>
      <c r="E2398" s="69">
        <f t="shared" si="302"/>
        <v>1060</v>
      </c>
      <c r="F2398" s="18">
        <f t="shared" si="303"/>
        <v>1016.6666666666667</v>
      </c>
      <c r="G2398" s="69">
        <f t="shared" si="304"/>
        <v>1220</v>
      </c>
      <c r="H2398" s="18">
        <f t="shared" si="305"/>
        <v>1091.6666666666667</v>
      </c>
      <c r="I2398" s="69">
        <f t="shared" si="306"/>
        <v>1310</v>
      </c>
      <c r="J2398" s="18">
        <f t="shared" si="307"/>
        <v>1141.6666666666667</v>
      </c>
      <c r="K2398" s="69">
        <f t="shared" si="308"/>
        <v>1370</v>
      </c>
      <c r="L2398" s="18">
        <f t="shared" si="309"/>
        <v>1233.3333333333335</v>
      </c>
      <c r="M2398" s="69">
        <f t="shared" si="310"/>
        <v>1480.0000000000002</v>
      </c>
      <c r="N2398" s="109"/>
      <c r="O2398" s="110"/>
      <c r="P2398" s="28"/>
      <c r="Q2398" s="109"/>
      <c r="R2398" s="109"/>
      <c r="S2398" s="110"/>
      <c r="T2398" s="109"/>
      <c r="U2398" s="110"/>
      <c r="V2398" s="109"/>
      <c r="W2398" s="110"/>
      <c r="X2398" s="109"/>
      <c r="Y2398" s="109"/>
      <c r="Z2398" s="109"/>
      <c r="AA2398" s="109"/>
      <c r="AB2398" s="109"/>
      <c r="AC2398" s="346">
        <v>1060</v>
      </c>
      <c r="AD2398" s="346">
        <v>1220</v>
      </c>
      <c r="AE2398" s="346">
        <v>1310</v>
      </c>
      <c r="AF2398" s="346">
        <v>1370</v>
      </c>
      <c r="AG2398" s="346">
        <v>1480</v>
      </c>
      <c r="AH2398" s="301">
        <v>1060</v>
      </c>
      <c r="AI2398" s="301">
        <f t="shared" ref="AI2398:AI2406" si="311">AH2398/AC2398-1</f>
        <v>0</v>
      </c>
      <c r="AJ2398" s="301">
        <v>1220</v>
      </c>
      <c r="AK2398" s="301">
        <f t="shared" ref="AK2398:AK2406" si="312">AJ2398/AD2398-1</f>
        <v>0</v>
      </c>
      <c r="AL2398" s="301">
        <v>1310</v>
      </c>
      <c r="AM2398" s="1">
        <f t="shared" ref="AM2398:AM2406" si="313">AL2398/AE2398-1</f>
        <v>0</v>
      </c>
      <c r="AN2398" s="30">
        <v>1370</v>
      </c>
      <c r="AO2398" s="1">
        <f t="shared" ref="AO2398:AO2406" si="314">AN2398/AF2398-1</f>
        <v>0</v>
      </c>
      <c r="AP2398" s="1">
        <v>1480</v>
      </c>
      <c r="AQ2398" s="1">
        <f t="shared" ref="AQ2398:AQ2406" si="315">AP2398/AG2398-1</f>
        <v>0</v>
      </c>
      <c r="AR2398" s="347"/>
    </row>
    <row r="2399" spans="1:46">
      <c r="A2399" s="8"/>
      <c r="B2399" s="16" t="str">
        <f>IF($C$1="ENG","B+ 100 - 120 mm)","B+ (100 - 120 мм)")</f>
        <v>B+ (100 - 120 мм)</v>
      </c>
      <c r="C2399" s="161"/>
      <c r="D2399" s="18">
        <f t="shared" si="301"/>
        <v>916.66666666666674</v>
      </c>
      <c r="E2399" s="69">
        <f t="shared" si="302"/>
        <v>1100</v>
      </c>
      <c r="F2399" s="18">
        <f t="shared" si="303"/>
        <v>1058.3333333333335</v>
      </c>
      <c r="G2399" s="69">
        <f t="shared" si="304"/>
        <v>1270.0000000000002</v>
      </c>
      <c r="H2399" s="18">
        <f t="shared" si="305"/>
        <v>1133.3333333333335</v>
      </c>
      <c r="I2399" s="69">
        <f t="shared" si="306"/>
        <v>1360.0000000000002</v>
      </c>
      <c r="J2399" s="18">
        <f t="shared" si="307"/>
        <v>1191.6666666666667</v>
      </c>
      <c r="K2399" s="69">
        <f t="shared" si="308"/>
        <v>1430</v>
      </c>
      <c r="L2399" s="18">
        <f t="shared" si="309"/>
        <v>1291.6666666666667</v>
      </c>
      <c r="M2399" s="69">
        <f t="shared" si="310"/>
        <v>1550</v>
      </c>
      <c r="N2399" s="109"/>
      <c r="O2399" s="110"/>
      <c r="P2399" s="28"/>
      <c r="Q2399" s="109"/>
      <c r="R2399" s="109"/>
      <c r="S2399" s="110"/>
      <c r="T2399" s="109"/>
      <c r="U2399" s="110"/>
      <c r="V2399" s="109"/>
      <c r="W2399" s="110"/>
      <c r="X2399" s="109"/>
      <c r="Y2399" s="109"/>
      <c r="Z2399" s="109"/>
      <c r="AA2399" s="109"/>
      <c r="AB2399" s="109"/>
      <c r="AC2399" s="346">
        <v>1100</v>
      </c>
      <c r="AD2399" s="346">
        <v>1270</v>
      </c>
      <c r="AE2399" s="346">
        <v>1360</v>
      </c>
      <c r="AF2399" s="346">
        <v>1430</v>
      </c>
      <c r="AG2399" s="346">
        <v>1550</v>
      </c>
      <c r="AH2399" s="301">
        <v>1100</v>
      </c>
      <c r="AI2399" s="301">
        <f t="shared" si="311"/>
        <v>0</v>
      </c>
      <c r="AJ2399" s="301">
        <v>1270</v>
      </c>
      <c r="AK2399" s="301">
        <f t="shared" si="312"/>
        <v>0</v>
      </c>
      <c r="AL2399" s="301">
        <v>1360</v>
      </c>
      <c r="AM2399" s="1">
        <f t="shared" si="313"/>
        <v>0</v>
      </c>
      <c r="AN2399" s="30">
        <v>1430</v>
      </c>
      <c r="AO2399" s="1">
        <f t="shared" si="314"/>
        <v>0</v>
      </c>
      <c r="AP2399" s="1">
        <v>1550</v>
      </c>
      <c r="AQ2399" s="1">
        <f t="shared" si="315"/>
        <v>0</v>
      </c>
      <c r="AR2399" s="347"/>
    </row>
    <row r="2400" spans="1:46">
      <c r="A2400" s="8"/>
      <c r="B2400" s="16" t="str">
        <f>IF($C$1="ENG","C (120 - 140 mm)","C (120 - 140 мм)")</f>
        <v>C (120 - 140 мм)</v>
      </c>
      <c r="C2400" s="161"/>
      <c r="D2400" s="18">
        <f t="shared" si="301"/>
        <v>958.33333333333337</v>
      </c>
      <c r="E2400" s="69">
        <f t="shared" si="302"/>
        <v>1150</v>
      </c>
      <c r="F2400" s="18">
        <f t="shared" si="303"/>
        <v>1100</v>
      </c>
      <c r="G2400" s="69">
        <f t="shared" si="304"/>
        <v>1320</v>
      </c>
      <c r="H2400" s="18">
        <f t="shared" si="305"/>
        <v>1175</v>
      </c>
      <c r="I2400" s="69">
        <f t="shared" si="306"/>
        <v>1410</v>
      </c>
      <c r="J2400" s="18">
        <f t="shared" si="307"/>
        <v>1241.6666666666667</v>
      </c>
      <c r="K2400" s="69">
        <f t="shared" si="308"/>
        <v>1490</v>
      </c>
      <c r="L2400" s="18">
        <f t="shared" si="309"/>
        <v>1325</v>
      </c>
      <c r="M2400" s="69">
        <f t="shared" si="310"/>
        <v>1590</v>
      </c>
      <c r="N2400" s="109"/>
      <c r="O2400" s="110"/>
      <c r="P2400" s="28"/>
      <c r="Q2400" s="109"/>
      <c r="R2400" s="109"/>
      <c r="S2400" s="110"/>
      <c r="T2400" s="109"/>
      <c r="U2400" s="110"/>
      <c r="V2400" s="109"/>
      <c r="W2400" s="110"/>
      <c r="X2400" s="109"/>
      <c r="Y2400" s="109"/>
      <c r="Z2400" s="109"/>
      <c r="AA2400" s="109"/>
      <c r="AB2400" s="109"/>
      <c r="AC2400" s="346">
        <v>1150</v>
      </c>
      <c r="AD2400" s="346">
        <v>1320</v>
      </c>
      <c r="AE2400" s="346">
        <v>1410</v>
      </c>
      <c r="AF2400" s="346">
        <v>1490</v>
      </c>
      <c r="AG2400" s="346">
        <v>1590</v>
      </c>
      <c r="AH2400" s="301">
        <v>1150</v>
      </c>
      <c r="AI2400" s="301">
        <f t="shared" si="311"/>
        <v>0</v>
      </c>
      <c r="AJ2400" s="301">
        <v>1320</v>
      </c>
      <c r="AK2400" s="301">
        <f t="shared" si="312"/>
        <v>0</v>
      </c>
      <c r="AL2400" s="301">
        <v>1410</v>
      </c>
      <c r="AM2400" s="1">
        <f t="shared" si="313"/>
        <v>0</v>
      </c>
      <c r="AN2400" s="30">
        <v>1490</v>
      </c>
      <c r="AO2400" s="1">
        <f t="shared" si="314"/>
        <v>0</v>
      </c>
      <c r="AP2400" s="1">
        <v>1590</v>
      </c>
      <c r="AQ2400" s="1">
        <f t="shared" si="315"/>
        <v>0</v>
      </c>
      <c r="AR2400" s="347"/>
    </row>
    <row r="2401" spans="1:44">
      <c r="A2401" s="8"/>
      <c r="B2401" s="16" t="str">
        <f>IF($C$1="ENG","D (140 - 160 mm)","D (140 - 160 мм)")</f>
        <v>D (140 - 160 мм)</v>
      </c>
      <c r="C2401" s="161"/>
      <c r="D2401" s="18">
        <f t="shared" si="301"/>
        <v>1025</v>
      </c>
      <c r="E2401" s="69">
        <f t="shared" si="302"/>
        <v>1230</v>
      </c>
      <c r="F2401" s="18">
        <f t="shared" si="303"/>
        <v>1175</v>
      </c>
      <c r="G2401" s="69">
        <f t="shared" si="304"/>
        <v>1410</v>
      </c>
      <c r="H2401" s="18">
        <f t="shared" si="305"/>
        <v>1275</v>
      </c>
      <c r="I2401" s="69">
        <f t="shared" si="306"/>
        <v>1530</v>
      </c>
      <c r="J2401" s="18">
        <f t="shared" si="307"/>
        <v>1341.6666666666667</v>
      </c>
      <c r="K2401" s="69">
        <f t="shared" si="308"/>
        <v>1610</v>
      </c>
      <c r="L2401" s="18">
        <f t="shared" si="309"/>
        <v>1441.6666666666667</v>
      </c>
      <c r="M2401" s="69">
        <f t="shared" si="310"/>
        <v>1730</v>
      </c>
      <c r="N2401" s="109"/>
      <c r="O2401" s="110"/>
      <c r="P2401" s="28"/>
      <c r="Q2401" s="109"/>
      <c r="R2401" s="109"/>
      <c r="S2401" s="110"/>
      <c r="T2401" s="109"/>
      <c r="U2401" s="110"/>
      <c r="V2401" s="109"/>
      <c r="W2401" s="110"/>
      <c r="X2401" s="109"/>
      <c r="Y2401" s="109"/>
      <c r="Z2401" s="109"/>
      <c r="AA2401" s="109"/>
      <c r="AB2401" s="109"/>
      <c r="AC2401" s="346">
        <v>1230</v>
      </c>
      <c r="AD2401" s="346">
        <v>1410</v>
      </c>
      <c r="AE2401" s="346">
        <v>1530</v>
      </c>
      <c r="AF2401" s="346">
        <v>1610</v>
      </c>
      <c r="AG2401" s="346">
        <v>1730</v>
      </c>
      <c r="AH2401" s="301">
        <v>1230</v>
      </c>
      <c r="AI2401" s="301">
        <f t="shared" si="311"/>
        <v>0</v>
      </c>
      <c r="AJ2401" s="301">
        <v>1410</v>
      </c>
      <c r="AK2401" s="301">
        <f t="shared" si="312"/>
        <v>0</v>
      </c>
      <c r="AL2401" s="301">
        <v>1530</v>
      </c>
      <c r="AM2401" s="1">
        <f t="shared" si="313"/>
        <v>0</v>
      </c>
      <c r="AN2401" s="30">
        <v>1610</v>
      </c>
      <c r="AO2401" s="1">
        <f t="shared" si="314"/>
        <v>0</v>
      </c>
      <c r="AP2401" s="1">
        <v>1730</v>
      </c>
      <c r="AQ2401" s="1">
        <f t="shared" si="315"/>
        <v>0</v>
      </c>
      <c r="AR2401" s="347"/>
    </row>
    <row r="2402" spans="1:44">
      <c r="A2402" s="8"/>
      <c r="B2402" s="16" t="str">
        <f>IF($C$1="ENG","E (160 - 180 mm)","E (160 - 180 мм)")</f>
        <v>E (160 - 180 мм)</v>
      </c>
      <c r="C2402" s="161"/>
      <c r="D2402" s="18">
        <f t="shared" si="301"/>
        <v>1100</v>
      </c>
      <c r="E2402" s="69">
        <f t="shared" si="302"/>
        <v>1320</v>
      </c>
      <c r="F2402" s="18">
        <f t="shared" si="303"/>
        <v>1275</v>
      </c>
      <c r="G2402" s="69">
        <f t="shared" si="304"/>
        <v>1530</v>
      </c>
      <c r="H2402" s="18">
        <f t="shared" si="305"/>
        <v>1375</v>
      </c>
      <c r="I2402" s="69">
        <f t="shared" si="306"/>
        <v>1650</v>
      </c>
      <c r="J2402" s="18">
        <f t="shared" si="307"/>
        <v>1433.3333333333335</v>
      </c>
      <c r="K2402" s="69">
        <f t="shared" si="308"/>
        <v>1720.0000000000002</v>
      </c>
      <c r="L2402" s="18">
        <f t="shared" si="309"/>
        <v>1541.6666666666667</v>
      </c>
      <c r="M2402" s="69">
        <f t="shared" si="310"/>
        <v>1850</v>
      </c>
      <c r="N2402" s="109"/>
      <c r="O2402" s="110"/>
      <c r="P2402" s="28"/>
      <c r="Q2402" s="109"/>
      <c r="R2402" s="109"/>
      <c r="S2402" s="110"/>
      <c r="T2402" s="109"/>
      <c r="U2402" s="110"/>
      <c r="V2402" s="109"/>
      <c r="W2402" s="110"/>
      <c r="X2402" s="109"/>
      <c r="Y2402" s="109"/>
      <c r="Z2402" s="109"/>
      <c r="AA2402" s="109"/>
      <c r="AB2402" s="109"/>
      <c r="AC2402" s="346">
        <v>1320</v>
      </c>
      <c r="AD2402" s="346">
        <v>1530</v>
      </c>
      <c r="AE2402" s="346">
        <v>1650</v>
      </c>
      <c r="AF2402" s="346">
        <v>1720</v>
      </c>
      <c r="AG2402" s="346">
        <v>1850</v>
      </c>
      <c r="AH2402" s="301">
        <v>1322</v>
      </c>
      <c r="AI2402" s="301">
        <f t="shared" si="311"/>
        <v>1.5151515151514694E-3</v>
      </c>
      <c r="AJ2402" s="301">
        <v>1530</v>
      </c>
      <c r="AK2402" s="301">
        <f t="shared" si="312"/>
        <v>0</v>
      </c>
      <c r="AL2402" s="301">
        <v>1650</v>
      </c>
      <c r="AM2402" s="1">
        <f t="shared" si="313"/>
        <v>0</v>
      </c>
      <c r="AN2402" s="30">
        <v>1720</v>
      </c>
      <c r="AO2402" s="1">
        <f t="shared" si="314"/>
        <v>0</v>
      </c>
      <c r="AP2402" s="1">
        <v>1850</v>
      </c>
      <c r="AQ2402" s="1">
        <f t="shared" si="315"/>
        <v>0</v>
      </c>
      <c r="AR2402" s="347"/>
    </row>
    <row r="2403" spans="1:44">
      <c r="A2403" s="8"/>
      <c r="B2403" s="16" t="str">
        <f>IF($C$1="ENG","F (180 - 200 mm)","F (180 - 200 мм)")</f>
        <v>F (180 - 200 мм)</v>
      </c>
      <c r="C2403" s="161"/>
      <c r="D2403" s="18">
        <f t="shared" si="301"/>
        <v>1166.6666666666667</v>
      </c>
      <c r="E2403" s="69">
        <f t="shared" si="302"/>
        <v>1400</v>
      </c>
      <c r="F2403" s="18">
        <f t="shared" si="303"/>
        <v>1358.3333333333335</v>
      </c>
      <c r="G2403" s="69">
        <f t="shared" si="304"/>
        <v>1630.0000000000002</v>
      </c>
      <c r="H2403" s="18">
        <f t="shared" si="305"/>
        <v>1458.3333333333335</v>
      </c>
      <c r="I2403" s="69">
        <f t="shared" si="306"/>
        <v>1750.0000000000002</v>
      </c>
      <c r="J2403" s="18">
        <f t="shared" si="307"/>
        <v>1525</v>
      </c>
      <c r="K2403" s="69">
        <f t="shared" si="308"/>
        <v>1830</v>
      </c>
      <c r="L2403" s="18">
        <f t="shared" si="309"/>
        <v>1650</v>
      </c>
      <c r="M2403" s="69">
        <f t="shared" si="310"/>
        <v>1980</v>
      </c>
      <c r="N2403" s="109"/>
      <c r="O2403" s="110"/>
      <c r="P2403" s="28"/>
      <c r="Q2403" s="109"/>
      <c r="R2403" s="109"/>
      <c r="S2403" s="110"/>
      <c r="T2403" s="109"/>
      <c r="U2403" s="110"/>
      <c r="V2403" s="109"/>
      <c r="W2403" s="110"/>
      <c r="X2403" s="109"/>
      <c r="Y2403" s="109"/>
      <c r="Z2403" s="109"/>
      <c r="AA2403" s="109"/>
      <c r="AB2403" s="109"/>
      <c r="AC2403" s="346">
        <v>1400</v>
      </c>
      <c r="AD2403" s="346">
        <v>1630</v>
      </c>
      <c r="AE2403" s="346">
        <v>1750</v>
      </c>
      <c r="AF2403" s="346">
        <v>1830</v>
      </c>
      <c r="AG2403" s="346">
        <v>1980</v>
      </c>
      <c r="AH2403" s="301">
        <v>1400</v>
      </c>
      <c r="AI2403" s="301">
        <f t="shared" si="311"/>
        <v>0</v>
      </c>
      <c r="AJ2403" s="301">
        <v>1630</v>
      </c>
      <c r="AK2403" s="301">
        <f t="shared" si="312"/>
        <v>0</v>
      </c>
      <c r="AL2403" s="301">
        <v>1750</v>
      </c>
      <c r="AM2403" s="1">
        <f t="shared" si="313"/>
        <v>0</v>
      </c>
      <c r="AN2403" s="30">
        <v>1830</v>
      </c>
      <c r="AO2403" s="1">
        <f t="shared" si="314"/>
        <v>0</v>
      </c>
      <c r="AP2403" s="1">
        <v>1980</v>
      </c>
      <c r="AQ2403" s="1">
        <f t="shared" si="315"/>
        <v>0</v>
      </c>
      <c r="AR2403" s="347"/>
    </row>
    <row r="2404" spans="1:44">
      <c r="A2404" s="8"/>
      <c r="B2404" s="16" t="str">
        <f>IF($C$1="ENG","G (200 - 220 mm)","G (200 - 220 мм)")</f>
        <v>G (200 - 220 мм)</v>
      </c>
      <c r="C2404" s="161"/>
      <c r="D2404" s="18">
        <f t="shared" si="301"/>
        <v>1241.6666666666667</v>
      </c>
      <c r="E2404" s="69">
        <f t="shared" si="302"/>
        <v>1490</v>
      </c>
      <c r="F2404" s="18">
        <f t="shared" si="303"/>
        <v>1433.3333333333335</v>
      </c>
      <c r="G2404" s="69">
        <f t="shared" si="304"/>
        <v>1720.0000000000002</v>
      </c>
      <c r="H2404" s="18">
        <f t="shared" si="305"/>
        <v>1566.6666666666667</v>
      </c>
      <c r="I2404" s="69">
        <f t="shared" si="306"/>
        <v>1880</v>
      </c>
      <c r="J2404" s="18">
        <f t="shared" si="307"/>
        <v>1616.6666666666667</v>
      </c>
      <c r="K2404" s="69">
        <f t="shared" si="308"/>
        <v>1940</v>
      </c>
      <c r="L2404" s="18">
        <f t="shared" si="309"/>
        <v>1750</v>
      </c>
      <c r="M2404" s="69">
        <f t="shared" si="310"/>
        <v>2100</v>
      </c>
      <c r="N2404" s="109"/>
      <c r="O2404" s="110"/>
      <c r="P2404" s="28"/>
      <c r="Q2404" s="109"/>
      <c r="R2404" s="109"/>
      <c r="S2404" s="110"/>
      <c r="T2404" s="109"/>
      <c r="U2404" s="110"/>
      <c r="V2404" s="109"/>
      <c r="W2404" s="110"/>
      <c r="X2404" s="109"/>
      <c r="Y2404" s="109"/>
      <c r="Z2404" s="109"/>
      <c r="AA2404" s="109"/>
      <c r="AB2404" s="109"/>
      <c r="AC2404" s="346">
        <v>1490</v>
      </c>
      <c r="AD2404" s="346">
        <v>1720</v>
      </c>
      <c r="AE2404" s="346">
        <v>1880</v>
      </c>
      <c r="AF2404" s="346">
        <v>1940</v>
      </c>
      <c r="AG2404" s="346">
        <v>2100</v>
      </c>
      <c r="AH2404" s="301">
        <v>1490</v>
      </c>
      <c r="AI2404" s="301">
        <f t="shared" si="311"/>
        <v>0</v>
      </c>
      <c r="AJ2404" s="301">
        <v>1720</v>
      </c>
      <c r="AK2404" s="301">
        <f t="shared" si="312"/>
        <v>0</v>
      </c>
      <c r="AL2404" s="301">
        <v>1880</v>
      </c>
      <c r="AM2404" s="1">
        <f t="shared" si="313"/>
        <v>0</v>
      </c>
      <c r="AN2404" s="30">
        <v>1940</v>
      </c>
      <c r="AO2404" s="1">
        <f t="shared" si="314"/>
        <v>0</v>
      </c>
      <c r="AP2404" s="1">
        <v>2100</v>
      </c>
      <c r="AQ2404" s="1">
        <f t="shared" si="315"/>
        <v>0</v>
      </c>
      <c r="AR2404" s="347"/>
    </row>
    <row r="2405" spans="1:44">
      <c r="A2405" s="8"/>
      <c r="B2405" s="16" t="str">
        <f>IF($C$1="ENG","H (220 - 240 mm)","H (220 - 240 мм)")</f>
        <v>H (220 - 240 мм)</v>
      </c>
      <c r="C2405" s="161"/>
      <c r="D2405" s="18">
        <f t="shared" si="301"/>
        <v>1308.3333333333335</v>
      </c>
      <c r="E2405" s="69">
        <f t="shared" si="302"/>
        <v>1570.0000000000002</v>
      </c>
      <c r="F2405" s="18">
        <f t="shared" si="303"/>
        <v>1508.3333333333335</v>
      </c>
      <c r="G2405" s="69">
        <f t="shared" si="304"/>
        <v>1810.0000000000002</v>
      </c>
      <c r="H2405" s="18">
        <f t="shared" si="305"/>
        <v>1650</v>
      </c>
      <c r="I2405" s="69">
        <f t="shared" si="306"/>
        <v>1980</v>
      </c>
      <c r="J2405" s="18">
        <f t="shared" si="307"/>
        <v>1716.6666666666667</v>
      </c>
      <c r="K2405" s="69">
        <f t="shared" si="308"/>
        <v>2060</v>
      </c>
      <c r="L2405" s="18">
        <f t="shared" si="309"/>
        <v>1866.6666666666667</v>
      </c>
      <c r="M2405" s="69">
        <f t="shared" si="310"/>
        <v>2240</v>
      </c>
      <c r="N2405" s="109"/>
      <c r="O2405" s="110"/>
      <c r="P2405" s="28"/>
      <c r="Q2405" s="109"/>
      <c r="R2405" s="109"/>
      <c r="S2405" s="110"/>
      <c r="T2405" s="109"/>
      <c r="U2405" s="110"/>
      <c r="V2405" s="109"/>
      <c r="W2405" s="110"/>
      <c r="X2405" s="109"/>
      <c r="Y2405" s="109"/>
      <c r="Z2405" s="109"/>
      <c r="AA2405" s="109"/>
      <c r="AB2405" s="109"/>
      <c r="AC2405" s="346">
        <v>1570</v>
      </c>
      <c r="AD2405" s="346">
        <v>1810</v>
      </c>
      <c r="AE2405" s="346">
        <v>1980</v>
      </c>
      <c r="AF2405" s="346">
        <v>2060</v>
      </c>
      <c r="AG2405" s="346">
        <v>2240</v>
      </c>
      <c r="AH2405" s="301">
        <v>1570</v>
      </c>
      <c r="AI2405" s="301">
        <f t="shared" si="311"/>
        <v>0</v>
      </c>
      <c r="AJ2405" s="301">
        <v>1810</v>
      </c>
      <c r="AK2405" s="301">
        <f t="shared" si="312"/>
        <v>0</v>
      </c>
      <c r="AL2405" s="301">
        <v>1980</v>
      </c>
      <c r="AM2405" s="1">
        <f t="shared" si="313"/>
        <v>0</v>
      </c>
      <c r="AN2405" s="30">
        <v>2060</v>
      </c>
      <c r="AO2405" s="1">
        <f t="shared" si="314"/>
        <v>0</v>
      </c>
      <c r="AP2405" s="1">
        <v>2240</v>
      </c>
      <c r="AQ2405" s="1">
        <f t="shared" si="315"/>
        <v>0</v>
      </c>
      <c r="AR2405" s="347"/>
    </row>
    <row r="2406" spans="1:44">
      <c r="A2406" s="8"/>
      <c r="B2406" s="23" t="str">
        <f>IF($C$1="ENG","I (240 - 260 mm)","I (240 - 260 мм)")</f>
        <v>I (240 - 260 мм)</v>
      </c>
      <c r="C2406" s="162"/>
      <c r="D2406" s="25">
        <f t="shared" si="301"/>
        <v>1383.3333333333335</v>
      </c>
      <c r="E2406" s="72">
        <f t="shared" si="302"/>
        <v>1660.0000000000002</v>
      </c>
      <c r="F2406" s="25">
        <f t="shared" si="303"/>
        <v>1591.6666666666667</v>
      </c>
      <c r="G2406" s="72">
        <f t="shared" si="304"/>
        <v>1910</v>
      </c>
      <c r="H2406" s="25">
        <f t="shared" si="305"/>
        <v>1741.6666666666667</v>
      </c>
      <c r="I2406" s="72">
        <f t="shared" si="306"/>
        <v>2090</v>
      </c>
      <c r="J2406" s="25">
        <f t="shared" si="307"/>
        <v>1808.3333333333335</v>
      </c>
      <c r="K2406" s="72">
        <f t="shared" si="308"/>
        <v>2170</v>
      </c>
      <c r="L2406" s="25">
        <f t="shared" si="309"/>
        <v>1967.5</v>
      </c>
      <c r="M2406" s="72">
        <f t="shared" si="310"/>
        <v>2361</v>
      </c>
      <c r="N2406" s="109"/>
      <c r="O2406" s="110"/>
      <c r="P2406" s="28"/>
      <c r="Q2406" s="109"/>
      <c r="R2406" s="109"/>
      <c r="S2406" s="110"/>
      <c r="T2406" s="109"/>
      <c r="U2406" s="110"/>
      <c r="V2406" s="109"/>
      <c r="W2406" s="110"/>
      <c r="X2406" s="109"/>
      <c r="Y2406" s="109"/>
      <c r="Z2406" s="109"/>
      <c r="AA2406" s="109"/>
      <c r="AB2406" s="109"/>
      <c r="AC2406" s="346">
        <v>1660</v>
      </c>
      <c r="AD2406" s="346">
        <v>1910</v>
      </c>
      <c r="AE2406" s="346">
        <v>2090</v>
      </c>
      <c r="AF2406" s="346">
        <v>2170</v>
      </c>
      <c r="AG2406" s="346">
        <v>2361</v>
      </c>
      <c r="AH2406" s="301">
        <v>1660</v>
      </c>
      <c r="AI2406" s="301">
        <f t="shared" si="311"/>
        <v>0</v>
      </c>
      <c r="AJ2406" s="301">
        <v>1910</v>
      </c>
      <c r="AK2406" s="301">
        <f t="shared" si="312"/>
        <v>0</v>
      </c>
      <c r="AL2406" s="301">
        <v>2090</v>
      </c>
      <c r="AM2406" s="1">
        <f t="shared" si="313"/>
        <v>0</v>
      </c>
      <c r="AN2406" s="30">
        <v>2170</v>
      </c>
      <c r="AO2406" s="1">
        <f t="shared" si="314"/>
        <v>0</v>
      </c>
      <c r="AP2406" s="1">
        <v>2361</v>
      </c>
      <c r="AQ2406" s="1">
        <f t="shared" si="315"/>
        <v>0</v>
      </c>
      <c r="AR2406" s="347"/>
    </row>
    <row r="2407" spans="1:44">
      <c r="C2407" s="26"/>
      <c r="D2407" s="26"/>
      <c r="E2407" s="60"/>
      <c r="F2407" s="26"/>
      <c r="G2407" s="60"/>
      <c r="H2407" s="63"/>
      <c r="I2407" s="48"/>
      <c r="J2407" s="48"/>
      <c r="K2407" s="48"/>
      <c r="L2407" s="48"/>
      <c r="M2407" s="48"/>
      <c r="N2407" s="48"/>
      <c r="O2407" s="48"/>
      <c r="P2407" s="48"/>
      <c r="Q2407" s="48"/>
      <c r="R2407" s="48"/>
      <c r="S2407" s="48"/>
    </row>
    <row r="2408" spans="1:44">
      <c r="B2408" s="220" t="str">
        <f>IF($C$1="ENG","For additonal charge:","Послуги за додаткову плату:")</f>
        <v>Послуги за додаткову плату:</v>
      </c>
      <c r="C2408" s="221"/>
      <c r="D2408" s="221"/>
      <c r="E2408" s="222"/>
      <c r="F2408" s="26"/>
      <c r="G2408" s="60"/>
      <c r="H2408" s="5"/>
      <c r="J2408" s="48"/>
      <c r="K2408" s="48"/>
      <c r="L2408" s="48"/>
      <c r="M2408" s="48"/>
      <c r="N2408" s="48"/>
      <c r="O2408" s="48"/>
      <c r="P2408" s="48"/>
      <c r="Q2408" s="48"/>
      <c r="R2408" s="48"/>
      <c r="S2408" s="48"/>
    </row>
    <row r="2409" spans="1:44" ht="5.0999999999999996" customHeight="1">
      <c r="B2409" s="27"/>
      <c r="C2409" s="26"/>
      <c r="D2409" s="26"/>
      <c r="E2409" s="60"/>
      <c r="F2409" s="26"/>
      <c r="G2409" s="60"/>
      <c r="H2409" s="5"/>
    </row>
    <row r="2410" spans="1:44">
      <c r="B2410" s="286" t="str">
        <f>IF($C$1="ENG","Glazing types:","Вид скління:")</f>
        <v>Вид скління:</v>
      </c>
      <c r="C2410" s="282" t="str">
        <f>IF($C$1="ENG","MDF","Фільонка")</f>
        <v>Фільонка</v>
      </c>
      <c r="D2410" s="105">
        <f t="shared" ref="D2410:D2416" si="316">IF(AC2410="","",(1-$W$2)*(AC2410/1.2))</f>
        <v>1016.6666666666667</v>
      </c>
      <c r="E2410" s="67">
        <f>IF($W$5=0.2,D2410*1.2,D2410)/$W$4</f>
        <v>1220</v>
      </c>
      <c r="F2410" s="26"/>
      <c r="G2410" s="60"/>
      <c r="H2410" s="262"/>
      <c r="L2410" s="109"/>
      <c r="M2410" s="110"/>
      <c r="N2410" s="109"/>
      <c r="O2410" s="110"/>
      <c r="P2410" s="109"/>
      <c r="Q2410" s="110"/>
      <c r="R2410" s="109"/>
      <c r="S2410" s="110"/>
      <c r="T2410" s="109"/>
      <c r="U2410" s="110"/>
      <c r="V2410" s="109"/>
      <c r="W2410" s="110"/>
      <c r="AC2410" s="301">
        <v>1220</v>
      </c>
      <c r="AD2410" s="301">
        <v>1220</v>
      </c>
      <c r="AE2410" s="301">
        <f>AD2410/AC2410-1</f>
        <v>0</v>
      </c>
      <c r="AF2410" s="301"/>
      <c r="AG2410" s="301"/>
      <c r="AH2410" s="301"/>
      <c r="AI2410" s="301"/>
      <c r="AJ2410" s="301"/>
      <c r="AK2410" s="301"/>
      <c r="AL2410" s="301"/>
    </row>
    <row r="2411" spans="1:44">
      <c r="B2411" s="284" t="str">
        <f>IF($C$1="ENG","price per 1 sq.m","Ціна за 1 кв.м")</f>
        <v>Ціна за 1 кв.м</v>
      </c>
      <c r="C2411" s="283" t="str">
        <f>IF($C$1="ENG","Krizet","Кризет")</f>
        <v>Кризет</v>
      </c>
      <c r="D2411" s="106">
        <f t="shared" si="316"/>
        <v>758.33333333333337</v>
      </c>
      <c r="E2411" s="69">
        <f t="shared" ref="E2411:E2417" si="317">IF($W$5=0.2,D2411*1.2,D2411)/$W$4</f>
        <v>910</v>
      </c>
      <c r="F2411" s="26"/>
      <c r="G2411" s="60"/>
      <c r="H2411" s="262"/>
      <c r="L2411" s="109"/>
      <c r="M2411" s="110"/>
      <c r="P2411" s="109"/>
      <c r="Q2411" s="110"/>
      <c r="AC2411" s="301">
        <v>910</v>
      </c>
      <c r="AD2411" s="301">
        <v>910</v>
      </c>
      <c r="AE2411" s="301">
        <f t="shared" ref="AE2411:AE2417" si="318">AD2411/AC2411-1</f>
        <v>0</v>
      </c>
      <c r="AF2411" s="301"/>
      <c r="AG2411" s="301"/>
      <c r="AH2411" s="301"/>
      <c r="AI2411" s="301"/>
      <c r="AJ2411" s="301"/>
      <c r="AK2411" s="301"/>
      <c r="AL2411" s="301"/>
    </row>
    <row r="2412" spans="1:44">
      <c r="B2412" s="287"/>
      <c r="C2412" s="283" t="str">
        <f>IF($C$1="ENG","Satin","Сатин")</f>
        <v>Сатин</v>
      </c>
      <c r="D2412" s="106">
        <f t="shared" si="316"/>
        <v>933.33333333333337</v>
      </c>
      <c r="E2412" s="69">
        <f t="shared" si="317"/>
        <v>1120</v>
      </c>
      <c r="F2412" s="26"/>
      <c r="G2412" s="26"/>
      <c r="H2412" s="262"/>
      <c r="L2412" s="109"/>
      <c r="M2412" s="110"/>
      <c r="P2412" s="109"/>
      <c r="Q2412" s="110"/>
      <c r="AC2412" s="301">
        <v>1120</v>
      </c>
      <c r="AD2412" s="301">
        <v>1120</v>
      </c>
      <c r="AE2412" s="301">
        <f t="shared" si="318"/>
        <v>0</v>
      </c>
      <c r="AF2412" s="301"/>
      <c r="AG2412" s="301"/>
      <c r="AH2412" s="301"/>
      <c r="AI2412" s="301"/>
      <c r="AJ2412" s="301"/>
      <c r="AK2412" s="301"/>
      <c r="AL2412" s="301"/>
    </row>
    <row r="2413" spans="1:44">
      <c r="B2413" s="284"/>
      <c r="C2413" s="283" t="str">
        <f>IF($C$1="ENG","Wave","Жалюзі")</f>
        <v>Жалюзі</v>
      </c>
      <c r="D2413" s="106">
        <f t="shared" si="316"/>
        <v>758.33333333333337</v>
      </c>
      <c r="E2413" s="69">
        <f t="shared" si="317"/>
        <v>910</v>
      </c>
      <c r="F2413" s="26"/>
      <c r="G2413" s="26"/>
      <c r="H2413" s="262"/>
      <c r="L2413" s="109"/>
      <c r="M2413" s="110"/>
      <c r="P2413" s="109"/>
      <c r="Q2413" s="110"/>
      <c r="AC2413" s="301">
        <v>910</v>
      </c>
      <c r="AD2413" s="301">
        <v>910</v>
      </c>
      <c r="AE2413" s="301">
        <f t="shared" si="318"/>
        <v>0</v>
      </c>
      <c r="AF2413" s="301"/>
      <c r="AG2413" s="301"/>
      <c r="AH2413" s="301"/>
      <c r="AI2413" s="301"/>
      <c r="AJ2413" s="301"/>
      <c r="AK2413" s="301"/>
      <c r="AL2413" s="301"/>
    </row>
    <row r="2414" spans="1:44">
      <c r="B2414" s="284"/>
      <c r="C2414" s="283" t="str">
        <f>IF($C$1="ENG","Graphite","Графіт")</f>
        <v>Графіт</v>
      </c>
      <c r="D2414" s="106">
        <f t="shared" si="316"/>
        <v>1275</v>
      </c>
      <c r="E2414" s="69">
        <f t="shared" si="317"/>
        <v>1530</v>
      </c>
      <c r="F2414" s="26"/>
      <c r="G2414" s="26"/>
      <c r="H2414" s="262"/>
      <c r="L2414" s="109"/>
      <c r="M2414" s="110"/>
      <c r="P2414" s="109"/>
      <c r="Q2414" s="110"/>
      <c r="AC2414" s="301">
        <v>1530</v>
      </c>
      <c r="AD2414" s="301">
        <v>1530</v>
      </c>
      <c r="AE2414" s="301">
        <f t="shared" si="318"/>
        <v>0</v>
      </c>
      <c r="AF2414" s="301"/>
      <c r="AG2414" s="301"/>
      <c r="AH2414" s="301"/>
      <c r="AI2414" s="301"/>
      <c r="AJ2414" s="301"/>
      <c r="AK2414" s="301"/>
      <c r="AL2414" s="301"/>
    </row>
    <row r="2415" spans="1:44">
      <c r="B2415" s="284"/>
      <c r="C2415" s="283" t="str">
        <f>IF($C$1="ENG","Bronze","Бронза")</f>
        <v>Бронза</v>
      </c>
      <c r="D2415" s="106">
        <f t="shared" si="316"/>
        <v>1275</v>
      </c>
      <c r="E2415" s="69">
        <f t="shared" si="317"/>
        <v>1530</v>
      </c>
      <c r="F2415" s="26"/>
      <c r="G2415" s="26"/>
      <c r="H2415" s="262"/>
      <c r="L2415" s="109"/>
      <c r="M2415" s="110"/>
      <c r="P2415" s="109"/>
      <c r="Q2415" s="110"/>
      <c r="AC2415" s="301">
        <v>1530</v>
      </c>
      <c r="AD2415" s="301">
        <v>1530</v>
      </c>
      <c r="AE2415" s="301">
        <f t="shared" si="318"/>
        <v>0</v>
      </c>
      <c r="AF2415" s="301"/>
      <c r="AG2415" s="301"/>
      <c r="AH2415" s="301"/>
      <c r="AI2415" s="301"/>
      <c r="AJ2415" s="301"/>
      <c r="AK2415" s="301"/>
      <c r="AL2415" s="301"/>
    </row>
    <row r="2416" spans="1:44">
      <c r="B2416" s="284"/>
      <c r="C2416" s="283" t="str">
        <f>IF($C$1="ENG","Drawing","Малюнок")</f>
        <v>Малюнок</v>
      </c>
      <c r="D2416" s="106">
        <f t="shared" si="316"/>
        <v>1133.3333333333335</v>
      </c>
      <c r="E2416" s="69">
        <f t="shared" si="317"/>
        <v>1360.0000000000002</v>
      </c>
      <c r="F2416" s="26"/>
      <c r="G2416" s="26"/>
      <c r="H2416" s="262"/>
      <c r="L2416" s="109"/>
      <c r="M2416" s="110"/>
      <c r="P2416" s="109"/>
      <c r="Q2416" s="110"/>
      <c r="AC2416" s="301">
        <v>1360</v>
      </c>
      <c r="AD2416" s="301">
        <v>1360</v>
      </c>
      <c r="AE2416" s="301">
        <f t="shared" si="318"/>
        <v>0</v>
      </c>
      <c r="AF2416" s="301"/>
      <c r="AG2416" s="301"/>
      <c r="AH2416" s="301"/>
      <c r="AI2416" s="301"/>
      <c r="AJ2416" s="301"/>
      <c r="AK2416" s="301"/>
      <c r="AL2416" s="301"/>
    </row>
    <row r="2417" spans="2:38">
      <c r="B2417" s="284"/>
      <c r="C2417" s="283" t="str">
        <f>IF($C$1="ENG","Mirror","Дзеркало")</f>
        <v>Дзеркало</v>
      </c>
      <c r="D2417" s="107">
        <f>IF(AC2417="","",(1-$W$2)*(AC2417/1.2))</f>
        <v>1366.6666666666667</v>
      </c>
      <c r="E2417" s="72">
        <f t="shared" si="317"/>
        <v>1640</v>
      </c>
      <c r="F2417" s="26"/>
      <c r="G2417" s="26"/>
      <c r="H2417" s="262"/>
      <c r="L2417" s="109"/>
      <c r="M2417" s="110"/>
      <c r="P2417" s="109"/>
      <c r="Q2417" s="110"/>
      <c r="AC2417" s="301">
        <v>1640</v>
      </c>
      <c r="AD2417" s="301">
        <v>1640</v>
      </c>
      <c r="AE2417" s="301">
        <f t="shared" si="318"/>
        <v>0</v>
      </c>
      <c r="AF2417" s="301"/>
      <c r="AG2417" s="301"/>
      <c r="AH2417" s="301"/>
      <c r="AI2417" s="301"/>
      <c r="AJ2417" s="301"/>
      <c r="AK2417" s="301"/>
      <c r="AL2417" s="301"/>
    </row>
    <row r="2418" spans="2:38" ht="14.25" customHeight="1">
      <c r="T2418" s="466" t="str">
        <f>IF($C$1="ENG",CONCATENATE("down to: ",B2468),CONCATENATE("вниз до: ",B2468))</f>
        <v>вниз до: Дверні Ручки</v>
      </c>
      <c r="U2418" s="466"/>
      <c r="V2418" s="466"/>
      <c r="W2418" s="466"/>
      <c r="AD2418" s="301" t="e">
        <f t="shared" ref="AD2411:AD2419" si="319">T2418/100*13+T2418</f>
        <v>#VALUE!</v>
      </c>
      <c r="AE2418" s="301" t="e">
        <f t="shared" ref="AE2411:AE2419" si="320">AD2418/T2418-1</f>
        <v>#VALUE!</v>
      </c>
    </row>
    <row r="2419" spans="2:38" ht="14.25" customHeight="1">
      <c r="C2419" s="26"/>
      <c r="D2419" s="26"/>
      <c r="E2419" s="60"/>
      <c r="F2419" s="26"/>
      <c r="G2419" s="26"/>
      <c r="H2419" s="5"/>
      <c r="AD2419" s="301">
        <f t="shared" si="319"/>
        <v>0</v>
      </c>
      <c r="AE2419" s="301" t="e">
        <f t="shared" si="320"/>
        <v>#DIV/0!</v>
      </c>
    </row>
    <row r="2420" spans="2:38" ht="14.25" customHeight="1">
      <c r="C2420" s="26"/>
      <c r="D2420" s="26"/>
      <c r="E2420" s="26"/>
      <c r="F2420" s="26"/>
      <c r="G2420" s="26"/>
      <c r="H2420" s="5"/>
    </row>
    <row r="2421" spans="2:38" ht="14.25" customHeight="1">
      <c r="C2421" s="26"/>
      <c r="D2421" s="26"/>
      <c r="E2421" s="26"/>
      <c r="F2421" s="26"/>
      <c r="G2421" s="26"/>
      <c r="H2421" s="5"/>
    </row>
    <row r="2422" spans="2:38" ht="14.25" customHeight="1">
      <c r="C2422" s="26"/>
      <c r="D2422" s="26"/>
      <c r="E2422" s="26"/>
      <c r="F2422" s="26"/>
      <c r="G2422" s="26"/>
      <c r="H2422" s="5"/>
    </row>
    <row r="2423" spans="2:38" ht="14.25" customHeight="1">
      <c r="C2423" s="26"/>
      <c r="D2423" s="26"/>
      <c r="E2423" s="26"/>
      <c r="F2423" s="26"/>
      <c r="G2423" s="26"/>
      <c r="H2423" s="5"/>
    </row>
    <row r="2424" spans="2:38" ht="14.25" customHeight="1">
      <c r="C2424" s="26"/>
      <c r="D2424" s="26"/>
      <c r="E2424" s="26"/>
      <c r="F2424" s="26"/>
      <c r="G2424" s="26"/>
      <c r="H2424" s="5"/>
    </row>
    <row r="2425" spans="2:38" ht="14.25" customHeight="1">
      <c r="C2425" s="26"/>
      <c r="D2425" s="26"/>
      <c r="E2425" s="26"/>
      <c r="F2425" s="26"/>
      <c r="G2425" s="26"/>
      <c r="H2425" s="5"/>
    </row>
    <row r="2426" spans="2:38" ht="14.25" customHeight="1">
      <c r="C2426" s="26"/>
      <c r="D2426" s="26"/>
      <c r="E2426" s="26"/>
      <c r="F2426" s="26"/>
      <c r="G2426" s="26"/>
      <c r="H2426" s="5"/>
    </row>
    <row r="2427" spans="2:38" ht="14.25" customHeight="1">
      <c r="C2427" s="26"/>
      <c r="D2427" s="26"/>
      <c r="E2427" s="26"/>
      <c r="F2427" s="26"/>
      <c r="G2427" s="26"/>
      <c r="H2427" s="5"/>
    </row>
    <row r="2428" spans="2:38" ht="14.25" customHeight="1">
      <c r="C2428" s="26"/>
      <c r="D2428" s="26"/>
      <c r="E2428" s="26"/>
      <c r="F2428" s="26"/>
      <c r="G2428" s="26"/>
      <c r="H2428" s="5"/>
    </row>
    <row r="2429" spans="2:38" ht="14.25" customHeight="1">
      <c r="C2429" s="26"/>
      <c r="D2429" s="26"/>
      <c r="E2429" s="26"/>
      <c r="F2429" s="26"/>
      <c r="G2429" s="26"/>
      <c r="H2429" s="5"/>
    </row>
    <row r="2430" spans="2:38" ht="14.25" customHeight="1">
      <c r="C2430" s="26"/>
      <c r="D2430" s="26"/>
      <c r="E2430" s="26"/>
      <c r="F2430" s="26"/>
      <c r="G2430" s="26"/>
      <c r="H2430" s="5"/>
    </row>
    <row r="2431" spans="2:38" ht="14.25" customHeight="1">
      <c r="C2431" s="26"/>
      <c r="D2431" s="26"/>
      <c r="E2431" s="26"/>
      <c r="F2431" s="26"/>
      <c r="G2431" s="26"/>
      <c r="H2431" s="5"/>
    </row>
    <row r="2432" spans="2:38" ht="14.25" customHeight="1">
      <c r="C2432" s="26"/>
      <c r="D2432" s="26"/>
      <c r="E2432" s="26"/>
      <c r="F2432" s="26"/>
      <c r="G2432" s="26"/>
      <c r="H2432" s="5"/>
    </row>
    <row r="2433" spans="3:8" ht="14.25" customHeight="1">
      <c r="C2433" s="26"/>
      <c r="D2433" s="26"/>
      <c r="E2433" s="26"/>
      <c r="F2433" s="26"/>
      <c r="G2433" s="26"/>
      <c r="H2433" s="5"/>
    </row>
    <row r="2434" spans="3:8" ht="14.25" customHeight="1">
      <c r="C2434" s="26"/>
      <c r="D2434" s="26"/>
      <c r="E2434" s="26"/>
      <c r="F2434" s="26"/>
      <c r="G2434" s="26"/>
      <c r="H2434" s="5"/>
    </row>
    <row r="2435" spans="3:8" ht="14.25" customHeight="1">
      <c r="C2435" s="26"/>
      <c r="D2435" s="26"/>
      <c r="E2435" s="26"/>
      <c r="F2435" s="26"/>
      <c r="G2435" s="26"/>
      <c r="H2435" s="5"/>
    </row>
    <row r="2436" spans="3:8" ht="14.25" customHeight="1">
      <c r="C2436" s="26"/>
      <c r="D2436" s="26"/>
      <c r="E2436" s="26"/>
      <c r="F2436" s="26"/>
      <c r="G2436" s="26"/>
      <c r="H2436" s="5"/>
    </row>
    <row r="2437" spans="3:8" ht="14.25" customHeight="1">
      <c r="C2437" s="26"/>
      <c r="D2437" s="26"/>
      <c r="E2437" s="26"/>
      <c r="F2437" s="26"/>
      <c r="G2437" s="26"/>
      <c r="H2437" s="5"/>
    </row>
    <row r="2438" spans="3:8" ht="14.25" customHeight="1">
      <c r="C2438" s="26"/>
      <c r="D2438" s="26"/>
      <c r="E2438" s="26"/>
      <c r="F2438" s="26"/>
      <c r="G2438" s="26"/>
      <c r="H2438" s="5"/>
    </row>
    <row r="2439" spans="3:8" ht="14.25" customHeight="1">
      <c r="C2439" s="26"/>
      <c r="D2439" s="26"/>
      <c r="E2439" s="26"/>
      <c r="F2439" s="26"/>
      <c r="G2439" s="26"/>
      <c r="H2439" s="5"/>
    </row>
    <row r="2440" spans="3:8" ht="14.25" customHeight="1">
      <c r="C2440" s="26"/>
      <c r="D2440" s="26"/>
      <c r="E2440" s="26"/>
      <c r="F2440" s="26"/>
      <c r="G2440" s="26"/>
      <c r="H2440" s="5"/>
    </row>
    <row r="2441" spans="3:8" ht="14.25" customHeight="1">
      <c r="C2441" s="26"/>
      <c r="D2441" s="26"/>
      <c r="E2441" s="26"/>
      <c r="F2441" s="26"/>
      <c r="G2441" s="26"/>
      <c r="H2441" s="5"/>
    </row>
    <row r="2442" spans="3:8" ht="14.25" customHeight="1">
      <c r="C2442" s="26"/>
      <c r="D2442" s="26"/>
      <c r="E2442" s="26"/>
      <c r="F2442" s="26"/>
      <c r="G2442" s="26"/>
      <c r="H2442" s="5"/>
    </row>
    <row r="2443" spans="3:8" ht="14.25" customHeight="1">
      <c r="C2443" s="26"/>
      <c r="D2443" s="26"/>
      <c r="E2443" s="26"/>
      <c r="F2443" s="26"/>
      <c r="G2443" s="26"/>
      <c r="H2443" s="5"/>
    </row>
    <row r="2444" spans="3:8" ht="14.25" customHeight="1">
      <c r="C2444" s="26"/>
      <c r="D2444" s="26"/>
      <c r="E2444" s="26"/>
      <c r="F2444" s="26"/>
      <c r="G2444" s="26"/>
      <c r="H2444" s="5"/>
    </row>
    <row r="2445" spans="3:8" ht="14.25" customHeight="1">
      <c r="C2445" s="26"/>
      <c r="D2445" s="26"/>
      <c r="E2445" s="26"/>
      <c r="F2445" s="26"/>
      <c r="G2445" s="26"/>
      <c r="H2445" s="5"/>
    </row>
    <row r="2446" spans="3:8" ht="14.25" customHeight="1">
      <c r="C2446" s="26"/>
      <c r="D2446" s="26"/>
      <c r="E2446" s="26"/>
      <c r="F2446" s="26"/>
      <c r="G2446" s="26"/>
      <c r="H2446" s="5"/>
    </row>
    <row r="2447" spans="3:8" ht="14.25" customHeight="1">
      <c r="C2447" s="26"/>
      <c r="D2447" s="26"/>
      <c r="E2447" s="26"/>
      <c r="F2447" s="26"/>
      <c r="G2447" s="26"/>
      <c r="H2447" s="5"/>
    </row>
    <row r="2448" spans="3:8" ht="14.25" customHeight="1">
      <c r="C2448" s="26"/>
      <c r="D2448" s="26"/>
      <c r="E2448" s="26"/>
      <c r="F2448" s="26"/>
      <c r="G2448" s="26"/>
      <c r="H2448" s="5"/>
    </row>
    <row r="2449" spans="3:8" ht="14.25" customHeight="1">
      <c r="C2449" s="26"/>
      <c r="D2449" s="26"/>
      <c r="E2449" s="26"/>
      <c r="F2449" s="26"/>
      <c r="G2449" s="26"/>
      <c r="H2449" s="5"/>
    </row>
    <row r="2450" spans="3:8" ht="14.25" customHeight="1">
      <c r="C2450" s="26"/>
      <c r="D2450" s="26"/>
      <c r="E2450" s="26"/>
      <c r="F2450" s="26"/>
      <c r="G2450" s="26"/>
      <c r="H2450" s="5"/>
    </row>
    <row r="2451" spans="3:8" ht="14.25" customHeight="1">
      <c r="C2451" s="26"/>
      <c r="D2451" s="26"/>
      <c r="E2451" s="26"/>
      <c r="F2451" s="26"/>
      <c r="G2451" s="26"/>
      <c r="H2451" s="5"/>
    </row>
    <row r="2452" spans="3:8" ht="14.25" customHeight="1">
      <c r="C2452" s="26"/>
      <c r="D2452" s="26"/>
      <c r="E2452" s="26"/>
      <c r="F2452" s="26"/>
      <c r="G2452" s="26"/>
      <c r="H2452" s="5"/>
    </row>
    <row r="2453" spans="3:8" ht="14.25" customHeight="1">
      <c r="C2453" s="26"/>
      <c r="D2453" s="26"/>
      <c r="E2453" s="26"/>
      <c r="F2453" s="26"/>
      <c r="G2453" s="26"/>
      <c r="H2453" s="5"/>
    </row>
    <row r="2454" spans="3:8" ht="14.25" customHeight="1">
      <c r="C2454" s="26"/>
      <c r="D2454" s="26"/>
      <c r="E2454" s="26"/>
      <c r="F2454" s="26"/>
      <c r="G2454" s="26"/>
      <c r="H2454" s="5"/>
    </row>
    <row r="2455" spans="3:8" ht="14.25" customHeight="1">
      <c r="C2455" s="26"/>
      <c r="D2455" s="26"/>
      <c r="E2455" s="26"/>
      <c r="F2455" s="26"/>
      <c r="G2455" s="26"/>
      <c r="H2455" s="5"/>
    </row>
    <row r="2456" spans="3:8" ht="14.25" customHeight="1">
      <c r="C2456" s="26"/>
      <c r="D2456" s="26"/>
      <c r="E2456" s="26"/>
      <c r="F2456" s="26"/>
      <c r="G2456" s="26"/>
      <c r="H2456" s="5"/>
    </row>
    <row r="2457" spans="3:8" ht="14.25" customHeight="1">
      <c r="C2457" s="26"/>
      <c r="D2457" s="26"/>
      <c r="E2457" s="26"/>
      <c r="F2457" s="26"/>
      <c r="G2457" s="26"/>
      <c r="H2457" s="5"/>
    </row>
    <row r="2458" spans="3:8" ht="14.25" customHeight="1">
      <c r="C2458" s="26"/>
      <c r="D2458" s="26"/>
      <c r="E2458" s="26"/>
      <c r="F2458" s="26"/>
      <c r="G2458" s="26"/>
      <c r="H2458" s="5"/>
    </row>
    <row r="2459" spans="3:8" ht="14.25" customHeight="1">
      <c r="C2459" s="26"/>
      <c r="D2459" s="26"/>
      <c r="E2459" s="26"/>
      <c r="F2459" s="26"/>
      <c r="G2459" s="26"/>
      <c r="H2459" s="5"/>
    </row>
    <row r="2460" spans="3:8" ht="14.25" customHeight="1">
      <c r="C2460" s="26"/>
      <c r="D2460" s="26"/>
      <c r="E2460" s="26"/>
      <c r="F2460" s="26"/>
      <c r="G2460" s="26"/>
      <c r="H2460" s="5"/>
    </row>
    <row r="2461" spans="3:8" ht="14.25" customHeight="1">
      <c r="C2461" s="26"/>
      <c r="D2461" s="26"/>
      <c r="E2461" s="26"/>
      <c r="F2461" s="26"/>
      <c r="G2461" s="26"/>
      <c r="H2461" s="5"/>
    </row>
    <row r="2462" spans="3:8" ht="14.25" customHeight="1">
      <c r="C2462" s="26"/>
      <c r="D2462" s="26"/>
      <c r="E2462" s="26"/>
      <c r="F2462" s="26"/>
      <c r="G2462" s="26"/>
      <c r="H2462" s="5"/>
    </row>
    <row r="2463" spans="3:8" ht="14.25" customHeight="1">
      <c r="C2463" s="26"/>
      <c r="D2463" s="26"/>
      <c r="E2463" s="26"/>
      <c r="F2463" s="26"/>
      <c r="G2463" s="26"/>
      <c r="H2463" s="5"/>
    </row>
    <row r="2464" spans="3:8" ht="14.25" customHeight="1">
      <c r="C2464" s="26"/>
      <c r="D2464" s="26"/>
      <c r="E2464" s="26"/>
      <c r="F2464" s="26"/>
      <c r="G2464" s="26"/>
      <c r="H2464" s="5"/>
    </row>
    <row r="2465" spans="1:46" ht="14.25" customHeight="1">
      <c r="C2465" s="26"/>
      <c r="D2465" s="26"/>
      <c r="E2465" s="26"/>
      <c r="F2465" s="26"/>
      <c r="G2465" s="26"/>
      <c r="H2465" s="5"/>
    </row>
    <row r="2466" spans="1:46" ht="14.25" customHeight="1">
      <c r="C2466" s="26"/>
      <c r="D2466" s="26"/>
      <c r="E2466" s="26"/>
      <c r="F2466" s="26"/>
      <c r="G2466" s="26"/>
      <c r="H2466" s="5"/>
    </row>
    <row r="2467" spans="1:46" ht="14.25" customHeight="1">
      <c r="C2467" s="26"/>
      <c r="D2467" s="26"/>
      <c r="E2467" s="26"/>
      <c r="F2467" s="26"/>
      <c r="G2467" s="26"/>
      <c r="H2467" s="5"/>
    </row>
    <row r="2468" spans="1:46" s="8" customFormat="1" ht="14.25" customHeight="1">
      <c r="B2468" s="428" t="str">
        <f>TITLE!C48</f>
        <v>Дверні Ручки</v>
      </c>
      <c r="C2468" s="421"/>
      <c r="D2468" s="122"/>
      <c r="E2468" s="122"/>
      <c r="F2468" s="122"/>
      <c r="G2468" s="122"/>
      <c r="H2468" s="122"/>
      <c r="I2468" s="125"/>
      <c r="J2468" s="125"/>
      <c r="K2468" s="125"/>
      <c r="L2468" s="125"/>
      <c r="M2468" s="125"/>
      <c r="N2468" s="125"/>
      <c r="O2468" s="125"/>
      <c r="P2468" s="125"/>
      <c r="Q2468" s="125"/>
      <c r="R2468" s="125"/>
      <c r="S2468" s="125"/>
      <c r="T2468" s="423" t="str">
        <f>IF($C$1="ENG",CONCATENATE("up to: ",B2390),CONCATENATE("вгору до: ",B2390))</f>
        <v>вгору до: Фрамуги</v>
      </c>
      <c r="U2468" s="423"/>
      <c r="V2468" s="423"/>
      <c r="W2468" s="423"/>
      <c r="AC2468" s="1"/>
      <c r="AN2468" s="291"/>
      <c r="AO2468" s="291"/>
      <c r="AP2468" s="291"/>
      <c r="AQ2468" s="291"/>
      <c r="AR2468" s="291"/>
      <c r="AS2468" s="291"/>
      <c r="AT2468" s="291"/>
    </row>
    <row r="2469" spans="1:46" s="8" customFormat="1" ht="5.0999999999999996" customHeight="1">
      <c r="L2469" s="48"/>
      <c r="M2469" s="48"/>
      <c r="N2469" s="48"/>
      <c r="O2469" s="48"/>
      <c r="P2469" s="48"/>
      <c r="Q2469" s="48"/>
      <c r="R2469" s="48"/>
      <c r="S2469" s="48"/>
      <c r="T2469" s="119"/>
      <c r="U2469" s="119"/>
      <c r="V2469" s="119"/>
      <c r="W2469" s="119"/>
      <c r="AN2469" s="291"/>
      <c r="AO2469" s="291"/>
      <c r="AP2469" s="291"/>
      <c r="AQ2469" s="291"/>
      <c r="AR2469" s="291"/>
      <c r="AS2469" s="291"/>
      <c r="AT2469" s="291"/>
    </row>
    <row r="2470" spans="1:46" ht="33.75" customHeight="1">
      <c r="A2470" s="8"/>
      <c r="B2470" s="64" t="str">
        <f>IF($C$1="ENG","model","модель")</f>
        <v>модель</v>
      </c>
      <c r="C2470" s="12"/>
      <c r="D2470" s="443" t="str">
        <f>IF($C$1="ENG","cat. options","див. каталог")</f>
        <v>див. каталог</v>
      </c>
      <c r="E2470" s="444"/>
      <c r="J2470" s="48"/>
      <c r="K2470" s="48"/>
      <c r="L2470" s="47"/>
      <c r="M2470" s="47"/>
      <c r="N2470" s="47"/>
      <c r="O2470" s="47"/>
      <c r="P2470" s="47"/>
      <c r="Q2470" s="47"/>
      <c r="R2470" s="47"/>
      <c r="S2470" s="47"/>
    </row>
    <row r="2471" spans="1:46" ht="34.5" customHeight="1">
      <c r="A2471" s="8"/>
      <c r="B2471" s="13" t="str">
        <f>IF($C$1="ENG","Door handle VERONA","Ручка VERONA")</f>
        <v>Ручка VERONA</v>
      </c>
      <c r="C2471" s="102"/>
      <c r="D2471" s="15">
        <f>IF(AC2471="","",(1-$W$2)*(AC2471/1.2))</f>
        <v>2666.666666666667</v>
      </c>
      <c r="E2471" s="67">
        <f>IF($W$5=0.2,D2471*1.2,D2471)/$W$4</f>
        <v>3200.0000000000005</v>
      </c>
      <c r="L2471" s="28"/>
      <c r="M2471" s="62"/>
      <c r="N2471" s="28"/>
      <c r="O2471" s="29"/>
      <c r="P2471" s="28"/>
      <c r="Q2471" s="62"/>
      <c r="R2471" s="28"/>
      <c r="S2471" s="29"/>
      <c r="T2471" s="42"/>
      <c r="U2471" s="30"/>
      <c r="W2471" s="20"/>
      <c r="X2471" s="22"/>
      <c r="Y2471" s="22"/>
      <c r="Z2471" s="22"/>
      <c r="AA2471" s="22"/>
      <c r="AB2471" s="22"/>
      <c r="AC2471" s="310">
        <v>3200</v>
      </c>
      <c r="AD2471" s="1">
        <v>3260</v>
      </c>
      <c r="AE2471" s="1">
        <f>AD2471/AC2471-1</f>
        <v>1.8750000000000044E-2</v>
      </c>
      <c r="AF2471" s="301"/>
      <c r="AG2471" s="301"/>
      <c r="AH2471" s="301"/>
      <c r="AI2471" s="301"/>
      <c r="AJ2471" s="301"/>
      <c r="AK2471" s="301"/>
      <c r="AL2471" s="301"/>
    </row>
    <row r="2472" spans="1:46" ht="34.5" customHeight="1">
      <c r="A2472" s="8"/>
      <c r="B2472" s="16" t="str">
        <f>IF($C$1="ENG","Door handle MILANO","Ручка MILANO")</f>
        <v>Ручка MILANO</v>
      </c>
      <c r="C2472" s="66"/>
      <c r="D2472" s="18">
        <f>IF(AC2472="","",(1-$W$2)*(AC2472/1.2))</f>
        <v>2666.666666666667</v>
      </c>
      <c r="E2472" s="69">
        <f>IF($W$5=0.2,D2472*1.2,D2472)/$W$4</f>
        <v>3200.0000000000005</v>
      </c>
      <c r="L2472" s="28"/>
      <c r="M2472" s="62"/>
      <c r="N2472" s="28"/>
      <c r="O2472" s="29"/>
      <c r="P2472" s="28"/>
      <c r="Q2472" s="62"/>
      <c r="R2472" s="28"/>
      <c r="S2472" s="29"/>
      <c r="T2472" s="42"/>
      <c r="U2472" s="30"/>
      <c r="W2472" s="30"/>
      <c r="AC2472" s="310">
        <v>3200</v>
      </c>
      <c r="AD2472" s="1">
        <v>3260</v>
      </c>
      <c r="AE2472" s="1">
        <f t="shared" ref="AE2472:AE2475" si="321">AD2472/AC2472-1</f>
        <v>1.8750000000000044E-2</v>
      </c>
      <c r="AF2472" s="301"/>
      <c r="AG2472" s="301"/>
      <c r="AH2472" s="301"/>
      <c r="AI2472" s="301"/>
      <c r="AJ2472" s="301"/>
      <c r="AK2472" s="301"/>
      <c r="AL2472" s="301"/>
    </row>
    <row r="2473" spans="1:46" ht="34.5" customHeight="1">
      <c r="B2473" s="16" t="str">
        <f>IF($C$1="ENG","Door handle HANDY","Ручка HANDY")</f>
        <v>Ручка HANDY</v>
      </c>
      <c r="C2473" s="66"/>
      <c r="D2473" s="113">
        <f>IF(AC2473="","",(1-$W$2)*(AC2473/1.2))</f>
        <v>1300</v>
      </c>
      <c r="E2473" s="69">
        <f>IF($W$5=0.2,D2473*1.2,D2473)/$W$4</f>
        <v>1560</v>
      </c>
      <c r="L2473" s="28"/>
      <c r="N2473" s="28"/>
      <c r="P2473" s="28"/>
      <c r="R2473" s="28"/>
      <c r="AC2473" s="310">
        <v>1560</v>
      </c>
      <c r="AD2473" s="1">
        <v>1560</v>
      </c>
      <c r="AE2473" s="1">
        <f t="shared" si="321"/>
        <v>0</v>
      </c>
      <c r="AF2473" s="301"/>
      <c r="AG2473" s="301"/>
      <c r="AH2473" s="301"/>
      <c r="AI2473" s="301"/>
      <c r="AJ2473" s="301"/>
      <c r="AK2473" s="301"/>
      <c r="AL2473" s="301"/>
    </row>
    <row r="2474" spans="1:46" ht="34.5" customHeight="1">
      <c r="A2474" s="8"/>
      <c r="B2474" s="16" t="str">
        <f>IF($C$1="ENG","Door handle PRIUS","Ручка PRIUS")</f>
        <v>Ручка PRIUS</v>
      </c>
      <c r="C2474" s="66"/>
      <c r="D2474" s="18">
        <f>IF(AC2474="","",(1-$W$2)*(AC2474/1.2))</f>
        <v>1300</v>
      </c>
      <c r="E2474" s="69">
        <f>IF($W$5=0.2,D2474*1.2,D2474)/$W$4</f>
        <v>1560</v>
      </c>
      <c r="L2474" s="28"/>
      <c r="N2474" s="28"/>
      <c r="O2474" s="29"/>
      <c r="P2474" s="28"/>
      <c r="R2474" s="28"/>
      <c r="S2474" s="29"/>
      <c r="T2474" s="42"/>
      <c r="U2474" s="30"/>
      <c r="W2474" s="30"/>
      <c r="AC2474" s="310">
        <v>1560</v>
      </c>
      <c r="AD2474" s="1">
        <v>1560</v>
      </c>
      <c r="AE2474" s="1">
        <f t="shared" si="321"/>
        <v>0</v>
      </c>
      <c r="AF2474" s="301"/>
      <c r="AG2474" s="301"/>
      <c r="AH2474" s="301"/>
      <c r="AI2474" s="301"/>
      <c r="AJ2474" s="301"/>
      <c r="AK2474" s="301"/>
      <c r="AL2474" s="301"/>
    </row>
    <row r="2475" spans="1:46" ht="34.5" customHeight="1">
      <c r="B2475" s="23" t="str">
        <f>IF($C$1="ENG","Door handle OFFICE","Ручка OFFICE")</f>
        <v>Ручка OFFICE</v>
      </c>
      <c r="C2475" s="70"/>
      <c r="D2475" s="25">
        <f>IF(AC2475="","",(1-$W$2)*(AC2475/1.2))</f>
        <v>625</v>
      </c>
      <c r="E2475" s="72">
        <f>IF($W$5=0.2,D2475*1.2,D2475)/$W$4</f>
        <v>750</v>
      </c>
      <c r="L2475" s="28"/>
      <c r="P2475" s="28"/>
      <c r="AC2475" s="310">
        <v>750</v>
      </c>
      <c r="AD2475" s="1">
        <v>750</v>
      </c>
      <c r="AE2475" s="1">
        <f t="shared" si="321"/>
        <v>0</v>
      </c>
      <c r="AF2475" s="301"/>
      <c r="AG2475" s="301"/>
      <c r="AH2475" s="301"/>
      <c r="AI2475" s="301"/>
      <c r="AJ2475" s="301"/>
      <c r="AK2475" s="301"/>
      <c r="AL2475" s="301"/>
    </row>
    <row r="2476" spans="1:46" ht="14.25" customHeight="1">
      <c r="T2476" s="465" t="str">
        <f>IF($C$1="ENG",CONCATENATE("down to: ",B2526),CONCATENATE("вниз до: ",B2526))</f>
        <v>вниз до: Інші Аксесуари</v>
      </c>
      <c r="U2476" s="465"/>
      <c r="V2476" s="465"/>
      <c r="W2476" s="465"/>
    </row>
    <row r="2477" spans="1:46" ht="14.25" customHeight="1">
      <c r="C2477" s="26"/>
      <c r="D2477" s="26"/>
      <c r="E2477" s="26"/>
      <c r="F2477" s="26"/>
      <c r="G2477" s="26"/>
      <c r="H2477" s="5"/>
    </row>
    <row r="2478" spans="1:46" ht="14.25" customHeight="1">
      <c r="C2478" s="26"/>
      <c r="D2478" s="26"/>
      <c r="E2478" s="26"/>
      <c r="F2478" s="26"/>
      <c r="G2478" s="26"/>
      <c r="H2478" s="5"/>
    </row>
    <row r="2479" spans="1:46" ht="14.25" customHeight="1">
      <c r="C2479" s="26"/>
      <c r="D2479" s="26"/>
      <c r="E2479" s="26"/>
      <c r="F2479" s="26"/>
      <c r="G2479" s="26"/>
      <c r="H2479" s="5"/>
    </row>
    <row r="2480" spans="1:46" ht="14.25" customHeight="1">
      <c r="C2480" s="26"/>
      <c r="D2480" s="26"/>
      <c r="E2480" s="26"/>
      <c r="F2480" s="26"/>
      <c r="G2480" s="26"/>
      <c r="H2480" s="5"/>
    </row>
    <row r="2481" spans="3:8" ht="14.25" customHeight="1">
      <c r="C2481" s="26"/>
      <c r="D2481" s="26"/>
      <c r="E2481" s="26"/>
      <c r="F2481" s="26"/>
      <c r="G2481" s="26"/>
      <c r="H2481" s="5"/>
    </row>
    <row r="2482" spans="3:8" ht="14.25" customHeight="1">
      <c r="C2482" s="26"/>
      <c r="D2482" s="26"/>
      <c r="E2482" s="26"/>
      <c r="F2482" s="26"/>
      <c r="G2482" s="26"/>
      <c r="H2482" s="5"/>
    </row>
    <row r="2483" spans="3:8" ht="14.25" customHeight="1">
      <c r="C2483" s="26"/>
      <c r="D2483" s="26"/>
      <c r="E2483" s="26"/>
      <c r="F2483" s="26"/>
      <c r="G2483" s="26"/>
      <c r="H2483" s="5"/>
    </row>
    <row r="2484" spans="3:8" ht="14.25" customHeight="1">
      <c r="C2484" s="26"/>
      <c r="D2484" s="26"/>
      <c r="E2484" s="26"/>
      <c r="F2484" s="26"/>
      <c r="G2484" s="26"/>
      <c r="H2484" s="5"/>
    </row>
    <row r="2485" spans="3:8" ht="14.25" customHeight="1">
      <c r="C2485" s="26"/>
      <c r="D2485" s="26"/>
      <c r="E2485" s="26"/>
      <c r="F2485" s="26"/>
      <c r="G2485" s="26"/>
      <c r="H2485" s="5"/>
    </row>
    <row r="2486" spans="3:8" ht="14.25" customHeight="1">
      <c r="C2486" s="26"/>
      <c r="D2486" s="26"/>
      <c r="E2486" s="26"/>
      <c r="F2486" s="26"/>
      <c r="G2486" s="26"/>
      <c r="H2486" s="5"/>
    </row>
    <row r="2487" spans="3:8" ht="14.25" customHeight="1">
      <c r="C2487" s="26"/>
      <c r="D2487" s="26"/>
      <c r="E2487" s="26"/>
      <c r="F2487" s="26"/>
      <c r="G2487" s="26"/>
      <c r="H2487" s="5"/>
    </row>
    <row r="2488" spans="3:8" ht="14.25" customHeight="1">
      <c r="C2488" s="26"/>
      <c r="D2488" s="26"/>
      <c r="E2488" s="26"/>
      <c r="F2488" s="26"/>
      <c r="G2488" s="26"/>
      <c r="H2488" s="5"/>
    </row>
    <row r="2489" spans="3:8" ht="14.25" customHeight="1">
      <c r="C2489" s="26"/>
      <c r="D2489" s="26"/>
      <c r="E2489" s="26"/>
      <c r="F2489" s="26"/>
      <c r="G2489" s="26"/>
      <c r="H2489" s="5"/>
    </row>
    <row r="2490" spans="3:8" ht="14.25" customHeight="1">
      <c r="C2490" s="26"/>
      <c r="D2490" s="26"/>
      <c r="E2490" s="26"/>
      <c r="F2490" s="26"/>
      <c r="G2490" s="26"/>
      <c r="H2490" s="5"/>
    </row>
    <row r="2491" spans="3:8" ht="14.25" customHeight="1">
      <c r="C2491" s="26"/>
      <c r="D2491" s="26"/>
      <c r="E2491" s="26"/>
      <c r="F2491" s="26"/>
      <c r="G2491" s="26"/>
      <c r="H2491" s="5"/>
    </row>
    <row r="2492" spans="3:8" ht="14.25" customHeight="1">
      <c r="C2492" s="26"/>
      <c r="D2492" s="26"/>
      <c r="E2492" s="26"/>
      <c r="F2492" s="26"/>
      <c r="G2492" s="26"/>
      <c r="H2492" s="5"/>
    </row>
    <row r="2493" spans="3:8" ht="14.25" customHeight="1">
      <c r="C2493" s="26"/>
      <c r="D2493" s="26"/>
      <c r="E2493" s="26"/>
      <c r="F2493" s="26"/>
      <c r="G2493" s="26"/>
      <c r="H2493" s="5"/>
    </row>
    <row r="2494" spans="3:8" ht="14.25" customHeight="1">
      <c r="C2494" s="26"/>
      <c r="D2494" s="26"/>
      <c r="E2494" s="26"/>
      <c r="F2494" s="26"/>
      <c r="G2494" s="26"/>
      <c r="H2494" s="5"/>
    </row>
    <row r="2495" spans="3:8" ht="14.25" customHeight="1">
      <c r="C2495" s="26"/>
      <c r="D2495" s="26"/>
      <c r="E2495" s="26"/>
      <c r="F2495" s="26"/>
      <c r="G2495" s="26"/>
      <c r="H2495" s="5"/>
    </row>
    <row r="2496" spans="3:8" ht="14.25" customHeight="1">
      <c r="C2496" s="26"/>
      <c r="D2496" s="26"/>
      <c r="E2496" s="26"/>
      <c r="F2496" s="26"/>
      <c r="G2496" s="26"/>
      <c r="H2496" s="5"/>
    </row>
    <row r="2497" spans="3:8" ht="14.25" customHeight="1">
      <c r="C2497" s="26"/>
      <c r="D2497" s="26"/>
      <c r="E2497" s="26"/>
      <c r="F2497" s="26"/>
      <c r="G2497" s="26"/>
      <c r="H2497" s="5"/>
    </row>
    <row r="2498" spans="3:8" ht="14.25" customHeight="1">
      <c r="C2498" s="26"/>
      <c r="D2498" s="26"/>
      <c r="E2498" s="26"/>
      <c r="F2498" s="26"/>
      <c r="G2498" s="26"/>
      <c r="H2498" s="5"/>
    </row>
    <row r="2499" spans="3:8" ht="14.25" customHeight="1">
      <c r="C2499" s="26"/>
      <c r="D2499" s="26"/>
      <c r="E2499" s="26"/>
      <c r="F2499" s="26"/>
      <c r="G2499" s="26"/>
      <c r="H2499" s="5"/>
    </row>
    <row r="2500" spans="3:8" ht="14.25" customHeight="1">
      <c r="C2500" s="26"/>
      <c r="D2500" s="26"/>
      <c r="E2500" s="26"/>
      <c r="F2500" s="26"/>
      <c r="G2500" s="26"/>
      <c r="H2500" s="5"/>
    </row>
    <row r="2501" spans="3:8" ht="14.25" customHeight="1">
      <c r="C2501" s="26"/>
      <c r="D2501" s="26"/>
      <c r="E2501" s="26"/>
      <c r="F2501" s="26"/>
      <c r="G2501" s="26"/>
      <c r="H2501" s="5"/>
    </row>
    <row r="2502" spans="3:8" ht="14.25" customHeight="1">
      <c r="C2502" s="26"/>
      <c r="D2502" s="26"/>
      <c r="E2502" s="26"/>
      <c r="F2502" s="26"/>
      <c r="G2502" s="26"/>
      <c r="H2502" s="5"/>
    </row>
    <row r="2503" spans="3:8" ht="14.25" customHeight="1">
      <c r="C2503" s="26"/>
      <c r="D2503" s="26"/>
      <c r="E2503" s="26"/>
      <c r="F2503" s="26"/>
      <c r="G2503" s="26"/>
      <c r="H2503" s="5"/>
    </row>
    <row r="2504" spans="3:8" ht="14.25" customHeight="1">
      <c r="C2504" s="26"/>
      <c r="D2504" s="26"/>
      <c r="E2504" s="26"/>
      <c r="F2504" s="26"/>
      <c r="G2504" s="26"/>
      <c r="H2504" s="5"/>
    </row>
    <row r="2505" spans="3:8" ht="14.25" customHeight="1">
      <c r="C2505" s="26"/>
      <c r="D2505" s="26"/>
      <c r="E2505" s="26"/>
      <c r="F2505" s="26"/>
      <c r="G2505" s="26"/>
      <c r="H2505" s="5"/>
    </row>
    <row r="2506" spans="3:8" ht="14.25" customHeight="1">
      <c r="C2506" s="26"/>
      <c r="D2506" s="26"/>
      <c r="E2506" s="26"/>
      <c r="F2506" s="26"/>
      <c r="G2506" s="26"/>
      <c r="H2506" s="5"/>
    </row>
    <row r="2507" spans="3:8" ht="14.25" customHeight="1">
      <c r="C2507" s="26"/>
      <c r="D2507" s="26"/>
      <c r="E2507" s="26"/>
      <c r="F2507" s="26"/>
      <c r="G2507" s="26"/>
      <c r="H2507" s="5"/>
    </row>
    <row r="2508" spans="3:8" ht="14.25" customHeight="1">
      <c r="C2508" s="26"/>
      <c r="D2508" s="26"/>
      <c r="E2508" s="26"/>
      <c r="F2508" s="26"/>
      <c r="G2508" s="26"/>
      <c r="H2508" s="5"/>
    </row>
    <row r="2509" spans="3:8" ht="14.25" customHeight="1">
      <c r="C2509" s="26"/>
      <c r="D2509" s="26"/>
      <c r="E2509" s="26"/>
      <c r="F2509" s="26"/>
      <c r="G2509" s="26"/>
      <c r="H2509" s="5"/>
    </row>
    <row r="2510" spans="3:8" ht="14.25" customHeight="1">
      <c r="C2510" s="26"/>
      <c r="D2510" s="26"/>
      <c r="E2510" s="26"/>
      <c r="F2510" s="26"/>
      <c r="G2510" s="26"/>
      <c r="H2510" s="5"/>
    </row>
    <row r="2511" spans="3:8" ht="14.25" customHeight="1">
      <c r="C2511" s="26"/>
      <c r="D2511" s="26"/>
      <c r="E2511" s="26"/>
      <c r="F2511" s="26"/>
      <c r="G2511" s="26"/>
      <c r="H2511" s="5"/>
    </row>
    <row r="2512" spans="3:8" ht="14.25" customHeight="1">
      <c r="C2512" s="26"/>
      <c r="D2512" s="26"/>
      <c r="E2512" s="26"/>
      <c r="F2512" s="26"/>
      <c r="G2512" s="26"/>
      <c r="H2512" s="5"/>
    </row>
    <row r="2513" spans="1:46" ht="14.25" customHeight="1">
      <c r="C2513" s="26"/>
      <c r="D2513" s="26"/>
      <c r="E2513" s="26"/>
      <c r="F2513" s="26"/>
      <c r="G2513" s="26"/>
      <c r="H2513" s="5"/>
    </row>
    <row r="2514" spans="1:46" ht="14.25" customHeight="1">
      <c r="C2514" s="26"/>
      <c r="D2514" s="26"/>
      <c r="E2514" s="26"/>
      <c r="F2514" s="26"/>
      <c r="G2514" s="26"/>
      <c r="H2514" s="5"/>
    </row>
    <row r="2515" spans="1:46" ht="14.25" customHeight="1">
      <c r="C2515" s="26"/>
      <c r="D2515" s="26"/>
      <c r="E2515" s="26"/>
      <c r="F2515" s="26"/>
      <c r="G2515" s="26"/>
      <c r="H2515" s="5"/>
    </row>
    <row r="2516" spans="1:46" ht="14.25" customHeight="1">
      <c r="C2516" s="26"/>
      <c r="D2516" s="26"/>
      <c r="E2516" s="26"/>
      <c r="F2516" s="26"/>
      <c r="G2516" s="26"/>
      <c r="H2516" s="5"/>
    </row>
    <row r="2517" spans="1:46" ht="14.25" customHeight="1">
      <c r="C2517" s="26"/>
      <c r="D2517" s="26"/>
      <c r="E2517" s="26"/>
      <c r="F2517" s="26"/>
      <c r="G2517" s="26"/>
      <c r="H2517" s="5"/>
    </row>
    <row r="2518" spans="1:46" ht="14.25" customHeight="1">
      <c r="C2518" s="26"/>
      <c r="D2518" s="26"/>
      <c r="E2518" s="26"/>
      <c r="F2518" s="26"/>
      <c r="G2518" s="26"/>
      <c r="H2518" s="5"/>
    </row>
    <row r="2519" spans="1:46" ht="14.25" customHeight="1">
      <c r="C2519" s="26"/>
      <c r="D2519" s="26"/>
      <c r="E2519" s="26"/>
      <c r="F2519" s="26"/>
      <c r="G2519" s="26"/>
      <c r="H2519" s="5"/>
    </row>
    <row r="2520" spans="1:46" ht="14.25" customHeight="1">
      <c r="C2520" s="26"/>
      <c r="D2520" s="26"/>
      <c r="E2520" s="26"/>
      <c r="F2520" s="26"/>
      <c r="G2520" s="26"/>
      <c r="H2520" s="5"/>
    </row>
    <row r="2521" spans="1:46" ht="14.25" customHeight="1">
      <c r="C2521" s="26"/>
      <c r="D2521" s="26"/>
      <c r="E2521" s="26"/>
      <c r="F2521" s="26"/>
      <c r="G2521" s="26"/>
      <c r="H2521" s="5"/>
    </row>
    <row r="2522" spans="1:46" ht="14.25" customHeight="1">
      <c r="C2522" s="26"/>
      <c r="D2522" s="26"/>
      <c r="E2522" s="26"/>
      <c r="F2522" s="26"/>
      <c r="G2522" s="26"/>
      <c r="H2522" s="5"/>
    </row>
    <row r="2523" spans="1:46" ht="14.25" customHeight="1">
      <c r="C2523" s="26"/>
      <c r="D2523" s="26"/>
      <c r="E2523" s="26"/>
      <c r="F2523" s="26"/>
      <c r="G2523" s="26"/>
      <c r="H2523" s="5"/>
    </row>
    <row r="2524" spans="1:46" ht="14.25" customHeight="1">
      <c r="C2524" s="26"/>
      <c r="D2524" s="26"/>
      <c r="E2524" s="26"/>
      <c r="F2524" s="26"/>
      <c r="G2524" s="26"/>
      <c r="H2524" s="5"/>
    </row>
    <row r="2525" spans="1:46" ht="14.25" customHeight="1">
      <c r="C2525" s="26"/>
      <c r="D2525" s="26"/>
      <c r="E2525" s="26"/>
      <c r="F2525" s="26"/>
      <c r="G2525" s="26"/>
      <c r="H2525" s="5"/>
    </row>
    <row r="2526" spans="1:46" s="8" customFormat="1">
      <c r="B2526" s="428" t="str">
        <f>TITLE!$C$49</f>
        <v>Інші Аксесуари</v>
      </c>
      <c r="C2526" s="421"/>
      <c r="D2526" s="122"/>
      <c r="E2526" s="122"/>
      <c r="F2526" s="122"/>
      <c r="G2526" s="122"/>
      <c r="H2526" s="122"/>
      <c r="I2526" s="125"/>
      <c r="J2526" s="125"/>
      <c r="K2526" s="125"/>
      <c r="L2526" s="125"/>
      <c r="M2526" s="125"/>
      <c r="N2526" s="125"/>
      <c r="O2526" s="125"/>
      <c r="P2526" s="125"/>
      <c r="Q2526" s="125"/>
      <c r="R2526" s="125"/>
      <c r="S2526" s="125"/>
      <c r="T2526" s="423" t="str">
        <f>IF($C$1="ENG",CONCATENATE("up to: ",B2468),CONCATENATE("вгору до: ",B2468))</f>
        <v>вгору до: Дверні Ручки</v>
      </c>
      <c r="U2526" s="423"/>
      <c r="V2526" s="423"/>
      <c r="W2526" s="423"/>
      <c r="AN2526" s="291"/>
      <c r="AO2526" s="291"/>
      <c r="AP2526" s="291"/>
      <c r="AQ2526" s="291"/>
      <c r="AR2526" s="291"/>
      <c r="AS2526" s="291"/>
      <c r="AT2526" s="291"/>
    </row>
    <row r="2527" spans="1:46" s="8" customFormat="1" ht="5.0999999999999996" customHeight="1">
      <c r="L2527" s="48"/>
      <c r="M2527" s="48"/>
      <c r="N2527" s="48"/>
      <c r="O2527" s="48"/>
      <c r="P2527" s="48"/>
      <c r="Q2527" s="48"/>
      <c r="R2527" s="48"/>
      <c r="S2527" s="48"/>
      <c r="T2527" s="119"/>
      <c r="U2527" s="119"/>
      <c r="V2527" s="119"/>
      <c r="W2527" s="119"/>
      <c r="AN2527" s="291"/>
      <c r="AO2527" s="291"/>
      <c r="AP2527" s="291"/>
      <c r="AQ2527" s="291"/>
      <c r="AR2527" s="291"/>
      <c r="AS2527" s="291"/>
      <c r="AT2527" s="291"/>
    </row>
    <row r="2528" spans="1:46" ht="24" customHeight="1">
      <c r="A2528" s="8"/>
      <c r="B2528" s="64" t="str">
        <f>IF($C$1="ENG","model","модель")</f>
        <v>модель</v>
      </c>
      <c r="C2528" s="12"/>
      <c r="D2528" s="443" t="str">
        <f>IF($C$1="ENG","price","Ціна")</f>
        <v>Ціна</v>
      </c>
      <c r="E2528" s="444"/>
      <c r="F2528" s="10"/>
      <c r="G2528" s="10"/>
      <c r="H2528" s="10"/>
      <c r="I2528" s="48"/>
      <c r="J2528" s="48"/>
      <c r="K2528" s="48"/>
      <c r="L2528" s="47"/>
      <c r="M2528" s="47"/>
      <c r="N2528" s="47"/>
      <c r="O2528" s="47"/>
      <c r="P2528" s="47"/>
      <c r="Q2528" s="47"/>
      <c r="R2528" s="47"/>
      <c r="S2528" s="47"/>
    </row>
    <row r="2529" spans="1:38" ht="34.5" customHeight="1">
      <c r="A2529" s="8"/>
      <c r="B2529" s="13" t="str">
        <f>IF($C$1="ENG","Door Lock STANDARD","Замок STANDARD")</f>
        <v>Замок STANDARD</v>
      </c>
      <c r="C2529" s="102"/>
      <c r="D2529" s="15">
        <f t="shared" ref="D2529:D2532" si="322">IF(AC2529="","",(1-$W$2)*(AC2529/1.2))</f>
        <v>333.33333333333337</v>
      </c>
      <c r="E2529" s="67">
        <f t="shared" ref="E2529:E2532" si="323">IF($W$5=0.2,D2529*1.2,D2529)/$W$4</f>
        <v>400.00000000000006</v>
      </c>
      <c r="F2529" s="65"/>
      <c r="G2529" s="47"/>
      <c r="H2529" s="47"/>
      <c r="I2529" s="47"/>
      <c r="J2529" s="47"/>
      <c r="K2529" s="47"/>
      <c r="L2529" s="28"/>
      <c r="M2529" s="62"/>
      <c r="N2529" s="28"/>
      <c r="O2529" s="29"/>
      <c r="P2529" s="28"/>
      <c r="Q2529" s="62"/>
      <c r="R2529" s="28"/>
      <c r="S2529" s="29"/>
      <c r="T2529" s="42"/>
      <c r="U2529" s="30"/>
      <c r="W2529" s="20"/>
      <c r="X2529" s="22"/>
      <c r="Y2529" s="22"/>
      <c r="Z2529" s="22"/>
      <c r="AA2529" s="22"/>
      <c r="AB2529" s="22"/>
      <c r="AC2529" s="346">
        <v>400.00000000000006</v>
      </c>
      <c r="AD2529" s="301"/>
      <c r="AE2529" s="301"/>
      <c r="AF2529" s="301"/>
      <c r="AG2529" s="301"/>
      <c r="AH2529" s="301"/>
      <c r="AI2529" s="301"/>
      <c r="AJ2529" s="301"/>
      <c r="AK2529" s="301"/>
      <c r="AL2529" s="301"/>
    </row>
    <row r="2530" spans="1:38" ht="34.5" customHeight="1">
      <c r="A2530" s="8"/>
      <c r="B2530" s="16" t="str">
        <f>IF($C$1="ENG","Door hinge for rabbit door","завіса штирьова")</f>
        <v>завіса штирьова</v>
      </c>
      <c r="C2530" s="66"/>
      <c r="D2530" s="18">
        <f t="shared" si="322"/>
        <v>100</v>
      </c>
      <c r="E2530" s="69">
        <f t="shared" si="323"/>
        <v>120</v>
      </c>
      <c r="F2530" s="68"/>
      <c r="G2530" s="62"/>
      <c r="H2530" s="109"/>
      <c r="I2530" s="110"/>
      <c r="J2530" s="28"/>
      <c r="K2530" s="29"/>
      <c r="L2530" s="28"/>
      <c r="M2530" s="62"/>
      <c r="N2530" s="28"/>
      <c r="O2530" s="29"/>
      <c r="P2530" s="28"/>
      <c r="Q2530" s="62"/>
      <c r="R2530" s="28"/>
      <c r="S2530" s="29"/>
      <c r="T2530" s="42"/>
      <c r="U2530" s="30"/>
      <c r="W2530" s="30"/>
      <c r="AC2530" s="346">
        <v>120</v>
      </c>
      <c r="AD2530" s="301"/>
      <c r="AE2530" s="301"/>
      <c r="AF2530" s="301"/>
      <c r="AG2530" s="301"/>
      <c r="AH2530" s="301"/>
      <c r="AI2530" s="301"/>
      <c r="AJ2530" s="301"/>
      <c r="AK2530" s="301"/>
      <c r="AL2530" s="301"/>
    </row>
    <row r="2531" spans="1:38" ht="34.5" customHeight="1">
      <c r="A2531" s="8"/>
      <c r="B2531" s="16" t="str">
        <f>IF($C$1="ENG","Door lock hatch","відповідна планка")</f>
        <v>відповідна планка</v>
      </c>
      <c r="C2531" s="66"/>
      <c r="D2531" s="18">
        <f t="shared" si="322"/>
        <v>100</v>
      </c>
      <c r="E2531" s="69">
        <f t="shared" si="323"/>
        <v>120</v>
      </c>
      <c r="F2531" s="68"/>
      <c r="G2531" s="62"/>
      <c r="H2531" s="109"/>
      <c r="I2531" s="110"/>
      <c r="J2531" s="28"/>
      <c r="K2531" s="29"/>
      <c r="L2531" s="28"/>
      <c r="M2531" s="62"/>
      <c r="N2531" s="28"/>
      <c r="O2531" s="29"/>
      <c r="P2531" s="28"/>
      <c r="Q2531" s="62"/>
      <c r="R2531" s="28"/>
      <c r="S2531" s="29"/>
      <c r="T2531" s="42"/>
      <c r="U2531" s="30"/>
      <c r="W2531" s="30"/>
      <c r="AC2531" s="346">
        <v>120</v>
      </c>
      <c r="AD2531" s="301"/>
      <c r="AE2531" s="301"/>
      <c r="AF2531" s="301"/>
      <c r="AG2531" s="301"/>
      <c r="AH2531" s="301"/>
      <c r="AI2531" s="301"/>
      <c r="AJ2531" s="301"/>
      <c r="AK2531" s="301"/>
      <c r="AL2531" s="301"/>
    </row>
    <row r="2532" spans="1:38" ht="34.5" customHeight="1">
      <c r="B2532" s="23" t="str">
        <f>IF($C$1="ENG","Door lock latch","Шпінгалет")</f>
        <v>Шпінгалет</v>
      </c>
      <c r="C2532" s="70"/>
      <c r="D2532" s="71">
        <f t="shared" si="322"/>
        <v>166.66666666666669</v>
      </c>
      <c r="E2532" s="72">
        <f t="shared" si="323"/>
        <v>200.00000000000003</v>
      </c>
      <c r="F2532" s="68"/>
      <c r="G2532" s="62"/>
      <c r="H2532" s="109"/>
      <c r="I2532" s="110"/>
      <c r="J2532" s="28"/>
      <c r="K2532" s="29"/>
      <c r="AC2532" s="346">
        <v>200.00000000000003</v>
      </c>
      <c r="AD2532" s="301"/>
      <c r="AE2532" s="301"/>
      <c r="AF2532" s="301"/>
      <c r="AG2532" s="301"/>
      <c r="AH2532" s="301"/>
      <c r="AI2532" s="301"/>
      <c r="AJ2532" s="301"/>
      <c r="AK2532" s="301"/>
      <c r="AL2532" s="301"/>
    </row>
    <row r="2533" spans="1:38" ht="14.25" customHeight="1">
      <c r="F2533" s="26"/>
      <c r="G2533" s="62"/>
      <c r="H2533" s="109"/>
      <c r="I2533" s="110"/>
    </row>
    <row r="2534" spans="1:38" ht="14.25" customHeight="1">
      <c r="C2534" s="26"/>
      <c r="D2534" s="26"/>
      <c r="E2534" s="26"/>
      <c r="F2534" s="26"/>
      <c r="G2534" s="26"/>
      <c r="H2534" s="5"/>
    </row>
    <row r="2535" spans="1:38" ht="14.25" customHeight="1">
      <c r="C2535" s="26"/>
      <c r="D2535" s="26"/>
      <c r="E2535" s="26"/>
      <c r="F2535" s="26"/>
      <c r="G2535" s="26"/>
      <c r="H2535" s="5"/>
    </row>
    <row r="2536" spans="1:38">
      <c r="C2536" s="26"/>
      <c r="D2536" s="26"/>
      <c r="E2536" s="26"/>
      <c r="F2536" s="26"/>
      <c r="G2536" s="26"/>
      <c r="H2536" s="5"/>
    </row>
    <row r="2537" spans="1:38">
      <c r="C2537" s="26"/>
      <c r="D2537" s="26"/>
      <c r="E2537" s="26"/>
    </row>
    <row r="2538" spans="1:38">
      <c r="C2538" s="26"/>
      <c r="D2538" s="26"/>
      <c r="E2538" s="26"/>
    </row>
  </sheetData>
  <sheetProtection algorithmName="SHA-512" hashValue="yiDRWJ12YrCjurjLSo/S08MIO9Ak0AaqCGP9oogvEUZAZl4HLmuht8Ywz/F3H2aQCBgKq2AoyfPqppoX5Ck++Q==" saltValue="lANyEyQaXHcKrCVVydj3zA==" spinCount="100000" sheet="1" objects="1" scenarios="1" insertColumns="0" insertRows="0" deleteColumns="0"/>
  <mergeCells count="877">
    <mergeCell ref="S110:W110"/>
    <mergeCell ref="H1929:I1929"/>
    <mergeCell ref="H1930:I1930"/>
    <mergeCell ref="H1931:I1931"/>
    <mergeCell ref="L2122:O2122"/>
    <mergeCell ref="L2123:M2123"/>
    <mergeCell ref="N2123:O2123"/>
    <mergeCell ref="L2055:M2055"/>
    <mergeCell ref="N2055:O2055"/>
    <mergeCell ref="L2120:O2120"/>
    <mergeCell ref="J2123:K2123"/>
    <mergeCell ref="L1431:M1431"/>
    <mergeCell ref="L1432:M1432"/>
    <mergeCell ref="L1433:M1433"/>
    <mergeCell ref="L1503:M1503"/>
    <mergeCell ref="L1504:M1504"/>
    <mergeCell ref="L1505:M1505"/>
    <mergeCell ref="L1288:M1288"/>
    <mergeCell ref="L1289:M1289"/>
    <mergeCell ref="L1290:M1290"/>
    <mergeCell ref="L1359:M1359"/>
    <mergeCell ref="L1360:M1360"/>
    <mergeCell ref="L1361:M1361"/>
    <mergeCell ref="L1148:M1148"/>
    <mergeCell ref="L929:M929"/>
    <mergeCell ref="L714:M714"/>
    <mergeCell ref="L715:M715"/>
    <mergeCell ref="L716:M716"/>
    <mergeCell ref="L784:M784"/>
    <mergeCell ref="L785:M785"/>
    <mergeCell ref="L786:M786"/>
    <mergeCell ref="L2263:M2263"/>
    <mergeCell ref="N2263:O2263"/>
    <mergeCell ref="L1864:M1864"/>
    <mergeCell ref="L1865:M1865"/>
    <mergeCell ref="L1995:M1995"/>
    <mergeCell ref="L2192:O2192"/>
    <mergeCell ref="L2194:O2194"/>
    <mergeCell ref="L2195:M2195"/>
    <mergeCell ref="L1996:M1996"/>
    <mergeCell ref="L2052:O2052"/>
    <mergeCell ref="L2054:O2054"/>
    <mergeCell ref="L2334:M2334"/>
    <mergeCell ref="L505:M505"/>
    <mergeCell ref="L574:M574"/>
    <mergeCell ref="L575:M575"/>
    <mergeCell ref="L576:M576"/>
    <mergeCell ref="L644:M644"/>
    <mergeCell ref="L645:M645"/>
    <mergeCell ref="L7:M7"/>
    <mergeCell ref="L930:M930"/>
    <mergeCell ref="L931:M931"/>
    <mergeCell ref="L1149:M1149"/>
    <mergeCell ref="L1150:M1150"/>
    <mergeCell ref="L1218:M1218"/>
    <mergeCell ref="L1219:M1219"/>
    <mergeCell ref="L1220:M1220"/>
    <mergeCell ref="L1004:M1004"/>
    <mergeCell ref="L1005:M1005"/>
    <mergeCell ref="L1006:M1006"/>
    <mergeCell ref="L1074:M1074"/>
    <mergeCell ref="L1075:M1075"/>
    <mergeCell ref="L1076:M1076"/>
    <mergeCell ref="L2260:O2260"/>
    <mergeCell ref="L2262:O2262"/>
    <mergeCell ref="N7:O7"/>
    <mergeCell ref="F13:G13"/>
    <mergeCell ref="F14:G14"/>
    <mergeCell ref="F90:G90"/>
    <mergeCell ref="F91:G91"/>
    <mergeCell ref="F92:G92"/>
    <mergeCell ref="L2335:M2335"/>
    <mergeCell ref="L2392:M2392"/>
    <mergeCell ref="L2393:M2393"/>
    <mergeCell ref="H287:I287"/>
    <mergeCell ref="H288:I288"/>
    <mergeCell ref="H289:I289"/>
    <mergeCell ref="H1357:I1357"/>
    <mergeCell ref="J1290:K1290"/>
    <mergeCell ref="J784:K784"/>
    <mergeCell ref="L504:M504"/>
    <mergeCell ref="H1647:I1647"/>
    <mergeCell ref="J1505:K1505"/>
    <mergeCell ref="J504:K504"/>
    <mergeCell ref="H642:I642"/>
    <mergeCell ref="J2392:K2392"/>
    <mergeCell ref="J1722:K1722"/>
    <mergeCell ref="J1723:K1723"/>
    <mergeCell ref="J434:K434"/>
    <mergeCell ref="H434:I434"/>
    <mergeCell ref="B373:C373"/>
    <mergeCell ref="B374:C374"/>
    <mergeCell ref="B375:C375"/>
    <mergeCell ref="B376:C376"/>
    <mergeCell ref="B377:C377"/>
    <mergeCell ref="H162:I162"/>
    <mergeCell ref="H163:I163"/>
    <mergeCell ref="H164:I164"/>
    <mergeCell ref="F162:G162"/>
    <mergeCell ref="F163:G163"/>
    <mergeCell ref="F288:G288"/>
    <mergeCell ref="B285:C285"/>
    <mergeCell ref="B177:C177"/>
    <mergeCell ref="D162:E162"/>
    <mergeCell ref="B180:C180"/>
    <mergeCell ref="B176:C176"/>
    <mergeCell ref="B182:C182"/>
    <mergeCell ref="B362:B364"/>
    <mergeCell ref="D362:E362"/>
    <mergeCell ref="D363:E363"/>
    <mergeCell ref="D364:E364"/>
    <mergeCell ref="B305:C305"/>
    <mergeCell ref="B306:C306"/>
    <mergeCell ref="B308:C308"/>
    <mergeCell ref="B309:C309"/>
    <mergeCell ref="B307:C307"/>
    <mergeCell ref="B302:C302"/>
    <mergeCell ref="B301:C301"/>
    <mergeCell ref="B299:C299"/>
    <mergeCell ref="B298:C298"/>
    <mergeCell ref="B300:C300"/>
    <mergeCell ref="B372:C372"/>
    <mergeCell ref="B107:C107"/>
    <mergeCell ref="B173:C173"/>
    <mergeCell ref="B184:C184"/>
    <mergeCell ref="B175:C175"/>
    <mergeCell ref="B287:B289"/>
    <mergeCell ref="B109:C109"/>
    <mergeCell ref="B181:C181"/>
    <mergeCell ref="B174:C174"/>
    <mergeCell ref="B370:C370"/>
    <mergeCell ref="B371:C371"/>
    <mergeCell ref="F287:G287"/>
    <mergeCell ref="D288:E288"/>
    <mergeCell ref="B160:E160"/>
    <mergeCell ref="B108:C108"/>
    <mergeCell ref="B178:C178"/>
    <mergeCell ref="B179:C179"/>
    <mergeCell ref="B162:B164"/>
    <mergeCell ref="B185:C185"/>
    <mergeCell ref="D164:E164"/>
    <mergeCell ref="D163:E163"/>
    <mergeCell ref="F289:G289"/>
    <mergeCell ref="D289:E289"/>
    <mergeCell ref="B101:C101"/>
    <mergeCell ref="D91:E91"/>
    <mergeCell ref="D90:E90"/>
    <mergeCell ref="B90:B92"/>
    <mergeCell ref="B98:C98"/>
    <mergeCell ref="B106:C106"/>
    <mergeCell ref="D1150:E1150"/>
    <mergeCell ref="B801:C801"/>
    <mergeCell ref="B795:C795"/>
    <mergeCell ref="B796:C796"/>
    <mergeCell ref="B797:C797"/>
    <mergeCell ref="B798:C798"/>
    <mergeCell ref="B799:C799"/>
    <mergeCell ref="B800:C800"/>
    <mergeCell ref="B794:C794"/>
    <mergeCell ref="B784:B786"/>
    <mergeCell ref="D784:E784"/>
    <mergeCell ref="B730:C730"/>
    <mergeCell ref="B731:C731"/>
    <mergeCell ref="B378:C378"/>
    <mergeCell ref="B379:C379"/>
    <mergeCell ref="B369:C369"/>
    <mergeCell ref="B1300:C1300"/>
    <mergeCell ref="B1288:B1290"/>
    <mergeCell ref="D1288:E1288"/>
    <mergeCell ref="B1861:C1861"/>
    <mergeCell ref="D1863:E1863"/>
    <mergeCell ref="B1738:C1738"/>
    <mergeCell ref="B1742:C1742"/>
    <mergeCell ref="D1360:E1360"/>
    <mergeCell ref="B1513:C1513"/>
    <mergeCell ref="B1503:B1505"/>
    <mergeCell ref="D1503:E1503"/>
    <mergeCell ref="D1289:E1289"/>
    <mergeCell ref="B1739:C1739"/>
    <mergeCell ref="B1740:C1740"/>
    <mergeCell ref="B1741:C1741"/>
    <mergeCell ref="B1793:C1793"/>
    <mergeCell ref="B1663:C1663"/>
    <mergeCell ref="B1429:C1429"/>
    <mergeCell ref="B1431:B1433"/>
    <mergeCell ref="D1431:E1431"/>
    <mergeCell ref="B1444:C1444"/>
    <mergeCell ref="B1667:C1667"/>
    <mergeCell ref="D1290:E1290"/>
    <mergeCell ref="B1517:C1517"/>
    <mergeCell ref="T1877:W1877"/>
    <mergeCell ref="B1874:C1874"/>
    <mergeCell ref="H1863:I1863"/>
    <mergeCell ref="J1863:K1863"/>
    <mergeCell ref="H1864:I1864"/>
    <mergeCell ref="J1864:K1864"/>
    <mergeCell ref="H1865:I1865"/>
    <mergeCell ref="J1865:K1865"/>
    <mergeCell ref="B1863:B1865"/>
    <mergeCell ref="B1875:C1875"/>
    <mergeCell ref="F1504:G1504"/>
    <mergeCell ref="F1863:G1863"/>
    <mergeCell ref="D1864:E1864"/>
    <mergeCell ref="F1864:G1864"/>
    <mergeCell ref="D1865:E1865"/>
    <mergeCell ref="F1865:G1865"/>
    <mergeCell ref="D1505:E1505"/>
    <mergeCell ref="F1505:G1505"/>
    <mergeCell ref="D1576:I1576"/>
    <mergeCell ref="D1577:I1577"/>
    <mergeCell ref="H1505:I1505"/>
    <mergeCell ref="H1722:I1722"/>
    <mergeCell ref="H1649:I1649"/>
    <mergeCell ref="F1649:G1649"/>
    <mergeCell ref="H1648:I1648"/>
    <mergeCell ref="D1578:E1578"/>
    <mergeCell ref="H1578:I1578"/>
    <mergeCell ref="D1647:E1647"/>
    <mergeCell ref="F1647:G1647"/>
    <mergeCell ref="F1722:G1722"/>
    <mergeCell ref="D1723:E1723"/>
    <mergeCell ref="D1722:E1722"/>
    <mergeCell ref="D1724:E1724"/>
    <mergeCell ref="F1578:G1578"/>
    <mergeCell ref="F1503:G1503"/>
    <mergeCell ref="H1503:I1503"/>
    <mergeCell ref="J1503:K1503"/>
    <mergeCell ref="D1504:E1504"/>
    <mergeCell ref="B1299:C1299"/>
    <mergeCell ref="H1504:I1504"/>
    <mergeCell ref="J1504:K1504"/>
    <mergeCell ref="B1302:C1302"/>
    <mergeCell ref="B1303:C1303"/>
    <mergeCell ref="B1304:C1304"/>
    <mergeCell ref="B1305:C1305"/>
    <mergeCell ref="B1306:C1306"/>
    <mergeCell ref="H1501:I1501"/>
    <mergeCell ref="F1361:G1361"/>
    <mergeCell ref="F1360:G1360"/>
    <mergeCell ref="B1441:C1441"/>
    <mergeCell ref="B1442:C1442"/>
    <mergeCell ref="B1443:C1443"/>
    <mergeCell ref="B1376:C1376"/>
    <mergeCell ref="B1373:C1373"/>
    <mergeCell ref="B1372:C1372"/>
    <mergeCell ref="B1374:C1374"/>
    <mergeCell ref="B1377:C1377"/>
    <mergeCell ref="B1378:C1378"/>
    <mergeCell ref="H1290:I1290"/>
    <mergeCell ref="F1289:G1289"/>
    <mergeCell ref="H1289:I1289"/>
    <mergeCell ref="B1298:C1298"/>
    <mergeCell ref="B1229:C1229"/>
    <mergeCell ref="B1230:C1230"/>
    <mergeCell ref="B1231:C1231"/>
    <mergeCell ref="B1232:C1232"/>
    <mergeCell ref="B1233:C1233"/>
    <mergeCell ref="B1297:C1297"/>
    <mergeCell ref="B1234:C1234"/>
    <mergeCell ref="B1235:C1235"/>
    <mergeCell ref="B1286:C1286"/>
    <mergeCell ref="B1162:C1162"/>
    <mergeCell ref="U1166:W1166"/>
    <mergeCell ref="B1164:C1164"/>
    <mergeCell ref="B1163:C1163"/>
    <mergeCell ref="B1165:C1165"/>
    <mergeCell ref="B1018:C1018"/>
    <mergeCell ref="B1019:C1019"/>
    <mergeCell ref="B1017:C1017"/>
    <mergeCell ref="T1022:W1022"/>
    <mergeCell ref="T1146:W1146"/>
    <mergeCell ref="D1148:E1148"/>
    <mergeCell ref="D1149:E1149"/>
    <mergeCell ref="F1149:G1149"/>
    <mergeCell ref="D1075:E1075"/>
    <mergeCell ref="F1075:G1075"/>
    <mergeCell ref="D1076:E1076"/>
    <mergeCell ref="H856:I856"/>
    <mergeCell ref="H931:I931"/>
    <mergeCell ref="B949:C949"/>
    <mergeCell ref="J929:K929"/>
    <mergeCell ref="D855:E855"/>
    <mergeCell ref="B929:B931"/>
    <mergeCell ref="B950:C950"/>
    <mergeCell ref="B1015:C1015"/>
    <mergeCell ref="B1156:C1156"/>
    <mergeCell ref="B1002:C1002"/>
    <mergeCell ref="H1002:I1002"/>
    <mergeCell ref="B1004:B1006"/>
    <mergeCell ref="D1004:E1004"/>
    <mergeCell ref="F1004:G1004"/>
    <mergeCell ref="H1004:I1004"/>
    <mergeCell ref="J1004:K1004"/>
    <mergeCell ref="D1005:E1005"/>
    <mergeCell ref="F1005:G1005"/>
    <mergeCell ref="H1005:I1005"/>
    <mergeCell ref="J1005:K1005"/>
    <mergeCell ref="D1006:E1006"/>
    <mergeCell ref="F1006:G1006"/>
    <mergeCell ref="H1006:I1006"/>
    <mergeCell ref="J1006:K1006"/>
    <mergeCell ref="H716:I716"/>
    <mergeCell ref="J716:K716"/>
    <mergeCell ref="H714:I714"/>
    <mergeCell ref="F714:G714"/>
    <mergeCell ref="F784:G784"/>
    <mergeCell ref="D785:E785"/>
    <mergeCell ref="F785:G785"/>
    <mergeCell ref="B726:C726"/>
    <mergeCell ref="B727:C727"/>
    <mergeCell ref="H574:I574"/>
    <mergeCell ref="B591:C591"/>
    <mergeCell ref="T592:W592"/>
    <mergeCell ref="B585:C585"/>
    <mergeCell ref="B586:C586"/>
    <mergeCell ref="B587:C587"/>
    <mergeCell ref="B588:C588"/>
    <mergeCell ref="B589:C589"/>
    <mergeCell ref="B590:C590"/>
    <mergeCell ref="B582:C582"/>
    <mergeCell ref="B583:C583"/>
    <mergeCell ref="B584:C584"/>
    <mergeCell ref="T522:W522"/>
    <mergeCell ref="B572:C572"/>
    <mergeCell ref="H572:I572"/>
    <mergeCell ref="T572:W572"/>
    <mergeCell ref="B513:C513"/>
    <mergeCell ref="B514:C514"/>
    <mergeCell ref="B515:C515"/>
    <mergeCell ref="B516:C516"/>
    <mergeCell ref="B517:C517"/>
    <mergeCell ref="B518:C518"/>
    <mergeCell ref="T501:W501"/>
    <mergeCell ref="B503:B505"/>
    <mergeCell ref="D503:E503"/>
    <mergeCell ref="F503:G503"/>
    <mergeCell ref="H503:I503"/>
    <mergeCell ref="J503:K503"/>
    <mergeCell ref="D504:E504"/>
    <mergeCell ref="F504:G504"/>
    <mergeCell ref="L503:M503"/>
    <mergeCell ref="T1670:W1670"/>
    <mergeCell ref="J1150:K1150"/>
    <mergeCell ref="T1216:W1216"/>
    <mergeCell ref="T1286:W1286"/>
    <mergeCell ref="U1307:W1307"/>
    <mergeCell ref="T1357:W1357"/>
    <mergeCell ref="U1096:W1096"/>
    <mergeCell ref="D505:E505"/>
    <mergeCell ref="F505:G505"/>
    <mergeCell ref="H505:I505"/>
    <mergeCell ref="J505:K505"/>
    <mergeCell ref="T802:W802"/>
    <mergeCell ref="D930:E930"/>
    <mergeCell ref="D929:E929"/>
    <mergeCell ref="D786:E786"/>
    <mergeCell ref="F786:G786"/>
    <mergeCell ref="H786:I786"/>
    <mergeCell ref="J786:K786"/>
    <mergeCell ref="F1218:G1218"/>
    <mergeCell ref="H1218:I1218"/>
    <mergeCell ref="J1218:K1218"/>
    <mergeCell ref="D1219:E1219"/>
    <mergeCell ref="F1219:G1219"/>
    <mergeCell ref="H1219:I1219"/>
    <mergeCell ref="T662:W662"/>
    <mergeCell ref="B1085:C1085"/>
    <mergeCell ref="B1088:C1088"/>
    <mergeCell ref="B1519:C1519"/>
    <mergeCell ref="B1520:C1520"/>
    <mergeCell ref="B1359:B1361"/>
    <mergeCell ref="B1515:C1515"/>
    <mergeCell ref="B1516:C1516"/>
    <mergeCell ref="B1093:C1093"/>
    <mergeCell ref="B1227:C1227"/>
    <mergeCell ref="B1216:C1216"/>
    <mergeCell ref="B1301:C1301"/>
    <mergeCell ref="B1357:C1357"/>
    <mergeCell ref="T927:W927"/>
    <mergeCell ref="B782:C782"/>
    <mergeCell ref="H782:I782"/>
    <mergeCell ref="T782:W782"/>
    <mergeCell ref="J785:K785"/>
    <mergeCell ref="J714:K714"/>
    <mergeCell ref="D715:E715"/>
    <mergeCell ref="F715:G715"/>
    <mergeCell ref="H715:I715"/>
    <mergeCell ref="J715:K715"/>
    <mergeCell ref="D716:E716"/>
    <mergeCell ref="T1574:W1574"/>
    <mergeCell ref="T1645:W1645"/>
    <mergeCell ref="B1086:C1086"/>
    <mergeCell ref="T1379:W1379"/>
    <mergeCell ref="J1288:K1288"/>
    <mergeCell ref="J930:K930"/>
    <mergeCell ref="T1501:W1501"/>
    <mergeCell ref="T952:W952"/>
    <mergeCell ref="T1524:W1524"/>
    <mergeCell ref="U1595:W1595"/>
    <mergeCell ref="J1219:K1219"/>
    <mergeCell ref="F931:G931"/>
    <mergeCell ref="B1157:C1157"/>
    <mergeCell ref="T1002:W1002"/>
    <mergeCell ref="B1090:C1090"/>
    <mergeCell ref="B1091:C1091"/>
    <mergeCell ref="B1087:C1087"/>
    <mergeCell ref="B1020:C1020"/>
    <mergeCell ref="B1021:C1021"/>
    <mergeCell ref="B1016:C1016"/>
    <mergeCell ref="B1158:C1158"/>
    <mergeCell ref="B1159:C1159"/>
    <mergeCell ref="B1160:C1160"/>
    <mergeCell ref="B1161:C1161"/>
    <mergeCell ref="L646:M646"/>
    <mergeCell ref="B642:C642"/>
    <mergeCell ref="H646:I646"/>
    <mergeCell ref="H645:I645"/>
    <mergeCell ref="J1647:K1647"/>
    <mergeCell ref="J1648:K1648"/>
    <mergeCell ref="B712:C712"/>
    <mergeCell ref="H712:I712"/>
    <mergeCell ref="T712:W712"/>
    <mergeCell ref="B714:B716"/>
    <mergeCell ref="J1578:K1578"/>
    <mergeCell ref="B869:C869"/>
    <mergeCell ref="B723:C723"/>
    <mergeCell ref="B724:C724"/>
    <mergeCell ref="B725:C725"/>
    <mergeCell ref="H854:I854"/>
    <mergeCell ref="D854:E854"/>
    <mergeCell ref="B1521:C1521"/>
    <mergeCell ref="B1226:C1226"/>
    <mergeCell ref="B1014:C1014"/>
    <mergeCell ref="B1094:C1094"/>
    <mergeCell ref="B1072:C1072"/>
    <mergeCell ref="D1074:E1074"/>
    <mergeCell ref="B945:C945"/>
    <mergeCell ref="F1723:G1723"/>
    <mergeCell ref="B1668:C1668"/>
    <mergeCell ref="B1735:C1735"/>
    <mergeCell ref="B946:C946"/>
    <mergeCell ref="B445:C445"/>
    <mergeCell ref="B446:C446"/>
    <mergeCell ref="B644:B646"/>
    <mergeCell ref="D644:E644"/>
    <mergeCell ref="F644:G644"/>
    <mergeCell ref="D646:E646"/>
    <mergeCell ref="F646:G646"/>
    <mergeCell ref="B1012:C1012"/>
    <mergeCell ref="B652:C652"/>
    <mergeCell ref="B660:C660"/>
    <mergeCell ref="B661:C661"/>
    <mergeCell ref="B512:C512"/>
    <mergeCell ref="B501:C501"/>
    <mergeCell ref="B519:C519"/>
    <mergeCell ref="B520:C520"/>
    <mergeCell ref="B521:C521"/>
    <mergeCell ref="B574:B576"/>
    <mergeCell ref="D574:E574"/>
    <mergeCell ref="F574:G574"/>
    <mergeCell ref="D575:E575"/>
    <mergeCell ref="B1518:C1518"/>
    <mergeCell ref="B1737:C1737"/>
    <mergeCell ref="B1722:B1724"/>
    <mergeCell ref="B1669:C1669"/>
    <mergeCell ref="B1661:C1661"/>
    <mergeCell ref="B1662:C1662"/>
    <mergeCell ref="B1522:C1522"/>
    <mergeCell ref="B1647:B1649"/>
    <mergeCell ref="B1665:C1665"/>
    <mergeCell ref="B1590:C1590"/>
    <mergeCell ref="B1587:C1587"/>
    <mergeCell ref="B1523:C1523"/>
    <mergeCell ref="F1929:G1929"/>
    <mergeCell ref="F1931:G1931"/>
    <mergeCell ref="D1995:E1995"/>
    <mergeCell ref="P2120:S2120"/>
    <mergeCell ref="V2195:W2195"/>
    <mergeCell ref="E2192:K2192"/>
    <mergeCell ref="P2122:S2122"/>
    <mergeCell ref="T2052:W2052"/>
    <mergeCell ref="V2123:W2123"/>
    <mergeCell ref="P2194:S2194"/>
    <mergeCell ref="N2195:O2195"/>
    <mergeCell ref="R2195:S2195"/>
    <mergeCell ref="T2123:U2123"/>
    <mergeCell ref="T2195:U2195"/>
    <mergeCell ref="F2055:G2055"/>
    <mergeCell ref="F2123:G2123"/>
    <mergeCell ref="H2195:I2195"/>
    <mergeCell ref="T1993:W1993"/>
    <mergeCell ref="P2052:S2052"/>
    <mergeCell ref="H1995:I1995"/>
    <mergeCell ref="R2055:S2055"/>
    <mergeCell ref="H1993:I1993"/>
    <mergeCell ref="J1995:K1995"/>
    <mergeCell ref="P2055:Q2055"/>
    <mergeCell ref="T1720:W1720"/>
    <mergeCell ref="B2192:C2192"/>
    <mergeCell ref="B1795:B1797"/>
    <mergeCell ref="D1796:E1796"/>
    <mergeCell ref="D1797:E1797"/>
    <mergeCell ref="B1941:C1941"/>
    <mergeCell ref="B1808:C1808"/>
    <mergeCell ref="B1995:B1996"/>
    <mergeCell ref="B1940:C1940"/>
    <mergeCell ref="B1807:C1807"/>
    <mergeCell ref="B1810:C1810"/>
    <mergeCell ref="B1806:C1806"/>
    <mergeCell ref="B1811:C1811"/>
    <mergeCell ref="B1809:C1809"/>
    <mergeCell ref="D1931:E1931"/>
    <mergeCell ref="D1795:E1795"/>
    <mergeCell ref="D1930:E1930"/>
    <mergeCell ref="D2123:E2123"/>
    <mergeCell ref="D2122:G2122"/>
    <mergeCell ref="D2055:E2055"/>
    <mergeCell ref="F1930:G1930"/>
    <mergeCell ref="B1876:C1876"/>
    <mergeCell ref="T1811:W1811"/>
    <mergeCell ref="L1863:M1863"/>
    <mergeCell ref="P2263:Q2263"/>
    <mergeCell ref="R2263:S2263"/>
    <mergeCell ref="P2260:S2260"/>
    <mergeCell ref="T2260:W2260"/>
    <mergeCell ref="T2263:U2263"/>
    <mergeCell ref="B303:C303"/>
    <mergeCell ref="T2054:W2054"/>
    <mergeCell ref="T2055:U2055"/>
    <mergeCell ref="V2055:W2055"/>
    <mergeCell ref="F930:G930"/>
    <mergeCell ref="P2123:Q2123"/>
    <mergeCell ref="R2123:S2123"/>
    <mergeCell ref="P2192:S2192"/>
    <mergeCell ref="T2192:W2192"/>
    <mergeCell ref="V2263:W2263"/>
    <mergeCell ref="P2262:S2262"/>
    <mergeCell ref="T2262:W2262"/>
    <mergeCell ref="T2194:W2194"/>
    <mergeCell ref="P2195:Q2195"/>
    <mergeCell ref="T2210:W2210"/>
    <mergeCell ref="J854:K854"/>
    <mergeCell ref="T1429:W1429"/>
    <mergeCell ref="U1451:W1451"/>
    <mergeCell ref="U1236:W1236"/>
    <mergeCell ref="T186:W186"/>
    <mergeCell ref="T310:W310"/>
    <mergeCell ref="T852:W852"/>
    <mergeCell ref="T877:W877"/>
    <mergeCell ref="T732:W732"/>
    <mergeCell ref="T380:W380"/>
    <mergeCell ref="D434:E434"/>
    <mergeCell ref="H855:I855"/>
    <mergeCell ref="F854:G854"/>
    <mergeCell ref="H852:I852"/>
    <mergeCell ref="J645:K645"/>
    <mergeCell ref="J855:K855"/>
    <mergeCell ref="T642:W642"/>
    <mergeCell ref="T360:W360"/>
    <mergeCell ref="H430:I430"/>
    <mergeCell ref="L432:M432"/>
    <mergeCell ref="L433:M433"/>
    <mergeCell ref="L434:M434"/>
    <mergeCell ref="L854:M854"/>
    <mergeCell ref="L855:M855"/>
    <mergeCell ref="L856:M856"/>
    <mergeCell ref="H433:I433"/>
    <mergeCell ref="F432:G432"/>
    <mergeCell ref="D433:E433"/>
    <mergeCell ref="T2526:W2526"/>
    <mergeCell ref="T2070:W2070"/>
    <mergeCell ref="T2120:W2120"/>
    <mergeCell ref="T2142:W2142"/>
    <mergeCell ref="T2390:W2390"/>
    <mergeCell ref="T2468:W2468"/>
    <mergeCell ref="T2122:W2122"/>
    <mergeCell ref="T2418:W2418"/>
    <mergeCell ref="T2282:W2282"/>
    <mergeCell ref="T2332:W2332"/>
    <mergeCell ref="T2340:W2340"/>
    <mergeCell ref="T2476:W2476"/>
    <mergeCell ref="H2055:I2055"/>
    <mergeCell ref="B654:C654"/>
    <mergeCell ref="B941:C941"/>
    <mergeCell ref="B943:C943"/>
    <mergeCell ref="B852:C852"/>
    <mergeCell ref="B1074:B1076"/>
    <mergeCell ref="B948:C948"/>
    <mergeCell ref="T2002:W2002"/>
    <mergeCell ref="T1943:W1943"/>
    <mergeCell ref="H1996:I1996"/>
    <mergeCell ref="J1996:K1996"/>
    <mergeCell ref="T1743:W1743"/>
    <mergeCell ref="P2054:S2054"/>
    <mergeCell ref="B655:C655"/>
    <mergeCell ref="B722:C722"/>
    <mergeCell ref="B876:C876"/>
    <mergeCell ref="B1576:B1578"/>
    <mergeCell ref="B1089:C1089"/>
    <mergeCell ref="F1290:G1290"/>
    <mergeCell ref="F1148:G1148"/>
    <mergeCell ref="H1148:I1148"/>
    <mergeCell ref="J931:K931"/>
    <mergeCell ref="H1723:I1723"/>
    <mergeCell ref="H1724:I1724"/>
    <mergeCell ref="H2123:I2123"/>
    <mergeCell ref="T451:W451"/>
    <mergeCell ref="T1072:W1072"/>
    <mergeCell ref="F1076:G1076"/>
    <mergeCell ref="B183:C183"/>
    <mergeCell ref="B870:C870"/>
    <mergeCell ref="H504:I504"/>
    <mergeCell ref="H927:I927"/>
    <mergeCell ref="J856:K856"/>
    <mergeCell ref="D714:E714"/>
    <mergeCell ref="H784:I784"/>
    <mergeCell ref="H785:I785"/>
    <mergeCell ref="D1648:E1648"/>
    <mergeCell ref="D1649:E1649"/>
    <mergeCell ref="F1724:G1724"/>
    <mergeCell ref="B1927:C1927"/>
    <mergeCell ref="B1720:C1720"/>
    <mergeCell ref="D1929:E1929"/>
    <mergeCell ref="B1660:C1660"/>
    <mergeCell ref="D287:E287"/>
    <mergeCell ref="H432:I432"/>
    <mergeCell ref="S1861:W1861"/>
    <mergeCell ref="T1793:W1793"/>
    <mergeCell ref="S1927:W1927"/>
    <mergeCell ref="B2526:C2526"/>
    <mergeCell ref="B2468:C2468"/>
    <mergeCell ref="B2001:C2001"/>
    <mergeCell ref="F1996:G1996"/>
    <mergeCell ref="B1993:C1993"/>
    <mergeCell ref="B2052:C2052"/>
    <mergeCell ref="D1996:E1996"/>
    <mergeCell ref="E2052:K2052"/>
    <mergeCell ref="B2390:C2390"/>
    <mergeCell ref="B2209:C2209"/>
    <mergeCell ref="B2120:C2120"/>
    <mergeCell ref="B2069:C2069"/>
    <mergeCell ref="E2120:K2120"/>
    <mergeCell ref="D2054:G2054"/>
    <mergeCell ref="B2260:C2260"/>
    <mergeCell ref="D2194:G2194"/>
    <mergeCell ref="F2195:G2195"/>
    <mergeCell ref="D2195:E2195"/>
    <mergeCell ref="B2141:C2141"/>
    <mergeCell ref="B2068:C2068"/>
    <mergeCell ref="F1995:G1995"/>
    <mergeCell ref="J2393:K2393"/>
    <mergeCell ref="D2334:E2334"/>
    <mergeCell ref="F2334:G2334"/>
    <mergeCell ref="B35:C35"/>
    <mergeCell ref="B1929:B1931"/>
    <mergeCell ref="B867:C867"/>
    <mergeCell ref="B872:C872"/>
    <mergeCell ref="B873:C873"/>
    <mergeCell ref="B868:C868"/>
    <mergeCell ref="B866:C866"/>
    <mergeCell ref="B874:C874"/>
    <mergeCell ref="B875:C875"/>
    <mergeCell ref="B36:C36"/>
    <mergeCell ref="B450:C450"/>
    <mergeCell ref="B927:C927"/>
    <mergeCell ref="B942:C942"/>
    <mergeCell ref="B304:C304"/>
    <mergeCell ref="B1375:C1375"/>
    <mergeCell ref="B1368:C1368"/>
    <mergeCell ref="B947:C947"/>
    <mergeCell ref="B854:B856"/>
    <mergeCell ref="B1369:C1369"/>
    <mergeCell ref="B430:C430"/>
    <mergeCell ref="B1092:C1092"/>
    <mergeCell ref="B441:C441"/>
    <mergeCell ref="B442:C442"/>
    <mergeCell ref="B951:C951"/>
    <mergeCell ref="V7:W7"/>
    <mergeCell ref="B88:C88"/>
    <mergeCell ref="B8:C8"/>
    <mergeCell ref="B7:C7"/>
    <mergeCell ref="B26:C26"/>
    <mergeCell ref="T7:U7"/>
    <mergeCell ref="J7:K7"/>
    <mergeCell ref="P7:Q7"/>
    <mergeCell ref="R7:S7"/>
    <mergeCell ref="B10:E10"/>
    <mergeCell ref="S88:W88"/>
    <mergeCell ref="S38:W38"/>
    <mergeCell ref="D7:E7"/>
    <mergeCell ref="B24:C24"/>
    <mergeCell ref="B27:C27"/>
    <mergeCell ref="B33:C33"/>
    <mergeCell ref="B34:C34"/>
    <mergeCell ref="B31:C31"/>
    <mergeCell ref="B30:C30"/>
    <mergeCell ref="B28:C28"/>
    <mergeCell ref="B29:C29"/>
    <mergeCell ref="D13:E13"/>
    <mergeCell ref="D12:E12"/>
    <mergeCell ref="F12:G12"/>
    <mergeCell ref="E1:K1"/>
    <mergeCell ref="E2:K2"/>
    <mergeCell ref="D92:E92"/>
    <mergeCell ref="B1937:C1937"/>
    <mergeCell ref="B37:C37"/>
    <mergeCell ref="B103:C103"/>
    <mergeCell ref="B105:C105"/>
    <mergeCell ref="E4:I4"/>
    <mergeCell ref="F7:G7"/>
    <mergeCell ref="B32:C32"/>
    <mergeCell ref="B104:C104"/>
    <mergeCell ref="B100:C100"/>
    <mergeCell ref="B102:C102"/>
    <mergeCell ref="H7:I7"/>
    <mergeCell ref="D14:E14"/>
    <mergeCell ref="B12:B14"/>
    <mergeCell ref="B25:C25"/>
    <mergeCell ref="B99:C99"/>
    <mergeCell ref="F434:G434"/>
    <mergeCell ref="J432:K432"/>
    <mergeCell ref="J433:K433"/>
    <mergeCell ref="H1072:I1072"/>
    <mergeCell ref="H1076:I1076"/>
    <mergeCell ref="H930:I930"/>
    <mergeCell ref="B944:C944"/>
    <mergeCell ref="B656:C656"/>
    <mergeCell ref="B659:C659"/>
    <mergeCell ref="B1013:C1013"/>
    <mergeCell ref="B653:C653"/>
    <mergeCell ref="B728:C728"/>
    <mergeCell ref="B729:C729"/>
    <mergeCell ref="J1724:K1724"/>
    <mergeCell ref="H929:I929"/>
    <mergeCell ref="J1148:K1148"/>
    <mergeCell ref="J1149:K1149"/>
    <mergeCell ref="J1289:K1289"/>
    <mergeCell ref="J1220:K1220"/>
    <mergeCell ref="J1074:K1074"/>
    <mergeCell ref="J1075:K1075"/>
    <mergeCell ref="J1076:K1076"/>
    <mergeCell ref="J1431:K1431"/>
    <mergeCell ref="H1431:I1431"/>
    <mergeCell ref="H1432:I1432"/>
    <mergeCell ref="H1429:I1429"/>
    <mergeCell ref="H1220:I1220"/>
    <mergeCell ref="J1649:K1649"/>
    <mergeCell ref="H1360:I1360"/>
    <mergeCell ref="H1074:I1074"/>
    <mergeCell ref="B444:C444"/>
    <mergeCell ref="B448:C448"/>
    <mergeCell ref="B871:C871"/>
    <mergeCell ref="B432:B434"/>
    <mergeCell ref="B447:C447"/>
    <mergeCell ref="B449:C449"/>
    <mergeCell ref="F856:G856"/>
    <mergeCell ref="F433:G433"/>
    <mergeCell ref="B443:C443"/>
    <mergeCell ref="B657:C657"/>
    <mergeCell ref="B658:C658"/>
    <mergeCell ref="D645:E645"/>
    <mergeCell ref="F645:G645"/>
    <mergeCell ref="F575:G575"/>
    <mergeCell ref="D576:E576"/>
    <mergeCell ref="F576:G576"/>
    <mergeCell ref="F716:G716"/>
    <mergeCell ref="B792:C792"/>
    <mergeCell ref="B793:C793"/>
    <mergeCell ref="D856:E856"/>
    <mergeCell ref="D1433:E1433"/>
    <mergeCell ref="F1433:G1433"/>
    <mergeCell ref="H1433:I1433"/>
    <mergeCell ref="J1433:K1433"/>
    <mergeCell ref="D432:E432"/>
    <mergeCell ref="F855:G855"/>
    <mergeCell ref="F929:G929"/>
    <mergeCell ref="F1074:G1074"/>
    <mergeCell ref="D931:E931"/>
    <mergeCell ref="H1149:I1149"/>
    <mergeCell ref="H1216:I1216"/>
    <mergeCell ref="H1286:I1286"/>
    <mergeCell ref="H1288:I1288"/>
    <mergeCell ref="H1146:I1146"/>
    <mergeCell ref="H1075:I1075"/>
    <mergeCell ref="H644:I644"/>
    <mergeCell ref="J644:K644"/>
    <mergeCell ref="J646:K646"/>
    <mergeCell ref="H501:I501"/>
    <mergeCell ref="J574:K574"/>
    <mergeCell ref="H575:I575"/>
    <mergeCell ref="J575:K575"/>
    <mergeCell ref="H576:I576"/>
    <mergeCell ref="J576:K576"/>
    <mergeCell ref="B1440:C1440"/>
    <mergeCell ref="B1218:B1220"/>
    <mergeCell ref="B1095:C1095"/>
    <mergeCell ref="B1146:C1146"/>
    <mergeCell ref="B1148:B1150"/>
    <mergeCell ref="B1228:C1228"/>
    <mergeCell ref="J1360:K1360"/>
    <mergeCell ref="H1359:I1359"/>
    <mergeCell ref="B1371:C1371"/>
    <mergeCell ref="D1359:E1359"/>
    <mergeCell ref="F1359:G1359"/>
    <mergeCell ref="J1359:K1359"/>
    <mergeCell ref="D1361:E1361"/>
    <mergeCell ref="H1361:I1361"/>
    <mergeCell ref="J1361:K1361"/>
    <mergeCell ref="B1370:C1370"/>
    <mergeCell ref="F1150:G1150"/>
    <mergeCell ref="H1150:I1150"/>
    <mergeCell ref="D1218:E1218"/>
    <mergeCell ref="D1220:E1220"/>
    <mergeCell ref="F1220:G1220"/>
    <mergeCell ref="F1288:G1288"/>
    <mergeCell ref="F1432:G1432"/>
    <mergeCell ref="J1432:K1432"/>
    <mergeCell ref="J2334:K2334"/>
    <mergeCell ref="D2393:E2393"/>
    <mergeCell ref="H2332:I2332"/>
    <mergeCell ref="B1445:C1445"/>
    <mergeCell ref="B1446:C1446"/>
    <mergeCell ref="B1447:C1447"/>
    <mergeCell ref="B1448:C1448"/>
    <mergeCell ref="B1736:C1736"/>
    <mergeCell ref="B1645:C1645"/>
    <mergeCell ref="B1664:C1664"/>
    <mergeCell ref="B1593:C1593"/>
    <mergeCell ref="B1591:C1591"/>
    <mergeCell ref="B1586:C1586"/>
    <mergeCell ref="B1592:C1592"/>
    <mergeCell ref="B1449:C1449"/>
    <mergeCell ref="B1450:C1450"/>
    <mergeCell ref="B1588:C1588"/>
    <mergeCell ref="B1589:C1589"/>
    <mergeCell ref="B1585:C1585"/>
    <mergeCell ref="B1501:C1501"/>
    <mergeCell ref="F1648:G1648"/>
    <mergeCell ref="H2335:I2335"/>
    <mergeCell ref="H2054:K2054"/>
    <mergeCell ref="J2055:K2055"/>
    <mergeCell ref="D2528:E2528"/>
    <mergeCell ref="D2263:E2263"/>
    <mergeCell ref="F2392:G2392"/>
    <mergeCell ref="F2393:G2393"/>
    <mergeCell ref="H2392:I2392"/>
    <mergeCell ref="H2393:I2393"/>
    <mergeCell ref="H2390:I2390"/>
    <mergeCell ref="D2335:E2335"/>
    <mergeCell ref="D2392:E2392"/>
    <mergeCell ref="F2335:G2335"/>
    <mergeCell ref="D2470:E2470"/>
    <mergeCell ref="H2334:I2334"/>
    <mergeCell ref="S160:W160"/>
    <mergeCell ref="S285:W285"/>
    <mergeCell ref="B360:E360"/>
    <mergeCell ref="S430:W430"/>
    <mergeCell ref="F164:G164"/>
    <mergeCell ref="C2336:C2337"/>
    <mergeCell ref="B2332:C2332"/>
    <mergeCell ref="E2134:K2134"/>
    <mergeCell ref="E2274:K2274"/>
    <mergeCell ref="H2122:K2122"/>
    <mergeCell ref="H2194:K2194"/>
    <mergeCell ref="J2195:K2195"/>
    <mergeCell ref="J2335:K2335"/>
    <mergeCell ref="B2281:C2281"/>
    <mergeCell ref="E2260:K2260"/>
    <mergeCell ref="H2263:I2263"/>
    <mergeCell ref="D2262:G2262"/>
    <mergeCell ref="H2262:K2262"/>
    <mergeCell ref="B1514:C1514"/>
    <mergeCell ref="B1594:C1594"/>
    <mergeCell ref="B1574:C1574"/>
    <mergeCell ref="B1666:C1666"/>
    <mergeCell ref="F1431:G1431"/>
    <mergeCell ref="D1432:E1432"/>
  </mergeCells>
  <phoneticPr fontId="5" type="noConversion"/>
  <dataValidations count="1">
    <dataValidation type="list" allowBlank="1" showInputMessage="1" showErrorMessage="1" sqref="W5">
      <formula1>vat</formula1>
    </dataValidation>
  </dataValidations>
  <hyperlinks>
    <hyperlink ref="B7:C7" location="MENU" display="НА ГЛАВНУЮ"/>
    <hyperlink ref="T2120" location="Frame_Premi" display="Frame_Premi"/>
    <hyperlink ref="T2142" location="Framugi" display="Framugi"/>
    <hyperlink ref="S88" location="Door_Standard" display="Door_Standard"/>
    <hyperlink ref="S160" location="Door_RutaF" display="Door_RutaF"/>
    <hyperlink ref="S430" location="Door_Idea_line" display="Door_Idea_line"/>
    <hyperlink ref="T852" location="Door_Lada" display="Door_Lada"/>
    <hyperlink ref="T927" location="Door_LadaK" display="Door_LadaK"/>
    <hyperlink ref="T1574" location="Door_LadaN" display="Door_LadaN"/>
    <hyperlink ref="T1645" location="Door_Lineya" display="Door_Lineya"/>
    <hyperlink ref="T1720" location="Door_Line" display="Door_Line"/>
    <hyperlink ref="T1793" location="Door_Elegant" display="Door_Elegant"/>
    <hyperlink ref="S1927" location="Door_VertoEleg" display="Door_VertoEleg"/>
    <hyperlink ref="T2052" location="Verto_Slide" display="Verto_Slide"/>
    <hyperlink ref="T1993" location="Door_Dobor" display="Door_Dobor"/>
    <hyperlink ref="T2390" location="Frame_VFit" display="Frame_VFit"/>
    <hyperlink ref="T2002" location="Framugi" display="Framugi"/>
    <hyperlink ref="T2002:W2002" location="Frame_Stand" display="Frame_Stand"/>
    <hyperlink ref="T186:W186" location="Door_Idea" display="Door_Idea"/>
    <hyperlink ref="T310:W310" location="Door_IdeaLoft" display="Door_IdeaLoft"/>
    <hyperlink ref="T451:W451" location="Door_LadaB" display="Door_LadaB"/>
    <hyperlink ref="T877:W877" location="Door_LadaN" display="Door_LadaN"/>
    <hyperlink ref="T952:W952" location="Door_Mira" display="Door_Mira"/>
    <hyperlink ref="U1595:X1595" location="Door_Line" display="Door_Line"/>
    <hyperlink ref="T1670:W1670" location="Door_Elegant" display="Door_Elegant"/>
    <hyperlink ref="T1743:W1743" location="Door_Glasford" display="Door_Glasford"/>
    <hyperlink ref="T1943:W1943" location="Verto_Slide" display="Verto_Slide"/>
    <hyperlink ref="T1811:W1811" location="Door_Dobor_Lada" display="Door_Dobor_Lada"/>
    <hyperlink ref="S1927:W1927" location="Door_Dobor_Lada" display="Door_Dobor_Lada"/>
    <hyperlink ref="T1574:W1574" location="Door_Pollo" display="Door_Pollo"/>
    <hyperlink ref="E1587" location="Door_Lineya" display="Door_Lineya"/>
    <hyperlink ref="T2070:W2070" location="Frame_VFit" display="Frame_VFit"/>
    <hyperlink ref="T2468:W2468" location="Framugi" display="Framugi"/>
    <hyperlink ref="T2476" location="Framugi" display="Framugi"/>
    <hyperlink ref="T2476:W2476" location="Furniture" display="Furniture"/>
    <hyperlink ref="T2418:W2418" location="DoorHandles" display="DoorHandles"/>
    <hyperlink ref="T2526:W2526" location="DoorHandles" display="DoorHandles"/>
    <hyperlink ref="E36" location="DoorHandles" display="см. Таблицу Ручки"/>
    <hyperlink ref="E108" location="DoorHandles" display="см. Таблицу Ручки"/>
    <hyperlink ref="E184" location="DoorHandles" display="см. Таблицу Ручки"/>
    <hyperlink ref="E308" location="DoorHandles" display="см. Таблицу Ручки"/>
    <hyperlink ref="E450" location="DoorHandles" display="см. Таблицу Ручки"/>
    <hyperlink ref="E876" location="DoorHandles" display="см. Таблицу Ручки"/>
    <hyperlink ref="E951" location="DoorHandles" display="см. Таблицу Ручки"/>
    <hyperlink ref="E1593" location="DoorHandles" display="DoorHandles"/>
    <hyperlink ref="E1668" location="DoorHandles" display="см. Таблицу Ручки"/>
    <hyperlink ref="E1742" location="DoorHandles" display="см. Таблицу Ручки"/>
    <hyperlink ref="E1586" location="Door_Lineya" display="Door_Lineya"/>
    <hyperlink ref="T2192" location="Frame_Premi" display="Frame_Premi"/>
    <hyperlink ref="T2210" location="Framugi" display="Framugi"/>
    <hyperlink ref="T2390:W2390" location="Plinths" display="Plinths"/>
    <hyperlink ref="T2192:W2192" location="Frame_VFit" display="Frame_VFit"/>
    <hyperlink ref="T2142:W2142" location="Frame_VFitPlus" display="Frame_VFitPlus"/>
    <hyperlink ref="T2260" location="Frame_Premi" display="Frame_Premi"/>
    <hyperlink ref="T2282" location="Framugi" display="Framugi"/>
    <hyperlink ref="T2260:W2260" location="Frame_VFitPlus" display="Frame_VFitPlus"/>
    <hyperlink ref="T2210:W2210" location="Frame_VFitComfort" display="Frame_VFitComfort"/>
    <hyperlink ref="T1072" location="Door_LadaK" display="Door_LadaK"/>
    <hyperlink ref="E1095" location="DoorHandles" display="см. Таблицу Ручки"/>
    <hyperlink ref="U1096:X1096" location="Door_Pollo" display="Door_Pollo"/>
    <hyperlink ref="T1072:W1072" location="Door_Mira" display="Door_Mira"/>
    <hyperlink ref="U1096:W1096" location="Door_Linda" display="Door_Linda"/>
    <hyperlink ref="T1357" location="Door_LadaK" display="Door_LadaK"/>
    <hyperlink ref="T1379:W1379" location="Door_Modern" display="Door_Modern"/>
    <hyperlink ref="T1357:W1357" location="Door_Eva" display="Door_Eva"/>
    <hyperlink ref="E1378" location="DoorHandles" display="см. Таблицу Ручки"/>
    <hyperlink ref="T1429" location="Door_LadaK" display="Door_LadaK"/>
    <hyperlink ref="U1451:X1451" location="Door_Lineya" display="Door_Lineya"/>
    <hyperlink ref="T1429:W1429" location="Door_Trend" display="Door_Trend"/>
    <hyperlink ref="E1450" location="DoorHandles" display="см. Таблицу Ручки"/>
    <hyperlink ref="U1451:W1451" location="Door_Pollo" display="Door_Pollo"/>
    <hyperlink ref="T2120:W2120" location="Frame_Stand" display="Frame_Stand"/>
    <hyperlink ref="T2332" location="Frame_Premi" display="Frame_Premi"/>
    <hyperlink ref="T2332:W2332" location="Frame_VFitComfort" display="Frame_VFitComfort"/>
    <hyperlink ref="T2282:W2282" location="Plinths" display="Plinths"/>
    <hyperlink ref="T2340" location="Framugi" display="Framugi"/>
    <hyperlink ref="T2340:W2340" location="Framugi" display="Framugi"/>
    <hyperlink ref="T642" location="Door_Idea_line" display="Door_Idea_line"/>
    <hyperlink ref="T662:W662" location="Door_Nika" display="Door_Nika"/>
    <hyperlink ref="E661" location="DoorHandles" display="см. Таблицу Ручки"/>
    <hyperlink ref="T642:W642" location="Door_LadaC" display="Door_LadaC"/>
    <hyperlink ref="T501" location="Door_Idea_line" display="Door_Idea_line"/>
    <hyperlink ref="T522:W522" location="Door_LadaC" display="Door_LadaC"/>
    <hyperlink ref="E521" location="DoorHandles" display="см. Таблицу Ручки"/>
    <hyperlink ref="T501:W501" location="Door_LadaA" display="Door_LadaA"/>
    <hyperlink ref="T572" location="Door_Idea_line" display="Door_Idea_line"/>
    <hyperlink ref="T592:W592" location="Door_LadaD" display="Door_LadaD"/>
    <hyperlink ref="E591" location="DoorHandles" display="см. Таблицу Ручки"/>
    <hyperlink ref="T572:W572" location="Door_LadaB" display="Door_LadaB"/>
    <hyperlink ref="T712" location="Door_Idea_line" display="Door_Idea_line"/>
    <hyperlink ref="T732:W732" location="Door_Lisa" display="Door_Lisa"/>
    <hyperlink ref="E731" location="DoorHandles" display="см. Таблицу Ручки"/>
    <hyperlink ref="T712:W712" location="Door_LadaC" display="Door_LadaC"/>
    <hyperlink ref="T782" location="Door_Idea_line" display="Door_Idea_line"/>
    <hyperlink ref="T802:W802" location="Door_LadaK" display="Door_LadaK"/>
    <hyperlink ref="E801" location="DoorHandles" display="см. Таблицу Ручки"/>
    <hyperlink ref="T782:W782" location="Door_LadaC" display="Door_LadaC"/>
    <hyperlink ref="T1002" location="Door_Idea_line" display="Door_Idea_line"/>
    <hyperlink ref="T1022:W1022" location="Door_LadaL" display="Door_LadaL"/>
    <hyperlink ref="E1021" location="DoorHandles" display="см. Таблицу Ручки"/>
    <hyperlink ref="T1002:W1002" location="Door_LadaN" display="Door_LadaN"/>
    <hyperlink ref="T852:W852" location="Door_Lisa" display="Door_Lisa"/>
    <hyperlink ref="T1146" location="Door_Idea_line" display="Door_Idea_line"/>
    <hyperlink ref="U1166:W1166" location="Door_Tiana" display="Door_Tiana"/>
    <hyperlink ref="E1165" location="DoorHandles" display="см. Таблицу Ручки"/>
    <hyperlink ref="T1146:W1146" location="Door_LadaL" display="Door_LadaL"/>
    <hyperlink ref="T1216" location="Door_Idea_line" display="Door_Idea_line"/>
    <hyperlink ref="U1236:X1236" location="Door_Eva" display="Door_Eva"/>
    <hyperlink ref="E1235" location="DoorHandles" display="см. Таблицу Ручки"/>
    <hyperlink ref="T1216:W1216" location="Door_Linda" display="Door_Linda"/>
    <hyperlink ref="T1286" location="Door_Idea_line" display="Door_Idea_line"/>
    <hyperlink ref="U1307:X1307" location="Door_LadaL" display="Door_LadaL"/>
    <hyperlink ref="E1306" location="DoorHandles" display="см. Таблицу Ручки"/>
    <hyperlink ref="T1286:W1286" location="Door_Tiana" display="Door_Tiana"/>
    <hyperlink ref="T1501" location="Door_LadaK" display="Door_LadaK"/>
    <hyperlink ref="T1524:W1524" location="Door_Lineya" display="Door_Lineya"/>
    <hyperlink ref="T1501:W1501" location="Door_Modern" display="Door_Modern"/>
    <hyperlink ref="E1523" location="DoorHandles" display="см. Таблицу Ручки"/>
    <hyperlink ref="U1307:W1307" location="Door_Trend" display="Door_Trend"/>
    <hyperlink ref="S1861" location="Door_VertoEleg" display="Door_VertoEleg"/>
    <hyperlink ref="S1861:W1861" location="Door_Glasford" display="Door_Glasford"/>
    <hyperlink ref="T1877:W1877" location="Door_Dobor" display="Door_Dobor"/>
    <hyperlink ref="T360" location="Door_Gordana" display="Door_Gordana"/>
    <hyperlink ref="T380:W380" location="Door_LadaA" display="Door_LadaA"/>
    <hyperlink ref="E378" location="DoorHandles" display="см. Таблицу Ручки"/>
    <hyperlink ref="T360:W360" location="Door_Idea" display="Door_Idea"/>
    <hyperlink ref="O88" location="Door_Standard" display="Door_Standard"/>
    <hyperlink ref="O160" location="Door_RutaF" display="Door_RutaF"/>
    <hyperlink ref="O285" location="Door_Gordana" display="Door_Gordana"/>
    <hyperlink ref="O430" location="Door_Idea_line" display="Door_Idea_line"/>
    <hyperlink ref="O1927" location="Door_Dobor_Lada" display="Door_Dobor_Lada"/>
    <hyperlink ref="O1861" location="Door_Glasford" display="Door_Glasford"/>
    <hyperlink ref="S285" location="Door_RutaF" display="Door_RutaF"/>
  </hyperlinks>
  <pageMargins left="0.23622047244094491" right="0.27559055118110237" top="0.27559055118110237" bottom="0.31496062992125984" header="0.27559055118110237" footer="0.31496062992125984"/>
  <pageSetup paperSize="9" scale="86" fitToHeight="50" orientation="landscape" r:id="rId1"/>
  <headerFooter alignWithMargins="0"/>
  <rowBreaks count="18" manualBreakCount="18">
    <brk id="87" max="18" man="1"/>
    <brk id="159" max="18" man="1"/>
    <brk id="284" max="18" man="1"/>
    <brk id="429" max="18" man="1"/>
    <brk id="851" max="18" man="1"/>
    <brk id="926" max="18" man="1"/>
    <brk id="1572" max="18" man="1"/>
    <brk id="1643" max="18" man="1"/>
    <brk id="1718" max="18" man="1"/>
    <brk id="1792" max="18" man="1"/>
    <brk id="1925" max="18" man="1"/>
    <brk id="1991" max="18" man="1"/>
    <brk id="2051" max="18" man="1"/>
    <brk id="2119" max="18" man="1"/>
    <brk id="2191" max="16383" man="1"/>
    <brk id="2389" max="18" man="1"/>
    <brk id="2467" max="16383" man="1"/>
    <brk id="2525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22"/>
  </sheetPr>
  <dimension ref="A1:R456"/>
  <sheetViews>
    <sheetView showGridLines="0" zoomScale="85" zoomScaleNormal="85" workbookViewId="0">
      <pane ySplit="6" topLeftCell="A460" activePane="bottomLeft" state="frozen"/>
      <selection pane="bottomLeft" activeCell="J546" sqref="J546"/>
    </sheetView>
  </sheetViews>
  <sheetFormatPr defaultRowHeight="12.75"/>
  <cols>
    <col min="1" max="1" width="1" style="33" customWidth="1"/>
    <col min="2" max="2" width="17.7109375" style="33" customWidth="1"/>
    <col min="3" max="3" width="11.7109375" style="33" customWidth="1"/>
    <col min="4" max="13" width="14.7109375" style="33" customWidth="1"/>
    <col min="14" max="16384" width="9.140625" style="33"/>
  </cols>
  <sheetData>
    <row r="1" spans="1:18" ht="12.75" customHeight="1">
      <c r="B1" s="117" t="str">
        <f>TITLE!B2</f>
        <v>ВЕРСІЯ: 53.00.22</v>
      </c>
      <c r="C1" s="244" t="str">
        <f>Products!C1</f>
        <v>UA</v>
      </c>
      <c r="M1" s="223" t="str">
        <f>IF($C$1="ENG","PRINT VERSION","ВЕРСІЯ ДЛЯ ДРУКУ")</f>
        <v>ВЕРСІЯ ДЛЯ ДРУКУ</v>
      </c>
    </row>
    <row r="2" spans="1:18">
      <c r="H2" s="352"/>
      <c r="I2" s="352"/>
      <c r="J2" s="245"/>
      <c r="K2" s="246" t="str">
        <f>Products!U2</f>
        <v>знижка</v>
      </c>
      <c r="L2" s="247">
        <f>Products!W2</f>
        <v>0</v>
      </c>
      <c r="M2" s="252"/>
    </row>
    <row r="3" spans="1:18">
      <c r="D3" s="474" t="str">
        <f>Products!E4</f>
        <v>РОЗДРІБНІ ЦІНИ НА ПРОДУКЦІЮ ТМ VERTO</v>
      </c>
      <c r="E3" s="474"/>
      <c r="F3" s="474"/>
      <c r="G3" s="474"/>
      <c r="H3" s="353"/>
      <c r="I3" s="353"/>
      <c r="J3" s="238"/>
      <c r="K3" s="248" t="str">
        <f>Products!U4</f>
        <v>курс валют (за 1 грн.)</v>
      </c>
      <c r="L3" s="249">
        <f>Products!W4</f>
        <v>1</v>
      </c>
      <c r="M3" s="238"/>
    </row>
    <row r="4" spans="1:18" ht="12.75" customHeight="1">
      <c r="D4" s="477" t="str">
        <f>Products!E5</f>
        <v>діє з: 12 Серпня   2022</v>
      </c>
      <c r="E4" s="477"/>
      <c r="F4" s="477"/>
      <c r="G4" s="477"/>
      <c r="H4" s="353"/>
      <c r="I4" s="353"/>
      <c r="J4" s="238"/>
      <c r="K4" s="250" t="str">
        <f>Products!U5</f>
        <v>ПДВ</v>
      </c>
      <c r="L4" s="251">
        <f>Products!W5</f>
        <v>0.2</v>
      </c>
      <c r="M4" s="238"/>
    </row>
    <row r="5" spans="1:18" ht="5.0999999999999996" customHeight="1">
      <c r="C5" s="35"/>
      <c r="D5" s="35"/>
      <c r="E5" s="35"/>
    </row>
    <row r="6" spans="1:18" ht="12.75" customHeight="1">
      <c r="B6" s="478" t="str">
        <f>Products!B8</f>
        <v>Асортимент</v>
      </c>
      <c r="C6" s="479"/>
      <c r="D6" s="480" t="str">
        <f>CONCATENATE(D3," ",Products!E8)</f>
        <v>РОЗДРІБНІ ЦІНИ НА ПРОДУКЦІЮ ТМ VERTO з ПДВ</v>
      </c>
      <c r="E6" s="481"/>
      <c r="F6" s="481"/>
      <c r="G6" s="481"/>
      <c r="H6" s="481"/>
      <c r="I6" s="481"/>
      <c r="J6" s="481"/>
      <c r="K6" s="481"/>
      <c r="L6" s="481"/>
      <c r="M6" s="482"/>
    </row>
    <row r="8" spans="1:18" s="31" customFormat="1" ht="12.75" customHeight="1">
      <c r="B8" s="475" t="str">
        <f>TITLE!$C$8</f>
        <v>Полотна каркасно-щитові: СТАНДАРТ</v>
      </c>
      <c r="C8" s="476"/>
      <c r="D8" s="476"/>
      <c r="E8" s="476"/>
      <c r="F8" s="178"/>
      <c r="G8" s="178"/>
      <c r="H8" s="178"/>
      <c r="I8" s="178"/>
      <c r="J8" s="357"/>
      <c r="K8" s="357"/>
      <c r="L8" s="357"/>
      <c r="M8" s="358"/>
    </row>
    <row r="9" spans="1:18">
      <c r="A9" s="31"/>
      <c r="B9" s="472" t="str">
        <f>Products!B12</f>
        <v>модель</v>
      </c>
      <c r="C9" s="174" t="str">
        <f>Products!C12</f>
        <v>покриття:</v>
      </c>
      <c r="D9" s="177" t="str">
        <f>Products!D12</f>
        <v>SIMPL / V-CELL</v>
      </c>
      <c r="E9" s="177" t="str">
        <f>Products!F12</f>
        <v>UNI-MAT</v>
      </c>
      <c r="F9" s="46"/>
      <c r="G9" s="46"/>
      <c r="H9" s="224"/>
      <c r="I9" s="224"/>
      <c r="J9" s="224"/>
      <c r="K9" s="359"/>
      <c r="L9" s="360" t="str">
        <f>Products!B24</f>
        <v>вентиляційні віддушини (1ряд)</v>
      </c>
      <c r="M9" s="361">
        <f>Products!E24</f>
        <v>250</v>
      </c>
      <c r="O9" s="225"/>
      <c r="P9" s="225"/>
      <c r="Q9" s="225"/>
      <c r="R9" s="225"/>
    </row>
    <row r="10" spans="1:18">
      <c r="A10" s="31"/>
      <c r="B10" s="472"/>
      <c r="C10" s="165" t="str">
        <f>Products!C13</f>
        <v>заповнення:</v>
      </c>
      <c r="D10" s="176" t="str">
        <f>Products!D13</f>
        <v>сотове заповнення</v>
      </c>
      <c r="E10" s="176" t="str">
        <f>Products!F13</f>
        <v>сотове заповнення</v>
      </c>
      <c r="F10" s="150"/>
      <c r="G10" s="150"/>
      <c r="H10" s="224"/>
      <c r="I10" s="224"/>
      <c r="J10" s="224"/>
      <c r="K10" s="362"/>
      <c r="L10" s="356" t="str">
        <f>Products!B25</f>
        <v>вентиляційний підріз</v>
      </c>
      <c r="M10" s="363">
        <f>Products!E25</f>
        <v>170.00000000000003</v>
      </c>
      <c r="O10" s="225"/>
      <c r="P10" s="225"/>
      <c r="Q10" s="225"/>
      <c r="R10" s="225"/>
    </row>
    <row r="11" spans="1:18" ht="12.75" customHeight="1">
      <c r="A11" s="31"/>
      <c r="B11" s="473"/>
      <c r="C11" s="166" t="str">
        <f>Products!C14</f>
        <v>скління:</v>
      </c>
      <c r="D11" s="169" t="str">
        <f>Products!D14</f>
        <v>Кризет</v>
      </c>
      <c r="E11" s="169" t="str">
        <f>Products!F14</f>
        <v>Кризет</v>
      </c>
      <c r="F11" s="167"/>
      <c r="G11" s="168"/>
      <c r="H11" s="224"/>
      <c r="I11" s="224"/>
      <c r="J11" s="224"/>
      <c r="K11" s="362"/>
      <c r="L11" s="356" t="str">
        <f>Products!B26</f>
        <v>третя завіса</v>
      </c>
      <c r="M11" s="363">
        <f>Products!E26</f>
        <v>80</v>
      </c>
      <c r="O11" s="226"/>
      <c r="P11" s="226"/>
      <c r="Q11" s="226"/>
      <c r="R11" s="226"/>
    </row>
    <row r="12" spans="1:18">
      <c r="A12" s="31"/>
      <c r="B12" s="13" t="str">
        <f>Products!B15</f>
        <v>1А</v>
      </c>
      <c r="C12" s="171"/>
      <c r="D12" s="193">
        <f>Products!E15</f>
        <v>5310</v>
      </c>
      <c r="E12" s="191">
        <f>Products!G15</f>
        <v>6060</v>
      </c>
      <c r="F12" s="101"/>
      <c r="G12" s="101"/>
      <c r="H12" s="227"/>
      <c r="I12" s="227"/>
      <c r="J12" s="364"/>
      <c r="K12" s="362"/>
      <c r="L12" s="356" t="str">
        <f>Products!B27</f>
        <v>скло Сатин (мод.1А,1Б)</v>
      </c>
      <c r="M12" s="363">
        <f>Products!E27</f>
        <v>340.00000000000006</v>
      </c>
    </row>
    <row r="13" spans="1:18">
      <c r="A13" s="31"/>
      <c r="B13" s="16" t="str">
        <f>Products!B16</f>
        <v>1Б</v>
      </c>
      <c r="C13" s="172"/>
      <c r="D13" s="193">
        <f>Products!E16</f>
        <v>5620.0000000000009</v>
      </c>
      <c r="E13" s="193">
        <f>Products!G16</f>
        <v>6440</v>
      </c>
      <c r="F13" s="101"/>
      <c r="G13" s="101"/>
      <c r="H13" s="228"/>
      <c r="I13" s="228"/>
      <c r="J13" s="365"/>
      <c r="K13" s="362"/>
      <c r="L13" s="356" t="str">
        <f>Products!B28</f>
        <v>скло Сатин (мод.2А,2Б,3,4)</v>
      </c>
      <c r="M13" s="363">
        <f>Products!E28</f>
        <v>420</v>
      </c>
    </row>
    <row r="14" spans="1:18">
      <c r="A14" s="31"/>
      <c r="B14" s="16" t="str">
        <f>Products!B17</f>
        <v>2А</v>
      </c>
      <c r="C14" s="172"/>
      <c r="D14" s="193">
        <f>Products!E17</f>
        <v>5310</v>
      </c>
      <c r="E14" s="193">
        <f>Products!G17</f>
        <v>6060</v>
      </c>
      <c r="F14" s="101"/>
      <c r="G14" s="101"/>
      <c r="H14" s="229"/>
      <c r="I14" s="229"/>
      <c r="J14" s="366"/>
      <c r="K14" s="362"/>
      <c r="L14" s="356" t="str">
        <f>Products!B29</f>
        <v>скло Графіт / Бронза</v>
      </c>
      <c r="M14" s="363">
        <f>Products!E29</f>
        <v>550</v>
      </c>
    </row>
    <row r="15" spans="1:18">
      <c r="A15" s="31"/>
      <c r="B15" s="16" t="str">
        <f>Products!B18</f>
        <v>2Б</v>
      </c>
      <c r="C15" s="172"/>
      <c r="D15" s="193">
        <f>Products!E18</f>
        <v>5620.0000000000009</v>
      </c>
      <c r="E15" s="193">
        <f>Products!G18</f>
        <v>6440</v>
      </c>
      <c r="F15" s="101"/>
      <c r="G15" s="101"/>
      <c r="H15" s="228"/>
      <c r="I15" s="228"/>
      <c r="J15" s="365"/>
      <c r="K15" s="362"/>
      <c r="L15" s="356" t="str">
        <f>Products!B30</f>
        <v>замок Soft</v>
      </c>
      <c r="M15" s="363">
        <f>Products!E30</f>
        <v>550</v>
      </c>
    </row>
    <row r="16" spans="1:18">
      <c r="A16" s="31"/>
      <c r="B16" s="16" t="str">
        <f>Products!B19</f>
        <v>3.0 - 3.1</v>
      </c>
      <c r="C16" s="172"/>
      <c r="D16" s="193">
        <f>Products!E19</f>
        <v>4990.0000000000009</v>
      </c>
      <c r="E16" s="193">
        <f>Products!G19</f>
        <v>5720</v>
      </c>
      <c r="F16" s="101"/>
      <c r="G16" s="101"/>
      <c r="H16" s="228"/>
      <c r="I16" s="228"/>
      <c r="J16" s="365"/>
      <c r="K16" s="362"/>
      <c r="L16" s="356" t="str">
        <f>Products!B31</f>
        <v>замок Magnet</v>
      </c>
      <c r="M16" s="363">
        <f>Products!E31</f>
        <v>800.00000000000011</v>
      </c>
    </row>
    <row r="17" spans="1:17">
      <c r="A17" s="31"/>
      <c r="B17" s="23" t="str">
        <f>Products!B20</f>
        <v>4.0 - 4.2</v>
      </c>
      <c r="C17" s="173"/>
      <c r="D17" s="195">
        <f>Products!E20</f>
        <v>4990.0000000000009</v>
      </c>
      <c r="E17" s="195">
        <f>Products!G20</f>
        <v>5720</v>
      </c>
      <c r="F17" s="101"/>
      <c r="G17" s="101"/>
      <c r="H17" s="228"/>
      <c r="I17" s="228"/>
      <c r="J17" s="365"/>
      <c r="K17" s="362"/>
      <c r="L17" s="356" t="str">
        <f>Products!B32</f>
        <v>ручка-замок (для дверей купе)</v>
      </c>
      <c r="M17" s="363">
        <f>Products!E32</f>
        <v>560</v>
      </c>
    </row>
    <row r="18" spans="1:17">
      <c r="A18" s="31"/>
      <c r="B18" s="327"/>
      <c r="C18" s="328"/>
      <c r="D18" s="204"/>
      <c r="E18" s="207"/>
      <c r="F18" s="101"/>
      <c r="G18" s="101"/>
      <c r="H18" s="228"/>
      <c r="I18" s="228"/>
      <c r="J18" s="365"/>
      <c r="K18" s="362"/>
      <c r="L18" s="356" t="str">
        <f>Products!B33</f>
        <v>циліндр несиметричний</v>
      </c>
      <c r="M18" s="363">
        <f>Products!E33</f>
        <v>390</v>
      </c>
    </row>
    <row r="19" spans="1:17">
      <c r="C19" s="34"/>
      <c r="D19" s="34"/>
      <c r="E19" s="34"/>
      <c r="F19" s="31"/>
      <c r="J19" s="367"/>
      <c r="K19" s="362"/>
      <c r="L19" s="356" t="str">
        <f>Products!B34</f>
        <v>завіса Prestige (1 шт)</v>
      </c>
      <c r="M19" s="363">
        <f>Products!E34</f>
        <v>260</v>
      </c>
      <c r="N19" s="226"/>
      <c r="O19" s="226"/>
      <c r="P19" s="226"/>
      <c r="Q19" s="226"/>
    </row>
    <row r="20" spans="1:17">
      <c r="C20" s="34"/>
      <c r="D20" s="34"/>
      <c r="E20" s="34"/>
      <c r="F20" s="31"/>
      <c r="J20" s="367"/>
      <c r="K20" s="362"/>
      <c r="L20" s="356" t="str">
        <f>Products!B35</f>
        <v>накладка на завіси (1 к-т)</v>
      </c>
      <c r="M20" s="363">
        <f>Products!E35</f>
        <v>80</v>
      </c>
      <c r="N20" s="226"/>
      <c r="O20" s="226"/>
      <c r="P20" s="226"/>
      <c r="Q20" s="226"/>
    </row>
    <row r="21" spans="1:17">
      <c r="C21" s="34"/>
      <c r="D21" s="34"/>
      <c r="E21" s="34"/>
      <c r="F21" s="31"/>
      <c r="J21" s="367"/>
      <c r="K21" s="362"/>
      <c r="L21" s="356" t="str">
        <f>Products!B36</f>
        <v>дверна ручка</v>
      </c>
      <c r="M21" s="368" t="str">
        <f>Products!E36</f>
        <v>див. Таблицю Ручки</v>
      </c>
      <c r="N21" s="226"/>
      <c r="O21" s="226"/>
      <c r="P21" s="226"/>
      <c r="Q21" s="226"/>
    </row>
    <row r="22" spans="1:17">
      <c r="C22" s="34"/>
      <c r="D22" s="34"/>
      <c r="E22" s="34"/>
      <c r="F22" s="31"/>
      <c r="J22" s="367"/>
      <c r="K22" s="362"/>
      <c r="L22" s="356" t="str">
        <f>Products!B37</f>
        <v>ДСП трубчасте</v>
      </c>
      <c r="M22" s="369">
        <f>Products!E37</f>
        <v>1300.0000000000002</v>
      </c>
      <c r="N22" s="226"/>
      <c r="O22" s="226"/>
      <c r="P22" s="226"/>
      <c r="Q22" s="226"/>
    </row>
    <row r="23" spans="1:17">
      <c r="C23" s="34"/>
      <c r="D23" s="34"/>
      <c r="E23" s="34"/>
      <c r="F23" s="31"/>
      <c r="J23" s="367"/>
      <c r="K23" s="367"/>
      <c r="L23" s="367"/>
      <c r="M23" s="367"/>
      <c r="N23" s="226"/>
      <c r="O23" s="226"/>
      <c r="P23" s="226"/>
      <c r="Q23" s="226"/>
    </row>
    <row r="24" spans="1:17" s="31" customFormat="1" ht="12.75" customHeight="1">
      <c r="B24" s="475" t="str">
        <f>TITLE!$C$9</f>
        <v>Полотна каркасно-щитові: КУПАВА</v>
      </c>
      <c r="C24" s="476"/>
      <c r="D24" s="476"/>
      <c r="E24" s="476"/>
      <c r="F24" s="178"/>
      <c r="G24" s="178"/>
      <c r="H24" s="178"/>
      <c r="I24" s="178"/>
      <c r="J24" s="357"/>
      <c r="K24" s="357"/>
      <c r="L24" s="370"/>
      <c r="M24" s="371"/>
      <c r="N24" s="226"/>
      <c r="O24" s="226"/>
      <c r="P24" s="226"/>
      <c r="Q24" s="226"/>
    </row>
    <row r="25" spans="1:17">
      <c r="A25" s="31"/>
      <c r="B25" s="472" t="str">
        <f>Products!B90</f>
        <v>модель</v>
      </c>
      <c r="C25" s="174" t="str">
        <f>Products!C90</f>
        <v>покриття:</v>
      </c>
      <c r="D25" s="175" t="str">
        <f>Products!D90</f>
        <v>SIMPL / V-CELL</v>
      </c>
      <c r="E25" s="175" t="str">
        <f>Products!F90</f>
        <v>UNI-MAT</v>
      </c>
      <c r="F25" s="46"/>
      <c r="G25" s="46"/>
      <c r="H25" s="224"/>
      <c r="I25" s="224"/>
      <c r="J25" s="224"/>
      <c r="K25" s="372"/>
      <c r="L25" s="355" t="str">
        <f>Products!B98</f>
        <v>вентиляційний підріз</v>
      </c>
      <c r="M25" s="373">
        <f>Products!E98</f>
        <v>170.00000000000003</v>
      </c>
    </row>
    <row r="26" spans="1:17">
      <c r="A26" s="31"/>
      <c r="B26" s="472"/>
      <c r="C26" s="165" t="str">
        <f>Products!C91</f>
        <v>заповнення:</v>
      </c>
      <c r="D26" s="176" t="str">
        <f>Products!D91</f>
        <v>сотове заповнення</v>
      </c>
      <c r="E26" s="176" t="str">
        <f>Products!F91</f>
        <v>сотове заповнення</v>
      </c>
      <c r="F26" s="150"/>
      <c r="G26" s="150"/>
      <c r="H26" s="224"/>
      <c r="I26" s="224"/>
      <c r="J26" s="224"/>
      <c r="K26" s="362"/>
      <c r="L26" s="356" t="str">
        <f>Products!B99</f>
        <v>третя завіса</v>
      </c>
      <c r="M26" s="363">
        <f>Products!E99</f>
        <v>80</v>
      </c>
    </row>
    <row r="27" spans="1:17" ht="12.75" customHeight="1">
      <c r="A27" s="31"/>
      <c r="B27" s="473"/>
      <c r="C27" s="166" t="str">
        <f>Products!C92</f>
        <v>скління:</v>
      </c>
      <c r="D27" s="169" t="str">
        <f>Products!D92</f>
        <v>Кризет</v>
      </c>
      <c r="E27" s="169" t="str">
        <f>Products!F92</f>
        <v>Кризет</v>
      </c>
      <c r="F27" s="167"/>
      <c r="G27" s="168"/>
      <c r="H27" s="224"/>
      <c r="I27" s="224"/>
      <c r="J27" s="224"/>
      <c r="K27" s="362"/>
      <c r="L27" s="356" t="str">
        <f>Products!B100</f>
        <v>скло Сатин</v>
      </c>
      <c r="M27" s="363">
        <f>Products!E100</f>
        <v>340.00000000000006</v>
      </c>
    </row>
    <row r="28" spans="1:17">
      <c r="A28" s="31"/>
      <c r="B28" s="16" t="str">
        <f>Products!B93</f>
        <v>3.0 - 3.1</v>
      </c>
      <c r="C28" s="172"/>
      <c r="D28" s="193">
        <f>Products!E93</f>
        <v>3570</v>
      </c>
      <c r="E28" s="193">
        <f>Products!G93</f>
        <v>4110</v>
      </c>
      <c r="F28" s="101"/>
      <c r="G28" s="101"/>
      <c r="H28" s="230"/>
      <c r="I28" s="230"/>
      <c r="J28" s="374"/>
      <c r="K28" s="362"/>
      <c r="L28" s="356" t="str">
        <f>Products!B103</f>
        <v>замок Magnet</v>
      </c>
      <c r="M28" s="363">
        <f>Products!E103</f>
        <v>800.00000000000011</v>
      </c>
    </row>
    <row r="29" spans="1:17">
      <c r="A29" s="31"/>
      <c r="B29" s="23" t="str">
        <f>Products!B94</f>
        <v>4.0 - 4.1</v>
      </c>
      <c r="C29" s="173"/>
      <c r="D29" s="195">
        <f>Products!E94</f>
        <v>4060</v>
      </c>
      <c r="E29" s="195">
        <f>Products!G94</f>
        <v>4660</v>
      </c>
      <c r="F29" s="101"/>
      <c r="G29" s="101"/>
      <c r="H29" s="230"/>
      <c r="I29" s="230"/>
      <c r="J29" s="374"/>
      <c r="K29" s="362"/>
      <c r="L29" s="356" t="str">
        <f>Products!B104</f>
        <v>ручка-замок (для дверей купе)</v>
      </c>
      <c r="M29" s="363">
        <f>Products!E104</f>
        <v>560</v>
      </c>
    </row>
    <row r="30" spans="1:17">
      <c r="A30" s="31"/>
      <c r="B30" s="327"/>
      <c r="C30" s="328"/>
      <c r="D30" s="204"/>
      <c r="E30" s="207"/>
      <c r="F30" s="101"/>
      <c r="G30" s="101"/>
      <c r="H30" s="230"/>
      <c r="I30" s="230"/>
      <c r="J30" s="374"/>
      <c r="K30" s="362"/>
      <c r="L30" s="356" t="str">
        <f>Products!B105</f>
        <v>циліндр несиметричний</v>
      </c>
      <c r="M30" s="363">
        <f>Products!E105</f>
        <v>390</v>
      </c>
    </row>
    <row r="31" spans="1:17">
      <c r="C31" s="34"/>
      <c r="D31" s="34"/>
      <c r="E31" s="34"/>
      <c r="J31" s="367"/>
      <c r="K31" s="362"/>
      <c r="L31" s="356" t="str">
        <f>Products!B106</f>
        <v>завіса Prestige (1 шт)</v>
      </c>
      <c r="M31" s="363">
        <f>Products!E106</f>
        <v>260</v>
      </c>
    </row>
    <row r="32" spans="1:17">
      <c r="C32" s="34"/>
      <c r="D32" s="34"/>
      <c r="E32" s="34"/>
      <c r="J32" s="367"/>
      <c r="K32" s="362"/>
      <c r="L32" s="356" t="str">
        <f>Products!B107</f>
        <v>накладка на завіси (1 к-т)</v>
      </c>
      <c r="M32" s="363">
        <f>Products!E107</f>
        <v>80</v>
      </c>
    </row>
    <row r="33" spans="1:13">
      <c r="C33" s="34"/>
      <c r="D33" s="34"/>
      <c r="E33" s="34"/>
      <c r="J33" s="367"/>
      <c r="K33" s="362"/>
      <c r="L33" s="356" t="str">
        <f>Products!B108</f>
        <v>дверна ручка</v>
      </c>
      <c r="M33" s="368" t="str">
        <f>Products!E108</f>
        <v>див. Таблицю Ручки</v>
      </c>
    </row>
    <row r="34" spans="1:13">
      <c r="C34" s="34"/>
      <c r="D34" s="34"/>
      <c r="E34" s="34"/>
      <c r="J34" s="367"/>
      <c r="K34" s="362"/>
      <c r="L34" s="356" t="str">
        <f>Products!B109</f>
        <v>ДСП трубчасте</v>
      </c>
      <c r="M34" s="369">
        <f>Products!E109</f>
        <v>1300.0000000000002</v>
      </c>
    </row>
    <row r="35" spans="1:13">
      <c r="C35" s="34"/>
      <c r="D35" s="34"/>
      <c r="E35" s="34"/>
      <c r="J35" s="367"/>
      <c r="K35" s="367"/>
      <c r="L35" s="367"/>
      <c r="M35" s="367"/>
    </row>
    <row r="36" spans="1:13" s="31" customFormat="1" ht="12.75" customHeight="1">
      <c r="B36" s="475" t="str">
        <f>TITLE!$C$10</f>
        <v>Полотна каркасно-щитові: ГЕОМЕТРІЯ</v>
      </c>
      <c r="C36" s="476"/>
      <c r="D36" s="476"/>
      <c r="E36" s="476"/>
      <c r="F36" s="178"/>
      <c r="G36" s="178"/>
      <c r="H36" s="178"/>
      <c r="I36" s="178"/>
      <c r="J36" s="357"/>
      <c r="K36" s="357"/>
      <c r="L36" s="370"/>
      <c r="M36" s="371"/>
    </row>
    <row r="37" spans="1:13">
      <c r="A37" s="31"/>
      <c r="B37" s="472" t="str">
        <f>Products!B162</f>
        <v>модель</v>
      </c>
      <c r="C37" s="174" t="str">
        <f>Products!C162</f>
        <v>покриття:</v>
      </c>
      <c r="D37" s="175" t="str">
        <f>Products!D162</f>
        <v>SIMPL / V-CELL</v>
      </c>
      <c r="E37" s="134" t="str">
        <f>Products!F162</f>
        <v>UNI-MAT</v>
      </c>
      <c r="F37" s="134" t="str">
        <f>Products!H162</f>
        <v>RESIST</v>
      </c>
      <c r="G37" s="340"/>
      <c r="H37" s="46"/>
      <c r="I37" s="46"/>
      <c r="J37" s="46"/>
      <c r="K37" s="372"/>
      <c r="L37" s="355" t="str">
        <f>Products!B173</f>
        <v>вентиляційні віддушини (1ряд)</v>
      </c>
      <c r="M37" s="373">
        <f>Products!E173</f>
        <v>250</v>
      </c>
    </row>
    <row r="38" spans="1:13">
      <c r="A38" s="31"/>
      <c r="B38" s="472"/>
      <c r="C38" s="165" t="str">
        <f>Products!C163</f>
        <v>заповнення:</v>
      </c>
      <c r="D38" s="176" t="str">
        <f>Products!D163</f>
        <v>сотове заповнення</v>
      </c>
      <c r="E38" s="144" t="str">
        <f>Products!F163</f>
        <v>сотове заповнення</v>
      </c>
      <c r="F38" s="144" t="str">
        <f>Products!H163</f>
        <v>сотове заповнення</v>
      </c>
      <c r="G38" s="47"/>
      <c r="H38" s="47"/>
      <c r="I38" s="47"/>
      <c r="J38" s="47"/>
      <c r="K38" s="362"/>
      <c r="L38" s="356" t="str">
        <f>Products!B174</f>
        <v>вентиляційний підріз</v>
      </c>
      <c r="M38" s="363">
        <f>Products!E174</f>
        <v>170.00000000000003</v>
      </c>
    </row>
    <row r="39" spans="1:13" ht="12.75" customHeight="1">
      <c r="A39" s="31"/>
      <c r="B39" s="473"/>
      <c r="C39" s="166" t="str">
        <f>Products!C164</f>
        <v>скління:</v>
      </c>
      <c r="D39" s="169" t="str">
        <f>Products!D164</f>
        <v>Кризет</v>
      </c>
      <c r="E39" s="123" t="str">
        <f>Products!F164</f>
        <v>Кризет</v>
      </c>
      <c r="F39" s="123" t="str">
        <f>Products!H164</f>
        <v>Кризет</v>
      </c>
      <c r="G39" s="168"/>
      <c r="H39" s="167"/>
      <c r="I39" s="167"/>
      <c r="J39" s="167"/>
      <c r="K39" s="362"/>
      <c r="L39" s="356" t="str">
        <f>Products!B175</f>
        <v>третя завіса</v>
      </c>
      <c r="M39" s="363">
        <f>Products!E175</f>
        <v>80</v>
      </c>
    </row>
    <row r="40" spans="1:13">
      <c r="A40" s="31"/>
      <c r="B40" s="13" t="str">
        <f>Products!B165</f>
        <v>1.0 - 1.1</v>
      </c>
      <c r="C40" s="171"/>
      <c r="D40" s="191">
        <f>Products!E165</f>
        <v>3550</v>
      </c>
      <c r="E40" s="192">
        <f>Products!G165</f>
        <v>4080</v>
      </c>
      <c r="F40" s="192">
        <f>Products!I165</f>
        <v>4360</v>
      </c>
      <c r="G40" s="207"/>
      <c r="H40" s="101"/>
      <c r="I40" s="101"/>
      <c r="J40" s="376"/>
      <c r="K40" s="362"/>
      <c r="L40" s="356" t="str">
        <f>Products!B176</f>
        <v>скло Сатин / Жалюзі</v>
      </c>
      <c r="M40" s="363">
        <f>Products!E176</f>
        <v>340.00000000000006</v>
      </c>
    </row>
    <row r="41" spans="1:13">
      <c r="A41" s="31"/>
      <c r="B41" s="16" t="str">
        <f>Products!B166</f>
        <v>3.0 - 3.3</v>
      </c>
      <c r="C41" s="172"/>
      <c r="D41" s="193">
        <f>Products!E166</f>
        <v>3850</v>
      </c>
      <c r="E41" s="194">
        <f>Products!G166</f>
        <v>4440</v>
      </c>
      <c r="F41" s="194">
        <f>Products!I166</f>
        <v>4620</v>
      </c>
      <c r="G41" s="207"/>
      <c r="H41" s="101"/>
      <c r="I41" s="101"/>
      <c r="J41" s="376"/>
      <c r="K41" s="362"/>
      <c r="L41" s="356" t="str">
        <f>Products!B177</f>
        <v>скло Графіт / Бронза</v>
      </c>
      <c r="M41" s="363">
        <f>Products!E177</f>
        <v>550</v>
      </c>
    </row>
    <row r="42" spans="1:13">
      <c r="A42" s="31"/>
      <c r="B42" s="16" t="str">
        <f>Products!B167</f>
        <v>4.0 - 4.4</v>
      </c>
      <c r="C42" s="172"/>
      <c r="D42" s="193">
        <f>Products!E167</f>
        <v>3850</v>
      </c>
      <c r="E42" s="194">
        <f>Products!G167</f>
        <v>4440</v>
      </c>
      <c r="F42" s="194">
        <f>Products!I167</f>
        <v>4620</v>
      </c>
      <c r="G42" s="207"/>
      <c r="H42" s="101"/>
      <c r="I42" s="101"/>
      <c r="J42" s="376"/>
      <c r="K42" s="362"/>
      <c r="L42" s="356" t="str">
        <f>Products!B178</f>
        <v>замок Soft</v>
      </c>
      <c r="M42" s="363">
        <f>Products!E178</f>
        <v>550</v>
      </c>
    </row>
    <row r="43" spans="1:13">
      <c r="A43" s="31"/>
      <c r="B43" s="16" t="str">
        <f>Products!B168</f>
        <v>5.0 - 5.5</v>
      </c>
      <c r="C43" s="172"/>
      <c r="D43" s="193">
        <f>Products!E168</f>
        <v>3850</v>
      </c>
      <c r="E43" s="194">
        <f>Products!G168</f>
        <v>4440</v>
      </c>
      <c r="F43" s="194">
        <f>Products!I168</f>
        <v>4620</v>
      </c>
      <c r="G43" s="207"/>
      <c r="H43" s="101"/>
      <c r="I43" s="101"/>
      <c r="J43" s="376"/>
      <c r="K43" s="362"/>
      <c r="L43" s="356" t="str">
        <f>Products!B179</f>
        <v>замок Magnet</v>
      </c>
      <c r="M43" s="363">
        <f>Products!E179</f>
        <v>800.00000000000011</v>
      </c>
    </row>
    <row r="44" spans="1:13">
      <c r="A44" s="31"/>
      <c r="B44" s="23" t="str">
        <f>Products!B169</f>
        <v>6.0 - 6.6</v>
      </c>
      <c r="C44" s="173"/>
      <c r="D44" s="195">
        <f>Products!E169</f>
        <v>3850</v>
      </c>
      <c r="E44" s="196">
        <f>Products!G169</f>
        <v>4440</v>
      </c>
      <c r="F44" s="196">
        <f>Products!I169</f>
        <v>4620</v>
      </c>
      <c r="G44" s="207"/>
      <c r="H44" s="101"/>
      <c r="I44" s="101"/>
      <c r="J44" s="376"/>
      <c r="K44" s="362"/>
      <c r="L44" s="356" t="str">
        <f>Products!B180</f>
        <v>ручка-замок (для дверей купе)</v>
      </c>
      <c r="M44" s="363">
        <f>Products!E180</f>
        <v>560</v>
      </c>
    </row>
    <row r="45" spans="1:13">
      <c r="A45" s="31"/>
      <c r="H45" s="101"/>
      <c r="I45" s="101"/>
      <c r="J45" s="376"/>
      <c r="K45" s="362"/>
      <c r="L45" s="356" t="str">
        <f>Products!B181</f>
        <v>циліндр несиметричний</v>
      </c>
      <c r="M45" s="363">
        <f>Products!E181</f>
        <v>390</v>
      </c>
    </row>
    <row r="46" spans="1:13">
      <c r="A46" s="31"/>
      <c r="B46" s="183"/>
      <c r="C46" s="184"/>
      <c r="D46" s="207"/>
      <c r="E46" s="207"/>
      <c r="F46" s="207"/>
      <c r="G46" s="207"/>
      <c r="H46" s="101"/>
      <c r="I46" s="101"/>
      <c r="J46" s="376"/>
      <c r="K46" s="362"/>
      <c r="L46" s="356" t="str">
        <f>Products!B182</f>
        <v>завіса Prestige (1 шт)</v>
      </c>
      <c r="M46" s="363">
        <f>Products!E182</f>
        <v>260</v>
      </c>
    </row>
    <row r="47" spans="1:13">
      <c r="A47" s="31"/>
      <c r="B47" s="183"/>
      <c r="C47" s="184"/>
      <c r="D47" s="207"/>
      <c r="E47" s="207"/>
      <c r="F47" s="207"/>
      <c r="G47" s="207"/>
      <c r="H47" s="101"/>
      <c r="I47" s="101"/>
      <c r="J47" s="376"/>
      <c r="K47" s="362"/>
      <c r="L47" s="356" t="str">
        <f>Products!B183</f>
        <v>накладка на завіси (1 к-т)</v>
      </c>
      <c r="M47" s="363">
        <f>Products!E183</f>
        <v>80</v>
      </c>
    </row>
    <row r="48" spans="1:13">
      <c r="E48" s="34"/>
      <c r="J48" s="367"/>
      <c r="K48" s="362"/>
      <c r="L48" s="356" t="str">
        <f>Products!B184</f>
        <v>дверна ручка</v>
      </c>
      <c r="M48" s="368" t="str">
        <f>Products!E184</f>
        <v>див. Таблицю Ручки</v>
      </c>
    </row>
    <row r="49" spans="1:13">
      <c r="E49" s="34"/>
      <c r="J49" s="367"/>
      <c r="K49" s="362"/>
      <c r="L49" s="356" t="str">
        <f>Products!B185</f>
        <v>ДСП трубчасте</v>
      </c>
      <c r="M49" s="369">
        <f>Products!E185</f>
        <v>1300.0000000000002</v>
      </c>
    </row>
    <row r="50" spans="1:13">
      <c r="E50" s="34"/>
      <c r="J50" s="367"/>
      <c r="K50" s="367"/>
      <c r="L50" s="367"/>
      <c r="M50" s="367"/>
    </row>
    <row r="51" spans="1:13">
      <c r="C51" s="34"/>
      <c r="D51" s="34"/>
      <c r="E51" s="34"/>
      <c r="J51" s="367"/>
      <c r="K51" s="367"/>
      <c r="L51" s="367"/>
      <c r="M51" s="367"/>
    </row>
    <row r="52" spans="1:13" s="31" customFormat="1" ht="12.75" customHeight="1">
      <c r="B52" s="475" t="str">
        <f>TITLE!$C$11</f>
        <v>Полотна каркасно-щитові: ІДЕЯ</v>
      </c>
      <c r="C52" s="476"/>
      <c r="D52" s="476"/>
      <c r="E52" s="476"/>
      <c r="F52" s="178"/>
      <c r="G52" s="178"/>
      <c r="H52" s="178"/>
      <c r="I52" s="178"/>
      <c r="J52" s="357"/>
      <c r="K52" s="357"/>
      <c r="L52" s="370"/>
      <c r="M52" s="371"/>
    </row>
    <row r="53" spans="1:13">
      <c r="A53" s="31"/>
      <c r="B53" s="472" t="str">
        <f>Products!B287</f>
        <v>модель</v>
      </c>
      <c r="C53" s="174" t="str">
        <f>Products!C287</f>
        <v>покриття:</v>
      </c>
      <c r="D53" s="170" t="str">
        <f>Products!D287</f>
        <v>SIMPL / V-CELL</v>
      </c>
      <c r="E53" s="175" t="str">
        <f>Products!F287</f>
        <v>UNI-MAT</v>
      </c>
      <c r="F53" s="175" t="str">
        <f>Products!H287</f>
        <v>RESIST</v>
      </c>
      <c r="G53" s="46"/>
      <c r="H53" s="224"/>
      <c r="I53" s="224"/>
      <c r="J53" s="224"/>
      <c r="K53" s="372"/>
      <c r="L53" s="355" t="str">
        <f>Products!B298</f>
        <v>вентиляційні віддушини (1ряд)</v>
      </c>
      <c r="M53" s="373">
        <f>Products!E298</f>
        <v>250</v>
      </c>
    </row>
    <row r="54" spans="1:13">
      <c r="A54" s="31"/>
      <c r="B54" s="472"/>
      <c r="C54" s="165" t="str">
        <f>Products!C288</f>
        <v>заповнення:</v>
      </c>
      <c r="D54" s="142" t="str">
        <f>Products!D288</f>
        <v>сотове заповнення</v>
      </c>
      <c r="E54" s="176" t="str">
        <f>Products!F288</f>
        <v>сотове заповнення</v>
      </c>
      <c r="F54" s="176" t="str">
        <f>Products!H288</f>
        <v>сотове заповнення</v>
      </c>
      <c r="G54" s="150"/>
      <c r="H54" s="224"/>
      <c r="I54" s="224"/>
      <c r="J54" s="224"/>
      <c r="K54" s="362"/>
      <c r="L54" s="356" t="str">
        <f>Products!B299</f>
        <v>вентиляційний підріз</v>
      </c>
      <c r="M54" s="363">
        <f>Products!E299</f>
        <v>170.00000000000003</v>
      </c>
    </row>
    <row r="55" spans="1:13" ht="12.75" customHeight="1">
      <c r="A55" s="31"/>
      <c r="B55" s="473"/>
      <c r="C55" s="166" t="str">
        <f>Products!C289</f>
        <v>скління:</v>
      </c>
      <c r="D55" s="129" t="str">
        <f>Products!D289</f>
        <v>Сатин / Жалюзі</v>
      </c>
      <c r="E55" s="182" t="str">
        <f>Products!F289</f>
        <v>Сатин / Жалюзі</v>
      </c>
      <c r="F55" s="182" t="str">
        <f>Products!H289</f>
        <v>Сатин / Жалюзі</v>
      </c>
      <c r="G55" s="168"/>
      <c r="H55" s="224"/>
      <c r="I55" s="224"/>
      <c r="J55" s="224"/>
      <c r="K55" s="362"/>
      <c r="L55" s="356" t="str">
        <f>Products!B300</f>
        <v>третя завіса</v>
      </c>
      <c r="M55" s="363">
        <f>Products!E300</f>
        <v>80</v>
      </c>
    </row>
    <row r="56" spans="1:13">
      <c r="A56" s="31"/>
      <c r="B56" s="13" t="str">
        <f>Products!B290</f>
        <v>1.0.</v>
      </c>
      <c r="C56" s="171"/>
      <c r="D56" s="191">
        <f>Products!E290</f>
        <v>2490</v>
      </c>
      <c r="E56" s="192">
        <f>Products!G290</f>
        <v>2860</v>
      </c>
      <c r="F56" s="192">
        <f>Products!I290</f>
        <v>3170.0000000000005</v>
      </c>
      <c r="G56" s="101"/>
      <c r="H56" s="231"/>
      <c r="I56" s="231"/>
      <c r="J56" s="364"/>
      <c r="K56" s="362"/>
      <c r="L56" s="356" t="str">
        <f>Products!B301</f>
        <v>скло Графіт / Бронза</v>
      </c>
      <c r="M56" s="363">
        <f>Products!E301</f>
        <v>550</v>
      </c>
    </row>
    <row r="57" spans="1:13">
      <c r="A57" s="31"/>
      <c r="B57" s="16" t="str">
        <f>Products!B291</f>
        <v>3.0 - 3.3</v>
      </c>
      <c r="C57" s="172"/>
      <c r="D57" s="193">
        <f>Products!E291</f>
        <v>4790</v>
      </c>
      <c r="E57" s="194">
        <f>Products!G291</f>
        <v>5510</v>
      </c>
      <c r="F57" s="194">
        <f>Products!I291</f>
        <v>5950.0000000000009</v>
      </c>
      <c r="G57" s="101"/>
      <c r="H57" s="231"/>
      <c r="I57" s="231"/>
      <c r="J57" s="364"/>
      <c r="K57" s="362"/>
      <c r="L57" s="356" t="str">
        <f>Products!B302</f>
        <v>замок Soft</v>
      </c>
      <c r="M57" s="363">
        <f>Products!E302</f>
        <v>550</v>
      </c>
    </row>
    <row r="58" spans="1:13">
      <c r="A58" s="31"/>
      <c r="B58" s="111" t="str">
        <f>Products!B292</f>
        <v>4.0 - 4.4</v>
      </c>
      <c r="C58" s="179"/>
      <c r="D58" s="197">
        <f>Products!E292</f>
        <v>4990.0000000000009</v>
      </c>
      <c r="E58" s="198">
        <f>Products!G292</f>
        <v>5750</v>
      </c>
      <c r="F58" s="198">
        <f>Products!I292</f>
        <v>6080</v>
      </c>
      <c r="G58" s="101"/>
      <c r="H58" s="231"/>
      <c r="I58" s="231"/>
      <c r="J58" s="364"/>
      <c r="K58" s="362"/>
      <c r="L58" s="356" t="str">
        <f>Products!B303</f>
        <v>замок Magnet</v>
      </c>
      <c r="M58" s="363">
        <f>Products!E303</f>
        <v>800.00000000000011</v>
      </c>
    </row>
    <row r="59" spans="1:13">
      <c r="A59" s="31"/>
      <c r="B59" s="111" t="str">
        <f>Products!B293</f>
        <v>6.0 - 6.6</v>
      </c>
      <c r="C59" s="179"/>
      <c r="D59" s="197">
        <f>Products!E293</f>
        <v>5450</v>
      </c>
      <c r="E59" s="198">
        <f>Products!G293</f>
        <v>6270</v>
      </c>
      <c r="F59" s="198">
        <f>Products!I293</f>
        <v>6550.0000000000009</v>
      </c>
      <c r="G59" s="101"/>
      <c r="H59" s="231"/>
      <c r="I59" s="231"/>
      <c r="J59" s="364"/>
      <c r="K59" s="362"/>
      <c r="L59" s="356" t="str">
        <f>Products!B304</f>
        <v>ручка-замок (для дверей купе)</v>
      </c>
      <c r="M59" s="363">
        <f>Products!E304</f>
        <v>560</v>
      </c>
    </row>
    <row r="60" spans="1:13">
      <c r="A60" s="31"/>
      <c r="B60" s="23" t="str">
        <f>Products!B294</f>
        <v>7.0 - 7.1</v>
      </c>
      <c r="C60" s="173"/>
      <c r="D60" s="195">
        <f>Products!E294</f>
        <v>4170</v>
      </c>
      <c r="E60" s="196">
        <f>Products!G294</f>
        <v>4790</v>
      </c>
      <c r="F60" s="196">
        <f>Products!I294</f>
        <v>4990.0000000000009</v>
      </c>
      <c r="G60" s="101"/>
      <c r="H60" s="231"/>
      <c r="I60" s="231"/>
      <c r="J60" s="364"/>
      <c r="K60" s="362"/>
      <c r="L60" s="356" t="str">
        <f>Products!B305</f>
        <v>циліндр несиметричний</v>
      </c>
      <c r="M60" s="363">
        <f>Products!E305</f>
        <v>390</v>
      </c>
    </row>
    <row r="61" spans="1:13">
      <c r="A61" s="31"/>
      <c r="F61" s="101"/>
      <c r="G61" s="101"/>
      <c r="H61" s="231"/>
      <c r="I61" s="231"/>
      <c r="J61" s="364"/>
      <c r="K61" s="362"/>
      <c r="L61" s="356" t="str">
        <f>Products!B306</f>
        <v>завіса Prestige (1 шт)</v>
      </c>
      <c r="M61" s="363">
        <f>Products!E306</f>
        <v>260</v>
      </c>
    </row>
    <row r="62" spans="1:13">
      <c r="A62" s="31"/>
      <c r="F62" s="101"/>
      <c r="G62" s="101"/>
      <c r="H62" s="231"/>
      <c r="I62" s="231"/>
      <c r="J62" s="364"/>
      <c r="K62" s="362"/>
      <c r="L62" s="356" t="str">
        <f>Products!B307</f>
        <v>накладка на завіси (1 к-т)</v>
      </c>
      <c r="M62" s="363">
        <f>Products!E307</f>
        <v>80</v>
      </c>
    </row>
    <row r="63" spans="1:13">
      <c r="C63" s="34"/>
      <c r="D63" s="34"/>
      <c r="E63" s="34"/>
      <c r="J63" s="367"/>
      <c r="K63" s="362"/>
      <c r="L63" s="356" t="str">
        <f>Products!B308</f>
        <v>дверна ручка</v>
      </c>
      <c r="M63" s="368" t="str">
        <f>Products!E308</f>
        <v>див. Таблицю Ручки</v>
      </c>
    </row>
    <row r="64" spans="1:13">
      <c r="C64" s="34"/>
      <c r="D64" s="34"/>
      <c r="E64" s="34"/>
      <c r="J64" s="367"/>
      <c r="K64" s="362"/>
      <c r="L64" s="356" t="str">
        <f>Products!B309</f>
        <v>ДСП трубчасте</v>
      </c>
      <c r="M64" s="369">
        <f>Products!E309</f>
        <v>1300.0000000000002</v>
      </c>
    </row>
    <row r="65" spans="1:13">
      <c r="C65" s="34"/>
      <c r="D65" s="34"/>
      <c r="E65" s="34"/>
      <c r="J65" s="367"/>
      <c r="K65" s="367"/>
      <c r="L65" s="367"/>
      <c r="M65" s="367"/>
    </row>
    <row r="66" spans="1:13" s="31" customFormat="1" ht="12.75" customHeight="1">
      <c r="B66" s="475" t="str">
        <f>TITLE!$C$12</f>
        <v>Полотна каркасно-щитові: ІДЕЯ-ЛОФТ</v>
      </c>
      <c r="C66" s="476"/>
      <c r="D66" s="476"/>
      <c r="E66" s="476"/>
      <c r="F66" s="178"/>
      <c r="G66" s="178"/>
      <c r="H66" s="178"/>
      <c r="I66" s="178"/>
      <c r="J66" s="357"/>
      <c r="K66" s="357"/>
      <c r="L66" s="370"/>
      <c r="M66" s="371"/>
    </row>
    <row r="67" spans="1:13">
      <c r="A67" s="31"/>
      <c r="B67" s="472" t="str">
        <f>Products!B362</f>
        <v>модель</v>
      </c>
      <c r="C67" s="174" t="str">
        <f>Products!C362</f>
        <v>покриття:</v>
      </c>
      <c r="D67" s="175" t="str">
        <f>Products!D362</f>
        <v>LOFT</v>
      </c>
      <c r="E67" s="101"/>
      <c r="F67" s="46"/>
      <c r="G67" s="46"/>
      <c r="H67" s="224"/>
      <c r="I67" s="224"/>
      <c r="J67" s="224"/>
      <c r="K67" s="372"/>
      <c r="L67" s="355" t="str">
        <f>Products!B369</f>
        <v>вентиляційні віддушини (1ряд)</v>
      </c>
      <c r="M67" s="373">
        <f>Products!E369</f>
        <v>250</v>
      </c>
    </row>
    <row r="68" spans="1:13">
      <c r="A68" s="31"/>
      <c r="B68" s="472"/>
      <c r="C68" s="165" t="str">
        <f>Products!C363</f>
        <v>заповнення:</v>
      </c>
      <c r="D68" s="176" t="str">
        <f>Products!D363</f>
        <v>сотове заповнення</v>
      </c>
      <c r="E68" s="101"/>
      <c r="F68" s="150"/>
      <c r="G68" s="150"/>
      <c r="H68" s="224"/>
      <c r="I68" s="224"/>
      <c r="J68" s="224"/>
      <c r="K68" s="362"/>
      <c r="L68" s="356" t="str">
        <f>Products!B370</f>
        <v>вентиляційний підріз</v>
      </c>
      <c r="M68" s="363">
        <f>Products!E370</f>
        <v>170.00000000000003</v>
      </c>
    </row>
    <row r="69" spans="1:13" ht="12.75" customHeight="1">
      <c r="A69" s="31"/>
      <c r="B69" s="473"/>
      <c r="C69" s="166">
        <f>Products!C364</f>
        <v>0</v>
      </c>
      <c r="D69" s="169">
        <f>Products!D364</f>
        <v>0</v>
      </c>
      <c r="E69" s="101"/>
      <c r="F69" s="167"/>
      <c r="G69" s="168"/>
      <c r="H69" s="224"/>
      <c r="I69" s="224"/>
      <c r="J69" s="224"/>
      <c r="K69" s="362"/>
      <c r="L69" s="356" t="str">
        <f>Products!B371</f>
        <v>третя завіса</v>
      </c>
      <c r="M69" s="363">
        <f>Products!E371</f>
        <v>80</v>
      </c>
    </row>
    <row r="70" spans="1:13">
      <c r="A70" s="31"/>
      <c r="B70" s="49" t="str">
        <f>Products!B365</f>
        <v>1.0.</v>
      </c>
      <c r="C70" s="343"/>
      <c r="D70" s="203">
        <f>Products!E365</f>
        <v>3870</v>
      </c>
      <c r="E70" s="101"/>
      <c r="F70" s="101"/>
      <c r="G70" s="101"/>
      <c r="H70" s="231"/>
      <c r="I70" s="231"/>
      <c r="J70" s="364"/>
      <c r="K70" s="362"/>
      <c r="L70" s="356" t="str">
        <f>Products!B372</f>
        <v>замок Soft</v>
      </c>
      <c r="M70" s="363">
        <f>Products!E372</f>
        <v>550</v>
      </c>
    </row>
    <row r="71" spans="1:13">
      <c r="A71" s="31"/>
      <c r="E71" s="101"/>
      <c r="F71" s="101"/>
      <c r="G71" s="101"/>
      <c r="H71" s="231"/>
      <c r="I71" s="231"/>
      <c r="J71" s="364"/>
      <c r="K71" s="362"/>
      <c r="L71" s="356" t="str">
        <f>Products!B373</f>
        <v>замок Magnet</v>
      </c>
      <c r="M71" s="363">
        <f>Products!E373</f>
        <v>800.00000000000011</v>
      </c>
    </row>
    <row r="72" spans="1:13">
      <c r="A72" s="31"/>
      <c r="E72" s="101"/>
      <c r="F72" s="101"/>
      <c r="G72" s="101"/>
      <c r="H72" s="231"/>
      <c r="I72" s="231"/>
      <c r="J72" s="364"/>
      <c r="K72" s="362"/>
      <c r="L72" s="356" t="str">
        <f>Products!B374</f>
        <v>ручка-замок (для дверей купе)</v>
      </c>
      <c r="M72" s="363">
        <f>Products!E374</f>
        <v>560</v>
      </c>
    </row>
    <row r="73" spans="1:13">
      <c r="A73" s="31"/>
      <c r="E73" s="101"/>
      <c r="F73" s="101"/>
      <c r="G73" s="101"/>
      <c r="H73" s="231"/>
      <c r="I73" s="231"/>
      <c r="J73" s="364"/>
      <c r="K73" s="362"/>
      <c r="L73" s="356" t="str">
        <f>Products!B375</f>
        <v>циліндр несиметричний</v>
      </c>
      <c r="M73" s="363">
        <f>Products!E375</f>
        <v>390</v>
      </c>
    </row>
    <row r="74" spans="1:13">
      <c r="A74" s="31"/>
      <c r="E74" s="101"/>
      <c r="F74" s="101"/>
      <c r="G74" s="101"/>
      <c r="H74" s="231"/>
      <c r="I74" s="231"/>
      <c r="J74" s="364"/>
      <c r="K74" s="362"/>
      <c r="L74" s="356" t="str">
        <f>Products!B376</f>
        <v>завіса Prestige (1 шт)</v>
      </c>
      <c r="M74" s="363">
        <f>Products!E376</f>
        <v>260</v>
      </c>
    </row>
    <row r="75" spans="1:13">
      <c r="A75" s="31"/>
      <c r="F75" s="101"/>
      <c r="G75" s="101"/>
      <c r="H75" s="231"/>
      <c r="I75" s="231"/>
      <c r="J75" s="364"/>
      <c r="K75" s="362"/>
      <c r="L75" s="356" t="str">
        <f>Products!B377</f>
        <v>накладка на завіси (1 к-т)</v>
      </c>
      <c r="M75" s="363">
        <f>Products!E377</f>
        <v>80</v>
      </c>
    </row>
    <row r="76" spans="1:13">
      <c r="C76" s="34"/>
      <c r="D76" s="34"/>
      <c r="E76" s="34"/>
      <c r="J76" s="367"/>
      <c r="K76" s="362"/>
      <c r="L76" s="356" t="str">
        <f>Products!B378</f>
        <v>дверна ручка</v>
      </c>
      <c r="M76" s="368" t="str">
        <f>Products!E378</f>
        <v>див. Таблицю Ручки</v>
      </c>
    </row>
    <row r="77" spans="1:13">
      <c r="C77" s="34"/>
      <c r="D77" s="34"/>
      <c r="E77" s="34"/>
      <c r="J77" s="367"/>
      <c r="K77" s="362"/>
      <c r="L77" s="356" t="str">
        <f>Products!B379</f>
        <v>ДСП трубчасте</v>
      </c>
      <c r="M77" s="369">
        <f>Products!E379</f>
        <v>1300.0000000000002</v>
      </c>
    </row>
    <row r="78" spans="1:13">
      <c r="C78" s="34"/>
      <c r="D78" s="34"/>
      <c r="E78" s="34"/>
      <c r="J78" s="367"/>
      <c r="K78" s="367"/>
      <c r="L78" s="367"/>
      <c r="M78" s="367"/>
    </row>
    <row r="79" spans="1:13" s="31" customFormat="1" ht="12.75" customHeight="1">
      <c r="B79" s="475" t="str">
        <f>TITLE!$C$13</f>
        <v>Полотна збірні: ЛАДА A</v>
      </c>
      <c r="C79" s="476"/>
      <c r="D79" s="476"/>
      <c r="E79" s="476"/>
      <c r="F79" s="178"/>
      <c r="G79" s="178"/>
      <c r="H79" s="178"/>
      <c r="I79" s="178"/>
      <c r="J79" s="357"/>
      <c r="K79" s="357"/>
      <c r="L79" s="370"/>
      <c r="M79" s="371"/>
    </row>
    <row r="80" spans="1:13" ht="24.75" customHeight="1">
      <c r="A80" s="31"/>
      <c r="B80" s="483" t="str">
        <f>Products!B432</f>
        <v>модель</v>
      </c>
      <c r="C80" s="164" t="str">
        <f>Products!C432</f>
        <v>покриття:</v>
      </c>
      <c r="D80" s="133" t="str">
        <f>Products!D432</f>
        <v>Verto-CELL</v>
      </c>
      <c r="E80" s="175" t="str">
        <f>Products!F432</f>
        <v>UNI-MAT</v>
      </c>
      <c r="F80" s="134" t="str">
        <f>Products!H432</f>
        <v>RESIST</v>
      </c>
      <c r="G80" s="134" t="str">
        <f>Products!J432</f>
        <v>Verto LINE-3D</v>
      </c>
      <c r="H80" s="134" t="str">
        <f>Products!L432</f>
        <v>ЕКО Шпон</v>
      </c>
      <c r="I80" s="224"/>
      <c r="J80" s="224"/>
      <c r="K80" s="372"/>
      <c r="L80" s="355" t="str">
        <f>Products!B441</f>
        <v>полотно розміром 100</v>
      </c>
      <c r="M80" s="373">
        <f>Products!E441</f>
        <v>720</v>
      </c>
    </row>
    <row r="81" spans="1:13" ht="24.75" customHeight="1">
      <c r="A81" s="31"/>
      <c r="B81" s="472"/>
      <c r="C81" s="165" t="str">
        <f>Products!C433</f>
        <v>заповнення:</v>
      </c>
      <c r="D81" s="143" t="str">
        <f>Products!D433</f>
        <v>клеєний сосновий брус</v>
      </c>
      <c r="E81" s="176" t="str">
        <f>Products!F433</f>
        <v>клеєний сосновий брус</v>
      </c>
      <c r="F81" s="144" t="str">
        <f>Products!H433</f>
        <v>клеєний сосновий брус</v>
      </c>
      <c r="G81" s="144" t="str">
        <f>Products!J433</f>
        <v>клеєний сосновий брус</v>
      </c>
      <c r="H81" s="144" t="str">
        <f>Products!L433</f>
        <v>клеєний сосновий брус</v>
      </c>
      <c r="I81" s="224"/>
      <c r="J81" s="224"/>
      <c r="K81" s="362"/>
      <c r="L81" s="356" t="str">
        <f>Products!B442</f>
        <v>вентиляційний підріз</v>
      </c>
      <c r="M81" s="363">
        <f>Products!E442</f>
        <v>170.00000000000003</v>
      </c>
    </row>
    <row r="82" spans="1:13" ht="12.75" customHeight="1">
      <c r="A82" s="31"/>
      <c r="B82" s="473"/>
      <c r="C82" s="166" t="str">
        <f>Products!C434</f>
        <v>скління:</v>
      </c>
      <c r="D82" s="141" t="str">
        <f>Products!D434</f>
        <v>Сатин</v>
      </c>
      <c r="E82" s="169" t="str">
        <f>Products!F434</f>
        <v>Сатин</v>
      </c>
      <c r="F82" s="130" t="str">
        <f>Products!H434</f>
        <v>Сатин</v>
      </c>
      <c r="G82" s="130" t="str">
        <f>Products!J434</f>
        <v>Сатин</v>
      </c>
      <c r="H82" s="130" t="str">
        <f>Products!L434</f>
        <v>Сатин</v>
      </c>
      <c r="I82" s="224"/>
      <c r="J82" s="224"/>
      <c r="K82" s="362"/>
      <c r="L82" s="356" t="str">
        <f>Products!B443</f>
        <v>скло Графіт / Бронза</v>
      </c>
      <c r="M82" s="363">
        <f>Products!E443</f>
        <v>550</v>
      </c>
    </row>
    <row r="83" spans="1:13">
      <c r="A83" s="31"/>
      <c r="B83" s="13" t="str">
        <f>Products!B435</f>
        <v>2А.0 - 2А.1</v>
      </c>
      <c r="C83" s="171"/>
      <c r="D83" s="192">
        <f>Products!E435</f>
        <v>6230</v>
      </c>
      <c r="E83" s="192">
        <f>Products!G435</f>
        <v>7100</v>
      </c>
      <c r="F83" s="192">
        <f>Products!I435</f>
        <v>7390</v>
      </c>
      <c r="G83" s="192">
        <f>Products!K435</f>
        <v>8050</v>
      </c>
      <c r="H83" s="192">
        <f>Products!M435</f>
        <v>8470</v>
      </c>
      <c r="I83" s="31"/>
      <c r="J83" s="377"/>
      <c r="K83" s="362"/>
      <c r="L83" s="356" t="str">
        <f>Products!B444</f>
        <v>замок Soft</v>
      </c>
      <c r="M83" s="363">
        <f>Products!E444</f>
        <v>550</v>
      </c>
    </row>
    <row r="84" spans="1:13">
      <c r="A84" s="31"/>
      <c r="B84" s="118" t="str">
        <f>Products!B436</f>
        <v>3А.0 - 3А.2</v>
      </c>
      <c r="C84" s="181"/>
      <c r="D84" s="202">
        <f>Products!E436</f>
        <v>6230</v>
      </c>
      <c r="E84" s="202">
        <f>Products!G436</f>
        <v>7100</v>
      </c>
      <c r="F84" s="202">
        <f>Products!I436</f>
        <v>7390</v>
      </c>
      <c r="G84" s="202">
        <f>Products!K436</f>
        <v>8050</v>
      </c>
      <c r="H84" s="202">
        <f>Products!M436</f>
        <v>8470</v>
      </c>
      <c r="I84" s="31"/>
      <c r="J84" s="377"/>
      <c r="K84" s="362"/>
      <c r="L84" s="356" t="str">
        <f>Products!B445</f>
        <v>замок Magnet</v>
      </c>
      <c r="M84" s="363">
        <f>Products!E445</f>
        <v>800.00000000000011</v>
      </c>
    </row>
    <row r="85" spans="1:13">
      <c r="A85" s="31"/>
      <c r="B85" s="292" t="str">
        <f>Products!B437</f>
        <v>8.0 - 8.5</v>
      </c>
      <c r="C85" s="293"/>
      <c r="D85" s="294">
        <f>Products!E437</f>
        <v>6230</v>
      </c>
      <c r="E85" s="294">
        <f>Products!G437</f>
        <v>7100</v>
      </c>
      <c r="F85" s="294">
        <f>Products!I437</f>
        <v>7390</v>
      </c>
      <c r="G85" s="294">
        <f>Products!K437</f>
        <v>8050</v>
      </c>
      <c r="H85" s="294">
        <f>Products!M437</f>
        <v>8470</v>
      </c>
      <c r="I85" s="31"/>
      <c r="J85" s="377"/>
      <c r="K85" s="362"/>
      <c r="L85" s="356" t="str">
        <f>Products!B446</f>
        <v>ручка-замок (для дверей купе)</v>
      </c>
      <c r="M85" s="363">
        <f>Products!E446</f>
        <v>560</v>
      </c>
    </row>
    <row r="86" spans="1:13">
      <c r="A86" s="31"/>
      <c r="F86" s="101"/>
      <c r="G86" s="101"/>
      <c r="H86" s="31"/>
      <c r="I86" s="31"/>
      <c r="J86" s="377"/>
      <c r="K86" s="362"/>
      <c r="L86" s="356" t="str">
        <f>Products!B447</f>
        <v>циліндр несиметричний</v>
      </c>
      <c r="M86" s="363">
        <f>Products!E447</f>
        <v>390</v>
      </c>
    </row>
    <row r="87" spans="1:13">
      <c r="A87" s="31"/>
      <c r="C87" s="34"/>
      <c r="D87" s="34"/>
      <c r="E87" s="34"/>
      <c r="H87" s="31"/>
      <c r="I87" s="31"/>
      <c r="J87" s="377"/>
      <c r="K87" s="362"/>
      <c r="L87" s="356" t="str">
        <f>Products!B448</f>
        <v>завіса Prestige (1 шт)</v>
      </c>
      <c r="M87" s="363">
        <f>Products!E448</f>
        <v>260</v>
      </c>
    </row>
    <row r="88" spans="1:13">
      <c r="A88" s="31"/>
      <c r="C88" s="34"/>
      <c r="D88" s="34"/>
      <c r="E88" s="34"/>
      <c r="H88" s="31"/>
      <c r="I88" s="31"/>
      <c r="J88" s="377"/>
      <c r="K88" s="362"/>
      <c r="L88" s="356" t="str">
        <f>Products!B449</f>
        <v>накладка на завіси (1 к-т)</v>
      </c>
      <c r="M88" s="363">
        <f>Products!E449</f>
        <v>80</v>
      </c>
    </row>
    <row r="89" spans="1:13">
      <c r="A89" s="31"/>
      <c r="F89" s="101"/>
      <c r="G89" s="101"/>
      <c r="H89" s="31"/>
      <c r="I89" s="31"/>
      <c r="J89" s="377"/>
      <c r="K89" s="362"/>
      <c r="L89" s="356" t="str">
        <f>Products!B450</f>
        <v>дверна ручка</v>
      </c>
      <c r="M89" s="378" t="str">
        <f>Products!E450</f>
        <v>див. Таблицю Ручки</v>
      </c>
    </row>
    <row r="90" spans="1:13">
      <c r="C90" s="34"/>
      <c r="D90" s="34"/>
      <c r="E90" s="34"/>
      <c r="J90" s="367"/>
      <c r="K90" s="367"/>
      <c r="L90" s="367"/>
      <c r="M90" s="367"/>
    </row>
    <row r="91" spans="1:13">
      <c r="B91" s="475" t="str">
        <f>Products!B501</f>
        <v>Полотна збірні: ЛАДА B</v>
      </c>
      <c r="C91" s="476"/>
      <c r="D91" s="476"/>
      <c r="E91" s="476"/>
      <c r="F91" s="178"/>
      <c r="G91" s="178"/>
      <c r="H91" s="178"/>
      <c r="I91" s="178"/>
      <c r="J91" s="357"/>
      <c r="K91" s="357"/>
      <c r="L91" s="370"/>
      <c r="M91" s="371"/>
    </row>
    <row r="92" spans="1:13" ht="27.75" customHeight="1">
      <c r="B92" s="483" t="str">
        <f>Products!B503</f>
        <v>модель</v>
      </c>
      <c r="C92" s="164" t="str">
        <f>Products!C503</f>
        <v>покриття:</v>
      </c>
      <c r="D92" s="133" t="str">
        <f>Products!D503</f>
        <v>Verto-CELL</v>
      </c>
      <c r="E92" s="175" t="str">
        <f>Products!F503</f>
        <v>UNI-MAT</v>
      </c>
      <c r="F92" s="134" t="str">
        <f>Products!H503</f>
        <v>RESIST</v>
      </c>
      <c r="G92" s="134" t="str">
        <f>Products!J503</f>
        <v>Verto LINE-3D</v>
      </c>
      <c r="H92" s="134" t="str">
        <f>Products!L503</f>
        <v>ЕКО Шпон</v>
      </c>
      <c r="I92" s="224"/>
      <c r="J92" s="224"/>
      <c r="K92" s="372"/>
      <c r="L92" s="355" t="str">
        <f>Products!B512</f>
        <v>полотно розміром 100</v>
      </c>
      <c r="M92" s="373">
        <f>Products!E512</f>
        <v>720</v>
      </c>
    </row>
    <row r="93" spans="1:13" ht="24" customHeight="1">
      <c r="B93" s="472"/>
      <c r="C93" s="165" t="str">
        <f>Products!C504</f>
        <v>заповнення:</v>
      </c>
      <c r="D93" s="143" t="str">
        <f>Products!D504</f>
        <v>клеєний сосновий брус</v>
      </c>
      <c r="E93" s="176" t="str">
        <f>Products!F504</f>
        <v>клеєний сосновий брус</v>
      </c>
      <c r="F93" s="144" t="str">
        <f>Products!H504</f>
        <v>клеєний сосновий брус</v>
      </c>
      <c r="G93" s="144" t="str">
        <f>Products!J504</f>
        <v>клеєний сосновий брус</v>
      </c>
      <c r="H93" s="144" t="str">
        <f>Products!L504</f>
        <v>клеєний сосновий брус</v>
      </c>
      <c r="I93" s="224"/>
      <c r="J93" s="224"/>
      <c r="K93" s="362"/>
      <c r="L93" s="356" t="str">
        <f>Products!B513</f>
        <v>вентиляційний підріз</v>
      </c>
      <c r="M93" s="363">
        <f>Products!E513</f>
        <v>170.00000000000003</v>
      </c>
    </row>
    <row r="94" spans="1:13">
      <c r="B94" s="473"/>
      <c r="C94" s="166" t="str">
        <f>Products!C505</f>
        <v>скління:</v>
      </c>
      <c r="D94" s="141" t="str">
        <f>Products!D505</f>
        <v>Сатин</v>
      </c>
      <c r="E94" s="169" t="str">
        <f>Products!F505</f>
        <v>Сатин</v>
      </c>
      <c r="F94" s="130" t="str">
        <f>Products!H505</f>
        <v>Сатин</v>
      </c>
      <c r="G94" s="130" t="str">
        <f>Products!J505</f>
        <v>Сатин</v>
      </c>
      <c r="H94" s="130" t="str">
        <f>Products!L505</f>
        <v>Сатин</v>
      </c>
      <c r="I94" s="224"/>
      <c r="J94" s="224"/>
      <c r="K94" s="362"/>
      <c r="L94" s="356" t="str">
        <f>Products!B514</f>
        <v>скло Графіт / Бронза</v>
      </c>
      <c r="M94" s="363">
        <f>Products!E514</f>
        <v>550</v>
      </c>
    </row>
    <row r="95" spans="1:13">
      <c r="B95" s="13" t="str">
        <f>Products!B506</f>
        <v>1.0 - 1.3</v>
      </c>
      <c r="C95" s="171"/>
      <c r="D95" s="192">
        <f>Products!E506</f>
        <v>6230</v>
      </c>
      <c r="E95" s="192">
        <f>Products!G506</f>
        <v>7100</v>
      </c>
      <c r="F95" s="192">
        <f>Products!I506</f>
        <v>7400</v>
      </c>
      <c r="G95" s="192">
        <f>Products!K506</f>
        <v>8050</v>
      </c>
      <c r="H95" s="192">
        <f>Products!M506</f>
        <v>8470</v>
      </c>
      <c r="I95" s="31"/>
      <c r="J95" s="377"/>
      <c r="K95" s="362"/>
      <c r="L95" s="356" t="str">
        <f>Products!B515</f>
        <v>замок Soft</v>
      </c>
      <c r="M95" s="363">
        <f>Products!E515</f>
        <v>550</v>
      </c>
    </row>
    <row r="96" spans="1:13">
      <c r="B96" s="118" t="str">
        <f>Products!B507</f>
        <v>2.0 - 2.2</v>
      </c>
      <c r="C96" s="181"/>
      <c r="D96" s="202">
        <f>Products!E507</f>
        <v>6230</v>
      </c>
      <c r="E96" s="202">
        <f>Products!G507</f>
        <v>7100</v>
      </c>
      <c r="F96" s="202">
        <f>Products!I507</f>
        <v>7400</v>
      </c>
      <c r="G96" s="202">
        <f>Products!K507</f>
        <v>8050</v>
      </c>
      <c r="H96" s="202">
        <f>Products!M507</f>
        <v>8470</v>
      </c>
      <c r="I96" s="31"/>
      <c r="J96" s="377"/>
      <c r="K96" s="362"/>
      <c r="L96" s="356" t="str">
        <f>Products!B516</f>
        <v>замок Magnet</v>
      </c>
      <c r="M96" s="363">
        <f>Products!E516</f>
        <v>800.00000000000011</v>
      </c>
    </row>
    <row r="97" spans="2:13">
      <c r="B97" s="292" t="str">
        <f>Products!B508</f>
        <v>3.0 - 3.5</v>
      </c>
      <c r="C97" s="293"/>
      <c r="D97" s="294">
        <f>Products!E508</f>
        <v>6500</v>
      </c>
      <c r="E97" s="294">
        <f>Products!G508</f>
        <v>7400</v>
      </c>
      <c r="F97" s="294">
        <f>Products!I508</f>
        <v>7730</v>
      </c>
      <c r="G97" s="294">
        <f>Products!K508</f>
        <v>8340</v>
      </c>
      <c r="H97" s="294">
        <f>Products!M508</f>
        <v>8850</v>
      </c>
      <c r="I97" s="31"/>
      <c r="J97" s="377"/>
      <c r="K97" s="362"/>
      <c r="L97" s="356" t="str">
        <f>Products!B517</f>
        <v>ручка-замок (для дверей купе)</v>
      </c>
      <c r="M97" s="363">
        <f>Products!E517</f>
        <v>560</v>
      </c>
    </row>
    <row r="98" spans="2:13">
      <c r="F98" s="101"/>
      <c r="G98" s="101"/>
      <c r="H98" s="31"/>
      <c r="I98" s="31"/>
      <c r="J98" s="377"/>
      <c r="K98" s="362"/>
      <c r="L98" s="356" t="str">
        <f>Products!B518</f>
        <v>циліндр несиметричний</v>
      </c>
      <c r="M98" s="363">
        <f>Products!E518</f>
        <v>390</v>
      </c>
    </row>
    <row r="99" spans="2:13">
      <c r="C99" s="34"/>
      <c r="D99" s="34"/>
      <c r="E99" s="34"/>
      <c r="H99" s="31"/>
      <c r="I99" s="31"/>
      <c r="J99" s="377"/>
      <c r="K99" s="362"/>
      <c r="L99" s="356" t="str">
        <f>Products!B519</f>
        <v>завіса Prestige (1 шт)</v>
      </c>
      <c r="M99" s="363">
        <f>Products!E519</f>
        <v>260</v>
      </c>
    </row>
    <row r="100" spans="2:13">
      <c r="C100" s="34"/>
      <c r="D100" s="34"/>
      <c r="E100" s="34"/>
      <c r="H100" s="31"/>
      <c r="I100" s="31"/>
      <c r="J100" s="377"/>
      <c r="K100" s="362"/>
      <c r="L100" s="356" t="str">
        <f>Products!B520</f>
        <v>накладка на завіси (1 к-т)</v>
      </c>
      <c r="M100" s="363">
        <f>Products!E520</f>
        <v>80</v>
      </c>
    </row>
    <row r="101" spans="2:13">
      <c r="F101" s="101"/>
      <c r="G101" s="101"/>
      <c r="H101" s="31"/>
      <c r="I101" s="31"/>
      <c r="J101" s="377"/>
      <c r="K101" s="362"/>
      <c r="L101" s="356" t="str">
        <f>Products!B521</f>
        <v>дверна ручка</v>
      </c>
      <c r="M101" s="378" t="str">
        <f>Products!E521</f>
        <v>див. Таблицю Ручки</v>
      </c>
    </row>
    <row r="102" spans="2:13">
      <c r="C102" s="34"/>
      <c r="D102" s="34"/>
      <c r="E102" s="34"/>
      <c r="J102" s="367"/>
      <c r="K102" s="367"/>
      <c r="L102" s="367"/>
      <c r="M102" s="367"/>
    </row>
    <row r="103" spans="2:13">
      <c r="B103" s="475" t="str">
        <f>Products!B572</f>
        <v>Полотна збірні: ЛАДА C</v>
      </c>
      <c r="C103" s="476"/>
      <c r="D103" s="476"/>
      <c r="E103" s="476"/>
      <c r="F103" s="178"/>
      <c r="G103" s="178"/>
      <c r="H103" s="178"/>
      <c r="I103" s="178"/>
      <c r="J103" s="357"/>
      <c r="K103" s="357"/>
      <c r="L103" s="370"/>
      <c r="M103" s="371"/>
    </row>
    <row r="104" spans="2:13" ht="25.5" customHeight="1">
      <c r="B104" s="483" t="str">
        <f>Products!B574</f>
        <v>модель</v>
      </c>
      <c r="C104" s="164" t="str">
        <f>Products!C574</f>
        <v>покриття:</v>
      </c>
      <c r="D104" s="133" t="str">
        <f>Products!D574</f>
        <v>Verto-CELL</v>
      </c>
      <c r="E104" s="175" t="str">
        <f>Products!F574</f>
        <v>UNI-MAT</v>
      </c>
      <c r="F104" s="134" t="str">
        <f>Products!H574</f>
        <v>RESIST</v>
      </c>
      <c r="G104" s="134" t="str">
        <f>Products!J574</f>
        <v>Verto LINE-3D</v>
      </c>
      <c r="H104" s="134" t="str">
        <f>Products!L574</f>
        <v>ЕКО Шпон</v>
      </c>
      <c r="I104" s="224"/>
      <c r="J104" s="224"/>
      <c r="K104" s="372"/>
      <c r="L104" s="355" t="str">
        <f>Products!B582</f>
        <v>полотно розміром 100</v>
      </c>
      <c r="M104" s="373">
        <f>Products!E582</f>
        <v>720</v>
      </c>
    </row>
    <row r="105" spans="2:13" ht="24.75" customHeight="1">
      <c r="B105" s="472"/>
      <c r="C105" s="165" t="str">
        <f>Products!C575</f>
        <v>заповнення:</v>
      </c>
      <c r="D105" s="143" t="str">
        <f>Products!D575</f>
        <v>клеєний сосновий брус</v>
      </c>
      <c r="E105" s="176" t="str">
        <f>Products!F575</f>
        <v>клеєний сосновий брус</v>
      </c>
      <c r="F105" s="144" t="str">
        <f>Products!H575</f>
        <v>клеєний сосновий брус</v>
      </c>
      <c r="G105" s="144" t="str">
        <f>Products!J575</f>
        <v>клеєний сосновий брус</v>
      </c>
      <c r="H105" s="144" t="str">
        <f>Products!L575</f>
        <v>клеєний сосновий брус</v>
      </c>
      <c r="I105" s="224"/>
      <c r="J105" s="224"/>
      <c r="K105" s="362"/>
      <c r="L105" s="356" t="str">
        <f>Products!B583</f>
        <v>вентиляційний підріз</v>
      </c>
      <c r="M105" s="363">
        <f>Products!E583</f>
        <v>170.00000000000003</v>
      </c>
    </row>
    <row r="106" spans="2:13">
      <c r="B106" s="473"/>
      <c r="C106" s="166" t="str">
        <f>Products!C576</f>
        <v>скління:</v>
      </c>
      <c r="D106" s="141" t="str">
        <f>Products!D576</f>
        <v>Сатин</v>
      </c>
      <c r="E106" s="169" t="str">
        <f>Products!F576</f>
        <v>Сатин</v>
      </c>
      <c r="F106" s="130" t="str">
        <f>Products!H576</f>
        <v>Сатин</v>
      </c>
      <c r="G106" s="130" t="str">
        <f>Products!J576</f>
        <v>Сатин</v>
      </c>
      <c r="H106" s="130" t="str">
        <f>Products!L576</f>
        <v>Сатин</v>
      </c>
      <c r="I106" s="224"/>
      <c r="J106" s="224"/>
      <c r="K106" s="362"/>
      <c r="L106" s="356" t="str">
        <f>Products!B584</f>
        <v>скло Графіт / Бронза</v>
      </c>
      <c r="M106" s="363">
        <f>Products!E584</f>
        <v>550</v>
      </c>
    </row>
    <row r="107" spans="2:13">
      <c r="B107" s="13" t="str">
        <f>Products!B577</f>
        <v>4.0 - 4.8</v>
      </c>
      <c r="C107" s="171"/>
      <c r="D107" s="192">
        <f>Products!E577</f>
        <v>6790.0000000000009</v>
      </c>
      <c r="E107" s="192">
        <f>Products!G577</f>
        <v>7740</v>
      </c>
      <c r="F107" s="192">
        <f>Products!I577</f>
        <v>8050</v>
      </c>
      <c r="G107" s="192">
        <f>Products!K577</f>
        <v>8770</v>
      </c>
      <c r="H107" s="192">
        <f>Products!M577</f>
        <v>9200</v>
      </c>
      <c r="I107" s="31"/>
      <c r="J107" s="377"/>
      <c r="K107" s="362"/>
      <c r="L107" s="356" t="str">
        <f>Products!B585</f>
        <v>замок Soft</v>
      </c>
      <c r="M107" s="363">
        <f>Products!E585</f>
        <v>550</v>
      </c>
    </row>
    <row r="108" spans="2:13">
      <c r="B108" s="292" t="str">
        <f>Products!B578</f>
        <v>5.0 - 5.6</v>
      </c>
      <c r="C108" s="293"/>
      <c r="D108" s="294">
        <f>Products!E578</f>
        <v>6790.0000000000009</v>
      </c>
      <c r="E108" s="294">
        <f>Products!G578</f>
        <v>7740</v>
      </c>
      <c r="F108" s="294">
        <f>Products!I578</f>
        <v>8050</v>
      </c>
      <c r="G108" s="294">
        <f>Products!K578</f>
        <v>8770</v>
      </c>
      <c r="H108" s="294">
        <f>Products!M578</f>
        <v>9200</v>
      </c>
      <c r="I108" s="31"/>
      <c r="J108" s="377"/>
      <c r="K108" s="362"/>
      <c r="L108" s="356" t="str">
        <f>Products!B586</f>
        <v>замок Magnet</v>
      </c>
      <c r="M108" s="363">
        <f>Products!E586</f>
        <v>800.00000000000011</v>
      </c>
    </row>
    <row r="109" spans="2:13">
      <c r="F109" s="101"/>
      <c r="G109" s="101"/>
      <c r="H109" s="31"/>
      <c r="I109" s="31"/>
      <c r="J109" s="377"/>
      <c r="K109" s="362"/>
      <c r="L109" s="356" t="str">
        <f>Products!B587</f>
        <v>ручка-замок (для дверей купе)</v>
      </c>
      <c r="M109" s="363">
        <f>Products!E587</f>
        <v>560</v>
      </c>
    </row>
    <row r="110" spans="2:13">
      <c r="F110" s="101"/>
      <c r="G110" s="101"/>
      <c r="H110" s="31"/>
      <c r="I110" s="31"/>
      <c r="J110" s="377"/>
      <c r="K110" s="362"/>
      <c r="L110" s="356" t="str">
        <f>Products!B588</f>
        <v>циліндр несиметричний</v>
      </c>
      <c r="M110" s="363">
        <f>Products!E588</f>
        <v>390</v>
      </c>
    </row>
    <row r="111" spans="2:13">
      <c r="C111" s="34"/>
      <c r="D111" s="34"/>
      <c r="E111" s="34"/>
      <c r="H111" s="31"/>
      <c r="I111" s="31"/>
      <c r="J111" s="377"/>
      <c r="K111" s="362"/>
      <c r="L111" s="356" t="str">
        <f>Products!B589</f>
        <v>завіса Prestige (1 шт)</v>
      </c>
      <c r="M111" s="363">
        <f>Products!E589</f>
        <v>260</v>
      </c>
    </row>
    <row r="112" spans="2:13">
      <c r="C112" s="34"/>
      <c r="D112" s="34"/>
      <c r="E112" s="34"/>
      <c r="H112" s="31"/>
      <c r="I112" s="31"/>
      <c r="J112" s="377"/>
      <c r="K112" s="362"/>
      <c r="L112" s="356" t="str">
        <f>Products!B590</f>
        <v>накладка на завіси (1 к-т)</v>
      </c>
      <c r="M112" s="363">
        <f>Products!E590</f>
        <v>80</v>
      </c>
    </row>
    <row r="113" spans="2:13">
      <c r="F113" s="101"/>
      <c r="G113" s="101"/>
      <c r="H113" s="31"/>
      <c r="I113" s="31"/>
      <c r="J113" s="377"/>
      <c r="K113" s="362"/>
      <c r="L113" s="356" t="str">
        <f>Products!B591</f>
        <v>дверна ручка</v>
      </c>
      <c r="M113" s="378" t="str">
        <f>Products!E591</f>
        <v>див. Таблицю Ручки</v>
      </c>
    </row>
    <row r="114" spans="2:13">
      <c r="C114" s="34"/>
      <c r="D114" s="34"/>
      <c r="E114" s="34"/>
      <c r="J114" s="367"/>
      <c r="K114" s="367"/>
      <c r="L114" s="367"/>
      <c r="M114" s="367"/>
    </row>
    <row r="115" spans="2:13">
      <c r="B115" s="475" t="str">
        <f>Products!B642</f>
        <v>Полотна збірні: ЛАДА D</v>
      </c>
      <c r="C115" s="476"/>
      <c r="D115" s="476"/>
      <c r="E115" s="476"/>
      <c r="F115" s="178"/>
      <c r="G115" s="178"/>
      <c r="H115" s="178"/>
      <c r="I115" s="178"/>
      <c r="J115" s="357"/>
      <c r="K115" s="357"/>
      <c r="L115" s="370"/>
      <c r="M115" s="371"/>
    </row>
    <row r="116" spans="2:13" ht="27" customHeight="1">
      <c r="B116" s="483" t="str">
        <f>Products!B644</f>
        <v>модель</v>
      </c>
      <c r="C116" s="164" t="str">
        <f>Products!C644</f>
        <v>покриття:</v>
      </c>
      <c r="D116" s="133" t="str">
        <f>Products!D644</f>
        <v>Verto-CELL</v>
      </c>
      <c r="E116" s="175" t="str">
        <f>Products!F644</f>
        <v>UNI-MAT</v>
      </c>
      <c r="F116" s="134" t="str">
        <f>Products!H644</f>
        <v>RESIST</v>
      </c>
      <c r="G116" s="134" t="str">
        <f>Products!J644</f>
        <v>Verto LINE-3D</v>
      </c>
      <c r="H116" s="134" t="str">
        <f>Products!L644</f>
        <v>ЕКО Шпон</v>
      </c>
      <c r="I116" s="224"/>
      <c r="J116" s="224"/>
      <c r="K116" s="372"/>
      <c r="L116" s="355" t="str">
        <f>Products!B652</f>
        <v>полотно розміром 100</v>
      </c>
      <c r="M116" s="373">
        <f>Products!E652</f>
        <v>720</v>
      </c>
    </row>
    <row r="117" spans="2:13" ht="24.75" customHeight="1">
      <c r="B117" s="472"/>
      <c r="C117" s="165" t="str">
        <f>Products!C645</f>
        <v>заповнення:</v>
      </c>
      <c r="D117" s="143" t="str">
        <f>Products!D645</f>
        <v>клеєний сосновий брус</v>
      </c>
      <c r="E117" s="176" t="str">
        <f>Products!F645</f>
        <v>клеєний сосновий брус</v>
      </c>
      <c r="F117" s="144" t="str">
        <f>Products!H645</f>
        <v>клеєний сосновий брус</v>
      </c>
      <c r="G117" s="144" t="str">
        <f>Products!J645</f>
        <v>клеєний сосновий брус</v>
      </c>
      <c r="H117" s="144" t="str">
        <f>Products!L645</f>
        <v>клеєний сосновий брус</v>
      </c>
      <c r="I117" s="224"/>
      <c r="J117" s="224"/>
      <c r="K117" s="362"/>
      <c r="L117" s="356" t="str">
        <f>Products!B653</f>
        <v>вентиляційний підріз</v>
      </c>
      <c r="M117" s="363">
        <f>Products!E653</f>
        <v>170.00000000000003</v>
      </c>
    </row>
    <row r="118" spans="2:13">
      <c r="B118" s="473"/>
      <c r="C118" s="166" t="str">
        <f>Products!C646</f>
        <v>скління:</v>
      </c>
      <c r="D118" s="141" t="str">
        <f>Products!D646</f>
        <v>Сатин</v>
      </c>
      <c r="E118" s="169" t="str">
        <f>Products!F646</f>
        <v>Сатин</v>
      </c>
      <c r="F118" s="130" t="str">
        <f>Products!H646</f>
        <v>Сатин</v>
      </c>
      <c r="G118" s="130" t="str">
        <f>Products!J646</f>
        <v>Сатин</v>
      </c>
      <c r="H118" s="130" t="str">
        <f>Products!L646</f>
        <v>Сатин</v>
      </c>
      <c r="I118" s="224"/>
      <c r="J118" s="224"/>
      <c r="K118" s="362"/>
      <c r="L118" s="356" t="str">
        <f>Products!B654</f>
        <v>скло Графіт / Бронза</v>
      </c>
      <c r="M118" s="363">
        <f>Products!E654</f>
        <v>550</v>
      </c>
    </row>
    <row r="119" spans="2:13">
      <c r="B119" s="13" t="str">
        <f>Products!B647</f>
        <v>6.0 - 6.4</v>
      </c>
      <c r="C119" s="171"/>
      <c r="D119" s="192">
        <f>Products!E647</f>
        <v>6790.0000000000009</v>
      </c>
      <c r="E119" s="192">
        <f>Products!G647</f>
        <v>7740</v>
      </c>
      <c r="F119" s="192">
        <f>Products!I647</f>
        <v>8050</v>
      </c>
      <c r="G119" s="192">
        <f>Products!K647</f>
        <v>8770</v>
      </c>
      <c r="H119" s="192">
        <f>Products!M647</f>
        <v>9190</v>
      </c>
      <c r="I119" s="31"/>
      <c r="J119" s="377"/>
      <c r="K119" s="362"/>
      <c r="L119" s="356" t="str">
        <f>Products!B655</f>
        <v>замок Soft</v>
      </c>
      <c r="M119" s="363">
        <f>Products!E655</f>
        <v>550</v>
      </c>
    </row>
    <row r="120" spans="2:13">
      <c r="B120" s="292" t="str">
        <f>Products!B648</f>
        <v>7.0 - 7.2</v>
      </c>
      <c r="C120" s="293"/>
      <c r="D120" s="294">
        <f>Products!E648</f>
        <v>6730.0000000000009</v>
      </c>
      <c r="E120" s="294">
        <f>Products!G648</f>
        <v>7670</v>
      </c>
      <c r="F120" s="294">
        <f>Products!I648</f>
        <v>8010</v>
      </c>
      <c r="G120" s="294">
        <f>Products!K648</f>
        <v>8650</v>
      </c>
      <c r="H120" s="294">
        <f>Products!M648</f>
        <v>9170</v>
      </c>
      <c r="I120" s="31"/>
      <c r="J120" s="377"/>
      <c r="K120" s="362"/>
      <c r="L120" s="356" t="str">
        <f>Products!B656</f>
        <v>замок Magnet</v>
      </c>
      <c r="M120" s="363">
        <f>Products!E656</f>
        <v>800.00000000000011</v>
      </c>
    </row>
    <row r="121" spans="2:13">
      <c r="F121" s="101"/>
      <c r="G121" s="101"/>
      <c r="H121" s="31"/>
      <c r="I121" s="31"/>
      <c r="J121" s="377"/>
      <c r="K121" s="362"/>
      <c r="L121" s="356" t="str">
        <f>Products!B657</f>
        <v>ручка-замок (для дверей купе)</v>
      </c>
      <c r="M121" s="363">
        <f>Products!E657</f>
        <v>560</v>
      </c>
    </row>
    <row r="122" spans="2:13">
      <c r="F122" s="101"/>
      <c r="G122" s="101"/>
      <c r="H122" s="31"/>
      <c r="I122" s="31"/>
      <c r="J122" s="377"/>
      <c r="K122" s="362"/>
      <c r="L122" s="356" t="str">
        <f>Products!B658</f>
        <v>циліндр несиметричний</v>
      </c>
      <c r="M122" s="363">
        <f>Products!E658</f>
        <v>390</v>
      </c>
    </row>
    <row r="123" spans="2:13">
      <c r="C123" s="34"/>
      <c r="D123" s="34"/>
      <c r="E123" s="34"/>
      <c r="H123" s="31"/>
      <c r="I123" s="31"/>
      <c r="J123" s="377"/>
      <c r="K123" s="362"/>
      <c r="L123" s="356" t="str">
        <f>Products!B659</f>
        <v>завіса Prestige (1 шт)</v>
      </c>
      <c r="M123" s="363">
        <f>Products!E659</f>
        <v>260</v>
      </c>
    </row>
    <row r="124" spans="2:13">
      <c r="C124" s="34"/>
      <c r="D124" s="34"/>
      <c r="E124" s="34"/>
      <c r="H124" s="31"/>
      <c r="I124" s="31"/>
      <c r="J124" s="377"/>
      <c r="K124" s="362"/>
      <c r="L124" s="356" t="str">
        <f>Products!B660</f>
        <v>накладка на завіси (1 к-т)</v>
      </c>
      <c r="M124" s="363">
        <f>Products!E660</f>
        <v>80</v>
      </c>
    </row>
    <row r="125" spans="2:13">
      <c r="F125" s="101"/>
      <c r="G125" s="101"/>
      <c r="H125" s="31"/>
      <c r="I125" s="31"/>
      <c r="J125" s="377"/>
      <c r="K125" s="362"/>
      <c r="L125" s="356" t="str">
        <f>Products!B661</f>
        <v>дверна ручка</v>
      </c>
      <c r="M125" s="378" t="str">
        <f>Products!E661</f>
        <v>див. Таблицю Ручки</v>
      </c>
    </row>
    <row r="126" spans="2:13">
      <c r="C126" s="34"/>
      <c r="D126" s="34"/>
      <c r="E126" s="34"/>
      <c r="J126" s="367"/>
      <c r="K126" s="367"/>
      <c r="L126" s="367"/>
      <c r="M126" s="367"/>
    </row>
    <row r="127" spans="2:13">
      <c r="B127" s="475" t="str">
        <f>Products!B712</f>
        <v>Полотна збірні: НІКА</v>
      </c>
      <c r="C127" s="476"/>
      <c r="D127" s="476"/>
      <c r="E127" s="476"/>
      <c r="F127" s="178"/>
      <c r="G127" s="178"/>
      <c r="H127" s="178"/>
      <c r="I127" s="178"/>
      <c r="J127" s="357"/>
      <c r="K127" s="357"/>
      <c r="L127" s="370"/>
      <c r="M127" s="371"/>
    </row>
    <row r="128" spans="2:13" ht="24.75" customHeight="1">
      <c r="B128" s="483" t="str">
        <f>Products!B714</f>
        <v>модель</v>
      </c>
      <c r="C128" s="164" t="str">
        <f>Products!C714</f>
        <v>покриття:</v>
      </c>
      <c r="D128" s="133" t="str">
        <f>Products!D714</f>
        <v>Verto-CELL</v>
      </c>
      <c r="E128" s="175" t="str">
        <f>Products!F714</f>
        <v>UNI-MAT</v>
      </c>
      <c r="F128" s="134" t="str">
        <f>Products!H714</f>
        <v>RESIST</v>
      </c>
      <c r="G128" s="134" t="str">
        <f>Products!J714</f>
        <v>Verto LINE-3D</v>
      </c>
      <c r="H128" s="134" t="str">
        <f>Products!L714</f>
        <v>ЕКО Шпон</v>
      </c>
      <c r="I128" s="224"/>
      <c r="J128" s="224"/>
      <c r="K128" s="372"/>
      <c r="L128" s="355" t="str">
        <f>Products!B722</f>
        <v>полотно розміром 100</v>
      </c>
      <c r="M128" s="373">
        <f>Products!E722</f>
        <v>720</v>
      </c>
    </row>
    <row r="129" spans="2:13" ht="24.75" customHeight="1">
      <c r="B129" s="472"/>
      <c r="C129" s="165" t="str">
        <f>Products!C715</f>
        <v>заповнення:</v>
      </c>
      <c r="D129" s="143" t="str">
        <f>Products!D715</f>
        <v>клеєний сосновий брус</v>
      </c>
      <c r="E129" s="176" t="str">
        <f>Products!F715</f>
        <v>клеєний сосновий брус</v>
      </c>
      <c r="F129" s="144" t="str">
        <f>Products!H715</f>
        <v>клеєний сосновий брус</v>
      </c>
      <c r="G129" s="144" t="str">
        <f>Products!J715</f>
        <v>клеєний сосновий брус</v>
      </c>
      <c r="H129" s="144" t="str">
        <f>Products!L715</f>
        <v>клеєний сосновий брус</v>
      </c>
      <c r="I129" s="224"/>
      <c r="J129" s="224"/>
      <c r="K129" s="362"/>
      <c r="L129" s="356" t="str">
        <f>Products!B723</f>
        <v>вентиляційний підріз</v>
      </c>
      <c r="M129" s="363">
        <f>Products!E723</f>
        <v>170.00000000000003</v>
      </c>
    </row>
    <row r="130" spans="2:13">
      <c r="B130" s="473"/>
      <c r="C130" s="166" t="str">
        <f>Products!C716</f>
        <v>скління:</v>
      </c>
      <c r="D130" s="141" t="str">
        <f>Products!D716</f>
        <v>Сатин</v>
      </c>
      <c r="E130" s="169" t="str">
        <f>Products!F716</f>
        <v>Сатин</v>
      </c>
      <c r="F130" s="130" t="str">
        <f>Products!H716</f>
        <v>Сатин</v>
      </c>
      <c r="G130" s="130" t="str">
        <f>Products!J716</f>
        <v>Сатин</v>
      </c>
      <c r="H130" s="130" t="str">
        <f>Products!L716</f>
        <v>Сатин</v>
      </c>
      <c r="I130" s="224"/>
      <c r="J130" s="224"/>
      <c r="K130" s="362"/>
      <c r="L130" s="356" t="str">
        <f>Products!B724</f>
        <v>скло Графіт / Бронза</v>
      </c>
      <c r="M130" s="363">
        <f>Products!E724</f>
        <v>550</v>
      </c>
    </row>
    <row r="131" spans="2:13">
      <c r="B131" s="13" t="str">
        <f>Products!B717</f>
        <v>1.0 - 1.8</v>
      </c>
      <c r="C131" s="171"/>
      <c r="D131" s="192">
        <f>Products!E717</f>
        <v>6590</v>
      </c>
      <c r="E131" s="192">
        <f>Products!G717</f>
        <v>7500</v>
      </c>
      <c r="F131" s="192">
        <f>Products!I717</f>
        <v>7740</v>
      </c>
      <c r="G131" s="192">
        <f>Products!K717</f>
        <v>8400</v>
      </c>
      <c r="H131" s="192">
        <f>Products!M717</f>
        <v>8770</v>
      </c>
      <c r="I131" s="31"/>
      <c r="J131" s="377"/>
      <c r="K131" s="362"/>
      <c r="L131" s="356" t="str">
        <f>Products!B725</f>
        <v>замок Soft</v>
      </c>
      <c r="M131" s="363">
        <f>Products!E725</f>
        <v>550</v>
      </c>
    </row>
    <row r="132" spans="2:13">
      <c r="B132" s="292" t="str">
        <f>Products!B718</f>
        <v>2.1 - 2.4</v>
      </c>
      <c r="C132" s="293"/>
      <c r="D132" s="294">
        <f>Products!E718</f>
        <v>6590</v>
      </c>
      <c r="E132" s="294">
        <f>Products!G718</f>
        <v>7500</v>
      </c>
      <c r="F132" s="294">
        <f>Products!I718</f>
        <v>7740</v>
      </c>
      <c r="G132" s="294">
        <f>Products!K718</f>
        <v>8400</v>
      </c>
      <c r="H132" s="294">
        <f>Products!M718</f>
        <v>8770</v>
      </c>
      <c r="I132" s="31"/>
      <c r="J132" s="377"/>
      <c r="K132" s="362"/>
      <c r="L132" s="356" t="str">
        <f>Products!B726</f>
        <v>замок Magnet</v>
      </c>
      <c r="M132" s="363">
        <f>Products!E726</f>
        <v>800.00000000000011</v>
      </c>
    </row>
    <row r="133" spans="2:13">
      <c r="F133" s="101"/>
      <c r="G133" s="101"/>
      <c r="H133" s="31"/>
      <c r="I133" s="31"/>
      <c r="J133" s="377"/>
      <c r="K133" s="362"/>
      <c r="L133" s="356" t="str">
        <f>Products!B727</f>
        <v>ручка-замок (для дверей купе)</v>
      </c>
      <c r="M133" s="363">
        <f>Products!E727</f>
        <v>560</v>
      </c>
    </row>
    <row r="134" spans="2:13">
      <c r="F134" s="101"/>
      <c r="G134" s="101"/>
      <c r="H134" s="31"/>
      <c r="I134" s="31"/>
      <c r="J134" s="377"/>
      <c r="K134" s="362"/>
      <c r="L134" s="356" t="str">
        <f>Products!B728</f>
        <v>циліндр несиметричний</v>
      </c>
      <c r="M134" s="363">
        <f>Products!E728</f>
        <v>390</v>
      </c>
    </row>
    <row r="135" spans="2:13">
      <c r="C135" s="34"/>
      <c r="D135" s="34"/>
      <c r="E135" s="34"/>
      <c r="H135" s="31"/>
      <c r="I135" s="31"/>
      <c r="J135" s="377"/>
      <c r="K135" s="362"/>
      <c r="L135" s="356" t="str">
        <f>Products!B729</f>
        <v>завіса Prestige (1 шт)</v>
      </c>
      <c r="M135" s="363">
        <f>Products!E729</f>
        <v>260</v>
      </c>
    </row>
    <row r="136" spans="2:13">
      <c r="C136" s="34"/>
      <c r="D136" s="34"/>
      <c r="E136" s="34"/>
      <c r="H136" s="31"/>
      <c r="I136" s="31"/>
      <c r="J136" s="377"/>
      <c r="K136" s="362"/>
      <c r="L136" s="356" t="str">
        <f>Products!B730</f>
        <v>накладка на завіси (1 к-т)</v>
      </c>
      <c r="M136" s="363">
        <f>Products!E730</f>
        <v>80</v>
      </c>
    </row>
    <row r="137" spans="2:13">
      <c r="F137" s="101"/>
      <c r="G137" s="101"/>
      <c r="H137" s="31"/>
      <c r="I137" s="31"/>
      <c r="J137" s="377"/>
      <c r="K137" s="362"/>
      <c r="L137" s="356" t="str">
        <f>Products!B731</f>
        <v>дверна ручка</v>
      </c>
      <c r="M137" s="378" t="str">
        <f>Products!E731</f>
        <v>див. Таблицю Ручки</v>
      </c>
    </row>
    <row r="138" spans="2:13">
      <c r="F138" s="101"/>
      <c r="G138" s="101"/>
      <c r="H138" s="31"/>
      <c r="I138" s="31"/>
      <c r="J138" s="377"/>
      <c r="K138" s="379"/>
      <c r="L138" s="380"/>
      <c r="M138" s="381"/>
    </row>
    <row r="139" spans="2:13">
      <c r="B139" s="475" t="str">
        <f>Products!B782</f>
        <v>Полотна збірні: ЛІСА</v>
      </c>
      <c r="C139" s="476"/>
      <c r="D139" s="476"/>
      <c r="E139" s="476"/>
      <c r="F139" s="178"/>
      <c r="G139" s="178"/>
      <c r="H139" s="178"/>
      <c r="I139" s="178"/>
      <c r="J139" s="357"/>
      <c r="K139" s="357"/>
      <c r="L139" s="370"/>
      <c r="M139" s="371"/>
    </row>
    <row r="140" spans="2:13" ht="27" customHeight="1">
      <c r="B140" s="483" t="str">
        <f>Products!B784</f>
        <v>модель</v>
      </c>
      <c r="C140" s="164" t="str">
        <f>Products!C784</f>
        <v>покриття:</v>
      </c>
      <c r="D140" s="133" t="str">
        <f>Products!D784</f>
        <v>Verto-CELL</v>
      </c>
      <c r="E140" s="175" t="str">
        <f>Products!F784</f>
        <v>UNI-MAT</v>
      </c>
      <c r="F140" s="134" t="str">
        <f>Products!H784</f>
        <v>RESIST</v>
      </c>
      <c r="G140" s="134" t="str">
        <f>Products!J784</f>
        <v>Verto LINE-3D</v>
      </c>
      <c r="H140" s="134" t="str">
        <f>Products!L784</f>
        <v>ЕКО Шпон</v>
      </c>
      <c r="I140" s="224"/>
      <c r="J140" s="224"/>
      <c r="K140" s="372"/>
      <c r="L140" s="355" t="str">
        <f>Products!B792</f>
        <v>полотно розміром 100</v>
      </c>
      <c r="M140" s="373">
        <f>Products!E792</f>
        <v>720</v>
      </c>
    </row>
    <row r="141" spans="2:13" ht="24.75" customHeight="1">
      <c r="B141" s="472"/>
      <c r="C141" s="165" t="str">
        <f>Products!C785</f>
        <v>заповнення:</v>
      </c>
      <c r="D141" s="143" t="str">
        <f>Products!D785</f>
        <v>клеєний сосновий брус</v>
      </c>
      <c r="E141" s="176" t="str">
        <f>Products!F785</f>
        <v>клеєний сосновий брус</v>
      </c>
      <c r="F141" s="144" t="str">
        <f>Products!H785</f>
        <v>клеєний сосновий брус</v>
      </c>
      <c r="G141" s="144" t="str">
        <f>Products!J785</f>
        <v>клеєний сосновий брус</v>
      </c>
      <c r="H141" s="144" t="str">
        <f>Products!L785</f>
        <v>клеєний сосновий брус</v>
      </c>
      <c r="I141" s="224"/>
      <c r="J141" s="224"/>
      <c r="K141" s="362"/>
      <c r="L141" s="356" t="str">
        <f>Products!B793</f>
        <v>вентиляційний підріз</v>
      </c>
      <c r="M141" s="363">
        <f>Products!E793</f>
        <v>170.00000000000003</v>
      </c>
    </row>
    <row r="142" spans="2:13">
      <c r="B142" s="473"/>
      <c r="C142" s="166" t="str">
        <f>Products!C786</f>
        <v>скління:</v>
      </c>
      <c r="D142" s="141" t="str">
        <f>Products!D786</f>
        <v>Сатин</v>
      </c>
      <c r="E142" s="169" t="str">
        <f>Products!F786</f>
        <v>Сатин</v>
      </c>
      <c r="F142" s="130" t="str">
        <f>Products!H786</f>
        <v>Сатин</v>
      </c>
      <c r="G142" s="130" t="str">
        <f>Products!J786</f>
        <v>Сатин</v>
      </c>
      <c r="H142" s="130" t="str">
        <f>Products!L786</f>
        <v>Сатин</v>
      </c>
      <c r="I142" s="224"/>
      <c r="J142" s="224"/>
      <c r="K142" s="362"/>
      <c r="L142" s="356" t="str">
        <f>Products!B794</f>
        <v>скло Графіт / Бронза</v>
      </c>
      <c r="M142" s="363">
        <f>Products!E794</f>
        <v>550</v>
      </c>
    </row>
    <row r="143" spans="2:13">
      <c r="B143" s="13" t="str">
        <f>Products!B787</f>
        <v>2.0 - 2.2</v>
      </c>
      <c r="C143" s="171"/>
      <c r="D143" s="192">
        <f>Products!E787</f>
        <v>5910</v>
      </c>
      <c r="E143" s="192">
        <f>Products!G787</f>
        <v>6520.0000000000009</v>
      </c>
      <c r="F143" s="192">
        <f>Products!I787</f>
        <v>6710</v>
      </c>
      <c r="G143" s="192">
        <f>Products!K787</f>
        <v>7220</v>
      </c>
      <c r="H143" s="192">
        <f>Products!M787</f>
        <v>7570</v>
      </c>
      <c r="I143" s="31"/>
      <c r="J143" s="377"/>
      <c r="K143" s="362"/>
      <c r="L143" s="356" t="str">
        <f>Products!B795</f>
        <v>замок Soft</v>
      </c>
      <c r="M143" s="363">
        <f>Products!E795</f>
        <v>550</v>
      </c>
    </row>
    <row r="144" spans="2:13">
      <c r="B144" s="292" t="str">
        <f>Products!B788</f>
        <v>3.0 - 3.4</v>
      </c>
      <c r="C144" s="293"/>
      <c r="D144" s="294">
        <f>Products!E788</f>
        <v>5910</v>
      </c>
      <c r="E144" s="294">
        <f>Products!G788</f>
        <v>6520.0000000000009</v>
      </c>
      <c r="F144" s="294">
        <f>Products!I788</f>
        <v>6710</v>
      </c>
      <c r="G144" s="294">
        <f>Products!K788</f>
        <v>7220</v>
      </c>
      <c r="H144" s="294">
        <f>Products!M788</f>
        <v>7570</v>
      </c>
      <c r="I144" s="31"/>
      <c r="J144" s="377"/>
      <c r="K144" s="362"/>
      <c r="L144" s="356" t="str">
        <f>Products!B796</f>
        <v>замок Magnet</v>
      </c>
      <c r="M144" s="363">
        <f>Products!E796</f>
        <v>800.00000000000011</v>
      </c>
    </row>
    <row r="145" spans="1:13">
      <c r="F145" s="101"/>
      <c r="G145" s="101"/>
      <c r="H145" s="31"/>
      <c r="I145" s="31"/>
      <c r="J145" s="377"/>
      <c r="K145" s="362"/>
      <c r="L145" s="356" t="str">
        <f>Products!B797</f>
        <v>ручка-замок (для дверей купе)</v>
      </c>
      <c r="M145" s="363">
        <f>Products!E797</f>
        <v>560</v>
      </c>
    </row>
    <row r="146" spans="1:13">
      <c r="F146" s="101"/>
      <c r="G146" s="101"/>
      <c r="H146" s="31"/>
      <c r="I146" s="31"/>
      <c r="J146" s="377"/>
      <c r="K146" s="362"/>
      <c r="L146" s="356" t="str">
        <f>Products!B798</f>
        <v>циліндр несиметричний</v>
      </c>
      <c r="M146" s="363">
        <f>Products!E798</f>
        <v>390</v>
      </c>
    </row>
    <row r="147" spans="1:13">
      <c r="C147" s="34"/>
      <c r="D147" s="34"/>
      <c r="E147" s="34"/>
      <c r="H147" s="31"/>
      <c r="I147" s="31"/>
      <c r="J147" s="377"/>
      <c r="K147" s="362"/>
      <c r="L147" s="356" t="str">
        <f>Products!B799</f>
        <v>завіса Prestige (1 шт)</v>
      </c>
      <c r="M147" s="363">
        <f>Products!E799</f>
        <v>260</v>
      </c>
    </row>
    <row r="148" spans="1:13">
      <c r="C148" s="34"/>
      <c r="D148" s="34"/>
      <c r="E148" s="34"/>
      <c r="H148" s="31"/>
      <c r="I148" s="31"/>
      <c r="J148" s="377"/>
      <c r="K148" s="362"/>
      <c r="L148" s="356" t="str">
        <f>Products!B800</f>
        <v>накладка на завіси (1 к-т)</v>
      </c>
      <c r="M148" s="363">
        <f>Products!E800</f>
        <v>80</v>
      </c>
    </row>
    <row r="149" spans="1:13">
      <c r="F149" s="101"/>
      <c r="G149" s="101"/>
      <c r="H149" s="31"/>
      <c r="I149" s="31"/>
      <c r="J149" s="377"/>
      <c r="K149" s="362"/>
      <c r="L149" s="356" t="str">
        <f>Products!B801</f>
        <v>дверна ручка</v>
      </c>
      <c r="M149" s="378" t="str">
        <f>Products!E801</f>
        <v>див. Таблицю Ручки</v>
      </c>
    </row>
    <row r="150" spans="1:13">
      <c r="C150" s="34"/>
      <c r="D150" s="34"/>
      <c r="E150" s="34"/>
      <c r="F150" s="31"/>
      <c r="G150" s="31"/>
      <c r="J150" s="367"/>
      <c r="K150" s="367"/>
      <c r="L150" s="367"/>
      <c r="M150" s="367"/>
    </row>
    <row r="151" spans="1:13" s="31" customFormat="1" ht="12.75" customHeight="1">
      <c r="B151" s="475" t="str">
        <f>TITLE!$C$19</f>
        <v>Полотна збірні: ЛАДА-КОНЦЕПТ</v>
      </c>
      <c r="C151" s="476"/>
      <c r="D151" s="476"/>
      <c r="E151" s="476"/>
      <c r="F151" s="178"/>
      <c r="G151" s="178"/>
      <c r="H151" s="178"/>
      <c r="I151" s="178"/>
      <c r="J151" s="357"/>
      <c r="K151" s="357"/>
      <c r="L151" s="370"/>
      <c r="M151" s="371"/>
    </row>
    <row r="152" spans="1:13" ht="26.25" customHeight="1">
      <c r="A152" s="31"/>
      <c r="B152" s="483" t="str">
        <f>Products!B854</f>
        <v>модель</v>
      </c>
      <c r="C152" s="164" t="str">
        <f>Products!C854</f>
        <v>покриття:</v>
      </c>
      <c r="D152" s="133" t="str">
        <f>Products!D854</f>
        <v>Verto-CELL</v>
      </c>
      <c r="E152" s="175" t="str">
        <f>Products!F854</f>
        <v>UNI-MAT</v>
      </c>
      <c r="F152" s="134" t="str">
        <f>Products!H854</f>
        <v>RESIST</v>
      </c>
      <c r="G152" s="134" t="str">
        <f>Products!J854</f>
        <v>Verto LINE-3D</v>
      </c>
      <c r="H152" s="134" t="str">
        <f>Products!L854</f>
        <v>ЕКО Шпон</v>
      </c>
      <c r="I152" s="224"/>
      <c r="J152" s="224"/>
      <c r="K152" s="372"/>
      <c r="L152" s="355" t="str">
        <f>Products!B866</f>
        <v>полотно розміром 100</v>
      </c>
      <c r="M152" s="373">
        <f>Products!E866</f>
        <v>720</v>
      </c>
    </row>
    <row r="153" spans="1:13" ht="24" customHeight="1">
      <c r="A153" s="31"/>
      <c r="B153" s="472"/>
      <c r="C153" s="165" t="str">
        <f>Products!C855</f>
        <v>заповнення:</v>
      </c>
      <c r="D153" s="143" t="str">
        <f>Products!D855</f>
        <v>клеєний сосновий брус</v>
      </c>
      <c r="E153" s="176" t="str">
        <f>Products!F855</f>
        <v>клеєний сосновий брус</v>
      </c>
      <c r="F153" s="144" t="str">
        <f>Products!H855</f>
        <v>клеєний сосновий брус</v>
      </c>
      <c r="G153" s="144" t="str">
        <f>Products!J855</f>
        <v>клеєний сосновий брус</v>
      </c>
      <c r="H153" s="144" t="str">
        <f>Products!L855</f>
        <v>клеєний сосновий брус</v>
      </c>
      <c r="I153" s="224"/>
      <c r="J153" s="224"/>
      <c r="K153" s="362"/>
      <c r="L153" s="356" t="str">
        <f>Products!B867</f>
        <v>вентиляційні віддушини (1ряд)</v>
      </c>
      <c r="M153" s="363">
        <f>Products!E867</f>
        <v>250</v>
      </c>
    </row>
    <row r="154" spans="1:13" ht="12.75" customHeight="1">
      <c r="A154" s="31"/>
      <c r="B154" s="473"/>
      <c r="C154" s="166" t="str">
        <f>Products!C856</f>
        <v>скління:</v>
      </c>
      <c r="D154" s="141" t="str">
        <f>Products!D856</f>
        <v>Сатин</v>
      </c>
      <c r="E154" s="169" t="str">
        <f>Products!F856</f>
        <v>Сатин</v>
      </c>
      <c r="F154" s="130" t="str">
        <f>Products!H856</f>
        <v>Сатин</v>
      </c>
      <c r="G154" s="130" t="str">
        <f>Products!J856</f>
        <v>Сатин</v>
      </c>
      <c r="H154" s="130" t="str">
        <f>Products!L856</f>
        <v>Сатин</v>
      </c>
      <c r="I154" s="224"/>
      <c r="J154" s="224"/>
      <c r="K154" s="362"/>
      <c r="L154" s="356" t="str">
        <f>Products!B868</f>
        <v>вентиляційний підріз</v>
      </c>
      <c r="M154" s="363">
        <f>Products!E868</f>
        <v>170.00000000000003</v>
      </c>
    </row>
    <row r="155" spans="1:13">
      <c r="A155" s="31"/>
      <c r="B155" s="16" t="str">
        <f>Products!B857</f>
        <v>2.0 - 2.2</v>
      </c>
      <c r="C155" s="172"/>
      <c r="D155" s="200">
        <f>Products!E857</f>
        <v>6150</v>
      </c>
      <c r="E155" s="193">
        <f>Products!G857</f>
        <v>6820.0000000000009</v>
      </c>
      <c r="F155" s="194">
        <f>Products!I857</f>
        <v>7030.0000000000009</v>
      </c>
      <c r="G155" s="194">
        <f>Products!K857</f>
        <v>7670</v>
      </c>
      <c r="H155" s="194">
        <f>Products!M857</f>
        <v>8040</v>
      </c>
      <c r="I155" s="232"/>
      <c r="J155" s="232"/>
      <c r="K155" s="362"/>
      <c r="L155" s="356" t="str">
        <f>Products!B869</f>
        <v>скло Графіт / Бронза</v>
      </c>
      <c r="M155" s="363">
        <f>Products!E869</f>
        <v>550</v>
      </c>
    </row>
    <row r="156" spans="1:13">
      <c r="A156" s="31"/>
      <c r="B156" s="16" t="str">
        <f>Products!B858</f>
        <v>3.0 - 3.3</v>
      </c>
      <c r="C156" s="172"/>
      <c r="D156" s="200">
        <f>Products!E858</f>
        <v>6370.0000000000009</v>
      </c>
      <c r="E156" s="193">
        <f>Products!G858</f>
        <v>7080</v>
      </c>
      <c r="F156" s="194">
        <f>Products!I858</f>
        <v>7300.0000000000009</v>
      </c>
      <c r="G156" s="194">
        <f>Products!K858</f>
        <v>7820</v>
      </c>
      <c r="H156" s="194">
        <f>Products!M858</f>
        <v>8170</v>
      </c>
      <c r="I156" s="232"/>
      <c r="J156" s="232"/>
      <c r="K156" s="362"/>
      <c r="L156" s="356" t="str">
        <f>Products!B870</f>
        <v>замок Soft</v>
      </c>
      <c r="M156" s="363">
        <f>Products!E870</f>
        <v>550</v>
      </c>
    </row>
    <row r="157" spans="1:13">
      <c r="A157" s="31"/>
      <c r="B157" s="16" t="str">
        <f>Products!B859</f>
        <v>4.0 - 4.4</v>
      </c>
      <c r="C157" s="172"/>
      <c r="D157" s="200">
        <f>Products!E859</f>
        <v>6720</v>
      </c>
      <c r="E157" s="193">
        <f>Products!G859</f>
        <v>7460</v>
      </c>
      <c r="F157" s="194">
        <f>Products!I859</f>
        <v>7680</v>
      </c>
      <c r="G157" s="194">
        <f>Products!K859</f>
        <v>8550</v>
      </c>
      <c r="H157" s="194">
        <f>Products!M859</f>
        <v>8610</v>
      </c>
      <c r="I157" s="232"/>
      <c r="J157" s="232"/>
      <c r="K157" s="362"/>
      <c r="L157" s="356" t="str">
        <f>Products!B871</f>
        <v>замок Magnet</v>
      </c>
      <c r="M157" s="363">
        <f>Products!E871</f>
        <v>800.00000000000011</v>
      </c>
    </row>
    <row r="158" spans="1:13">
      <c r="A158" s="31"/>
      <c r="B158" s="16" t="str">
        <f>Products!B860</f>
        <v>5.1.</v>
      </c>
      <c r="C158" s="172"/>
      <c r="D158" s="200">
        <f>Products!E860</f>
        <v>6370.0000000000009</v>
      </c>
      <c r="E158" s="193">
        <f>Products!G860</f>
        <v>7080</v>
      </c>
      <c r="F158" s="194">
        <f>Products!I860</f>
        <v>7300.0000000000009</v>
      </c>
      <c r="G158" s="194">
        <f>Products!K860</f>
        <v>7820</v>
      </c>
      <c r="H158" s="194">
        <f>Products!M860</f>
        <v>8170</v>
      </c>
      <c r="I158" s="232"/>
      <c r="J158" s="232"/>
      <c r="K158" s="362"/>
      <c r="L158" s="356" t="str">
        <f>Products!B872</f>
        <v>ручка-замок (для дверей купе)</v>
      </c>
      <c r="M158" s="363">
        <f>Products!E872</f>
        <v>560</v>
      </c>
    </row>
    <row r="159" spans="1:13">
      <c r="A159" s="31"/>
      <c r="B159" s="16" t="str">
        <f>Products!B861</f>
        <v>5.2.</v>
      </c>
      <c r="C159" s="172"/>
      <c r="D159" s="200">
        <f>Products!E861</f>
        <v>6060</v>
      </c>
      <c r="E159" s="193">
        <f>Products!G861</f>
        <v>6720</v>
      </c>
      <c r="F159" s="194">
        <f>Products!I861</f>
        <v>6930</v>
      </c>
      <c r="G159" s="194">
        <f>Products!K861</f>
        <v>7480</v>
      </c>
      <c r="H159" s="194">
        <f>Products!M861</f>
        <v>7830</v>
      </c>
      <c r="I159" s="232"/>
      <c r="J159" s="232"/>
      <c r="K159" s="362"/>
      <c r="L159" s="356" t="str">
        <f>Products!B873</f>
        <v>циліндр несиметричний</v>
      </c>
      <c r="M159" s="363">
        <f>Products!E873</f>
        <v>380</v>
      </c>
    </row>
    <row r="160" spans="1:13">
      <c r="A160" s="31"/>
      <c r="B160" s="23" t="str">
        <f>Products!B862</f>
        <v>5.3.</v>
      </c>
      <c r="C160" s="173"/>
      <c r="D160" s="201">
        <f>Products!E862</f>
        <v>5740.0000000000009</v>
      </c>
      <c r="E160" s="195">
        <f>Products!G862</f>
        <v>6360</v>
      </c>
      <c r="F160" s="196">
        <f>Products!I862</f>
        <v>6580.0000000000009</v>
      </c>
      <c r="G160" s="196">
        <f>Products!K862</f>
        <v>7030.0000000000009</v>
      </c>
      <c r="H160" s="196">
        <f>Products!M862</f>
        <v>7320</v>
      </c>
      <c r="I160" s="232"/>
      <c r="J160" s="232"/>
      <c r="K160" s="362"/>
      <c r="L160" s="356" t="str">
        <f>Products!B874</f>
        <v>завіса Prestige (1 шт)</v>
      </c>
      <c r="M160" s="363">
        <f>Products!E874</f>
        <v>260</v>
      </c>
    </row>
    <row r="161" spans="1:13">
      <c r="A161" s="31"/>
      <c r="B161" s="327"/>
      <c r="C161" s="328"/>
      <c r="D161" s="204"/>
      <c r="E161" s="204"/>
      <c r="F161" s="204"/>
      <c r="G161" s="204"/>
      <c r="H161" s="232"/>
      <c r="I161" s="232"/>
      <c r="J161" s="232"/>
      <c r="K161" s="362"/>
      <c r="L161" s="356" t="str">
        <f>Products!B875</f>
        <v>накладка на завіси (1 к-т)</v>
      </c>
      <c r="M161" s="363">
        <f>Products!E875</f>
        <v>80</v>
      </c>
    </row>
    <row r="162" spans="1:13">
      <c r="C162" s="34"/>
      <c r="D162" s="34"/>
      <c r="E162" s="34"/>
      <c r="F162" s="31"/>
      <c r="G162" s="31"/>
      <c r="J162" s="367"/>
      <c r="K162" s="367"/>
      <c r="L162" s="356" t="str">
        <f>Products!B876</f>
        <v>дверна ручка</v>
      </c>
      <c r="M162" s="382" t="str">
        <f>Products!E876</f>
        <v>див. Таблицю Ручки</v>
      </c>
    </row>
    <row r="163" spans="1:13">
      <c r="C163" s="34"/>
      <c r="D163" s="34"/>
      <c r="E163" s="34"/>
      <c r="F163" s="31"/>
      <c r="G163" s="31"/>
      <c r="J163" s="367"/>
      <c r="K163" s="367"/>
      <c r="L163" s="367"/>
      <c r="M163" s="367"/>
    </row>
    <row r="164" spans="1:13" s="31" customFormat="1" ht="12.75" customHeight="1">
      <c r="B164" s="475" t="str">
        <f>TITLE!$C$20</f>
        <v>Полотна збірні: ЛАДА-НОВА</v>
      </c>
      <c r="C164" s="476"/>
      <c r="D164" s="476"/>
      <c r="E164" s="476"/>
      <c r="F164" s="178"/>
      <c r="G164" s="178"/>
      <c r="H164" s="178"/>
      <c r="I164" s="178"/>
      <c r="J164" s="357"/>
      <c r="K164" s="357"/>
      <c r="L164" s="370"/>
      <c r="M164" s="371"/>
    </row>
    <row r="165" spans="1:13" ht="26.25" customHeight="1">
      <c r="A165" s="31"/>
      <c r="B165" s="483" t="str">
        <f>Products!B929</f>
        <v>модель</v>
      </c>
      <c r="C165" s="164" t="str">
        <f>Products!C929</f>
        <v>покриття:</v>
      </c>
      <c r="D165" s="133" t="str">
        <f>Products!D929</f>
        <v>Verto-CELL</v>
      </c>
      <c r="E165" s="175" t="str">
        <f>Products!F929</f>
        <v>UNI-MAT</v>
      </c>
      <c r="F165" s="134" t="str">
        <f>Products!H929</f>
        <v>RESIST</v>
      </c>
      <c r="G165" s="134" t="str">
        <f>Products!J929</f>
        <v>Verto LINE-3D</v>
      </c>
      <c r="H165" s="134" t="str">
        <f>Products!L929</f>
        <v>ЕКО Шпон</v>
      </c>
      <c r="I165" s="224"/>
      <c r="J165" s="224"/>
      <c r="K165" s="372"/>
      <c r="L165" s="355" t="str">
        <f>Products!B941</f>
        <v>полотно розміром 100</v>
      </c>
      <c r="M165" s="373">
        <f>Products!E941</f>
        <v>720</v>
      </c>
    </row>
    <row r="166" spans="1:13" ht="24" customHeight="1">
      <c r="A166" s="31"/>
      <c r="B166" s="472"/>
      <c r="C166" s="165" t="str">
        <f>Products!C930</f>
        <v>заповнення:</v>
      </c>
      <c r="D166" s="143" t="str">
        <f>Products!D930</f>
        <v>клеєний сосновий брус</v>
      </c>
      <c r="E166" s="176" t="str">
        <f>Products!F930</f>
        <v>клеєний сосновий брус</v>
      </c>
      <c r="F166" s="144" t="str">
        <f>Products!H930</f>
        <v>клеєний сосновий брус</v>
      </c>
      <c r="G166" s="144" t="str">
        <f>Products!J930</f>
        <v>клеєний сосновий брус</v>
      </c>
      <c r="H166" s="144" t="str">
        <f>Products!L930</f>
        <v>клеєний сосновий брус</v>
      </c>
      <c r="I166" s="224"/>
      <c r="J166" s="224"/>
      <c r="K166" s="362"/>
      <c r="L166" s="356" t="str">
        <f>Products!B942</f>
        <v>вентиляційні віддушини (1ряд)</v>
      </c>
      <c r="M166" s="363">
        <f>Products!E942</f>
        <v>250</v>
      </c>
    </row>
    <row r="167" spans="1:13" ht="12.75" customHeight="1">
      <c r="A167" s="31"/>
      <c r="B167" s="473"/>
      <c r="C167" s="166" t="str">
        <f>Products!C931</f>
        <v>скління:</v>
      </c>
      <c r="D167" s="141" t="str">
        <f>Products!D931</f>
        <v>Сатин</v>
      </c>
      <c r="E167" s="169" t="str">
        <f>Products!F931</f>
        <v>Сатин</v>
      </c>
      <c r="F167" s="130" t="str">
        <f>Products!H931</f>
        <v>Сатин</v>
      </c>
      <c r="G167" s="130" t="str">
        <f>Products!J931</f>
        <v>Сатин</v>
      </c>
      <c r="H167" s="130" t="str">
        <f>Products!L931</f>
        <v>Сатин</v>
      </c>
      <c r="I167" s="224"/>
      <c r="J167" s="224"/>
      <c r="K167" s="362"/>
      <c r="L167" s="356" t="str">
        <f>Products!B943</f>
        <v>вентиляційний підріз</v>
      </c>
      <c r="M167" s="363">
        <f>Products!E943</f>
        <v>170.00000000000003</v>
      </c>
    </row>
    <row r="168" spans="1:13">
      <c r="A168" s="31"/>
      <c r="B168" s="13" t="str">
        <f>Products!B932</f>
        <v>4.0 - 4.9</v>
      </c>
      <c r="C168" s="171"/>
      <c r="D168" s="199">
        <f>Products!E932</f>
        <v>7490</v>
      </c>
      <c r="E168" s="191">
        <f>Products!G932</f>
        <v>8320</v>
      </c>
      <c r="F168" s="191">
        <f>Products!I932</f>
        <v>8650</v>
      </c>
      <c r="G168" s="191">
        <f>Products!K932</f>
        <v>9430</v>
      </c>
      <c r="H168" s="191">
        <f>Products!M932</f>
        <v>9900</v>
      </c>
      <c r="J168" s="367"/>
      <c r="K168" s="362"/>
      <c r="L168" s="356" t="str">
        <f>Products!B944</f>
        <v>скло Графіт / Бронза</v>
      </c>
      <c r="M168" s="363">
        <f>Products!E944</f>
        <v>550</v>
      </c>
    </row>
    <row r="169" spans="1:13">
      <c r="A169" s="31"/>
      <c r="B169" s="16" t="str">
        <f>Products!B933</f>
        <v>6А.1</v>
      </c>
      <c r="C169" s="172"/>
      <c r="D169" s="200">
        <f>Products!E933</f>
        <v>5730</v>
      </c>
      <c r="E169" s="193">
        <f>Products!G933</f>
        <v>6360</v>
      </c>
      <c r="F169" s="193">
        <f>Products!I933</f>
        <v>6720</v>
      </c>
      <c r="G169" s="193">
        <f>Products!K933</f>
        <v>7210.0000000000009</v>
      </c>
      <c r="H169" s="193">
        <f>Products!M933</f>
        <v>7540</v>
      </c>
      <c r="J169" s="367"/>
      <c r="K169" s="362"/>
      <c r="L169" s="356" t="str">
        <f>Products!B945</f>
        <v>замок Soft</v>
      </c>
      <c r="M169" s="363">
        <f>Products!E945</f>
        <v>550</v>
      </c>
    </row>
    <row r="170" spans="1:13">
      <c r="A170" s="31"/>
      <c r="B170" s="16" t="str">
        <f>Products!B934</f>
        <v>6А.5</v>
      </c>
      <c r="C170" s="172"/>
      <c r="D170" s="200">
        <f>Products!E934</f>
        <v>6650</v>
      </c>
      <c r="E170" s="193">
        <f>Products!G934</f>
        <v>7380</v>
      </c>
      <c r="F170" s="193">
        <f>Products!I934</f>
        <v>7780</v>
      </c>
      <c r="G170" s="193">
        <f>Products!K934</f>
        <v>8550</v>
      </c>
      <c r="H170" s="193">
        <f>Products!M934</f>
        <v>8960</v>
      </c>
      <c r="J170" s="367"/>
      <c r="K170" s="362"/>
      <c r="L170" s="356" t="str">
        <f>Products!B947</f>
        <v>ручка-замок (для дверей купе)</v>
      </c>
      <c r="M170" s="363">
        <f>Products!E947</f>
        <v>560</v>
      </c>
    </row>
    <row r="171" spans="1:13">
      <c r="A171" s="31"/>
      <c r="B171" s="16" t="str">
        <f>Products!B935</f>
        <v>7.1.</v>
      </c>
      <c r="C171" s="172"/>
      <c r="D171" s="200">
        <f>Products!E935</f>
        <v>7290</v>
      </c>
      <c r="E171" s="193">
        <f>Products!G935</f>
        <v>8100</v>
      </c>
      <c r="F171" s="193">
        <f>Products!I935</f>
        <v>8620</v>
      </c>
      <c r="G171" s="193">
        <f>Products!K935</f>
        <v>9490</v>
      </c>
      <c r="H171" s="193">
        <f>Products!M935</f>
        <v>10040.000000000002</v>
      </c>
      <c r="J171" s="367"/>
      <c r="K171" s="362"/>
      <c r="L171" s="356" t="str">
        <f>Products!B949</f>
        <v>завіса Prestige (1 шт)</v>
      </c>
      <c r="M171" s="363">
        <f>Products!E949</f>
        <v>260</v>
      </c>
    </row>
    <row r="172" spans="1:13">
      <c r="A172" s="31"/>
      <c r="B172" s="16" t="str">
        <f>Products!B936</f>
        <v>7.2.</v>
      </c>
      <c r="C172" s="172"/>
      <c r="D172" s="200">
        <f>Products!E936</f>
        <v>6650</v>
      </c>
      <c r="E172" s="193">
        <f>Products!G936</f>
        <v>7380</v>
      </c>
      <c r="F172" s="193">
        <f>Products!I936</f>
        <v>7780</v>
      </c>
      <c r="G172" s="193">
        <f>Products!K936</f>
        <v>8550</v>
      </c>
      <c r="H172" s="193">
        <f>Products!M936</f>
        <v>8960</v>
      </c>
      <c r="J172" s="367"/>
      <c r="K172" s="362"/>
      <c r="L172" s="356" t="str">
        <f>Products!B950</f>
        <v>накладка на завіси (1 к-т)</v>
      </c>
      <c r="M172" s="363">
        <f>Products!E950</f>
        <v>80</v>
      </c>
    </row>
    <row r="173" spans="1:13">
      <c r="A173" s="31"/>
      <c r="B173" s="23" t="str">
        <f>Products!B937</f>
        <v>8.1.</v>
      </c>
      <c r="C173" s="173"/>
      <c r="D173" s="201">
        <f>Products!E937</f>
        <v>6650</v>
      </c>
      <c r="E173" s="195">
        <f>Products!G937</f>
        <v>7380</v>
      </c>
      <c r="F173" s="195">
        <f>Products!I937</f>
        <v>7800</v>
      </c>
      <c r="G173" s="195">
        <f>Products!K937</f>
        <v>8550</v>
      </c>
      <c r="H173" s="195">
        <f>Products!M937</f>
        <v>8960</v>
      </c>
      <c r="J173" s="367"/>
      <c r="K173" s="367"/>
      <c r="L173" s="356" t="str">
        <f>Products!B951</f>
        <v>дверна ручка</v>
      </c>
      <c r="M173" s="382" t="str">
        <f>Products!E951</f>
        <v>див. Таблицю Ручки</v>
      </c>
    </row>
    <row r="174" spans="1:13" ht="13.5">
      <c r="B174" s="233"/>
      <c r="C174" s="34"/>
      <c r="D174" s="34"/>
      <c r="E174" s="34"/>
      <c r="F174" s="31"/>
      <c r="J174" s="367"/>
      <c r="K174" s="367"/>
      <c r="L174" s="367"/>
      <c r="M174" s="367"/>
    </row>
    <row r="175" spans="1:13">
      <c r="B175" s="475" t="str">
        <f>Products!B1002</f>
        <v>Полотна збірні: МІРА</v>
      </c>
      <c r="C175" s="476"/>
      <c r="D175" s="476"/>
      <c r="E175" s="476"/>
      <c r="F175" s="178"/>
      <c r="G175" s="178"/>
      <c r="H175" s="178"/>
      <c r="I175" s="178"/>
      <c r="J175" s="357"/>
      <c r="K175" s="357"/>
      <c r="L175" s="370"/>
      <c r="M175" s="371"/>
    </row>
    <row r="176" spans="1:13" ht="26.25" customHeight="1">
      <c r="B176" s="483" t="str">
        <f>Products!B1004</f>
        <v>модель</v>
      </c>
      <c r="C176" s="164" t="str">
        <f>Products!C1004</f>
        <v>покриття:</v>
      </c>
      <c r="D176" s="133" t="str">
        <f>Products!D1004</f>
        <v>Verto-CELL</v>
      </c>
      <c r="E176" s="175" t="str">
        <f>Products!F1004</f>
        <v>UNI-MAT</v>
      </c>
      <c r="F176" s="134" t="str">
        <f>Products!H1004</f>
        <v>RESIST</v>
      </c>
      <c r="G176" s="134" t="str">
        <f>Products!J1004</f>
        <v>Verto LINE-3D</v>
      </c>
      <c r="H176" s="134" t="str">
        <f>Products!L1004</f>
        <v>ЕКО Шпон</v>
      </c>
      <c r="I176" s="224"/>
      <c r="J176" s="224"/>
      <c r="K176" s="372"/>
      <c r="L176" s="355" t="str">
        <f>Products!B1012</f>
        <v>полотно розміром 100</v>
      </c>
      <c r="M176" s="373">
        <f>Products!E1012</f>
        <v>720</v>
      </c>
    </row>
    <row r="177" spans="2:13" ht="24.75" customHeight="1">
      <c r="B177" s="472"/>
      <c r="C177" s="165" t="str">
        <f>Products!C1005</f>
        <v>заповнення:</v>
      </c>
      <c r="D177" s="143" t="str">
        <f>Products!D1005</f>
        <v>клеєний сосновий брус</v>
      </c>
      <c r="E177" s="176" t="str">
        <f>Products!F1005</f>
        <v>клеєний сосновий брус</v>
      </c>
      <c r="F177" s="144" t="str">
        <f>Products!H1005</f>
        <v>клеєний сосновий брус</v>
      </c>
      <c r="G177" s="144" t="str">
        <f>Products!J1005</f>
        <v>клеєний сосновий брус</v>
      </c>
      <c r="H177" s="144" t="str">
        <f>Products!L1005</f>
        <v>клеєний сосновий брус</v>
      </c>
      <c r="I177" s="224"/>
      <c r="J177" s="224"/>
      <c r="K177" s="362"/>
      <c r="L177" s="356" t="str">
        <f>Products!B1013</f>
        <v>вентиляційний підріз</v>
      </c>
      <c r="M177" s="363">
        <f>Products!E1013</f>
        <v>170.00000000000003</v>
      </c>
    </row>
    <row r="178" spans="2:13">
      <c r="B178" s="473"/>
      <c r="C178" s="166" t="str">
        <f>Products!C1006</f>
        <v>скління:</v>
      </c>
      <c r="D178" s="141" t="str">
        <f>Products!D1006</f>
        <v>Сатин</v>
      </c>
      <c r="E178" s="169" t="str">
        <f>Products!F1006</f>
        <v>Сатин</v>
      </c>
      <c r="F178" s="130" t="str">
        <f>Products!H1006</f>
        <v>Сатин</v>
      </c>
      <c r="G178" s="130" t="str">
        <f>Products!J1006</f>
        <v>Сатин</v>
      </c>
      <c r="H178" s="130" t="str">
        <f>Products!L1006</f>
        <v>Сатин</v>
      </c>
      <c r="I178" s="224"/>
      <c r="J178" s="224"/>
      <c r="K178" s="362"/>
      <c r="L178" s="356" t="str">
        <f>Products!B1014</f>
        <v>скло Графіт / Бронза</v>
      </c>
      <c r="M178" s="363">
        <f>Products!E1014</f>
        <v>550</v>
      </c>
    </row>
    <row r="179" spans="2:13">
      <c r="B179" s="13" t="str">
        <f>Products!B1007</f>
        <v>1.0 - 1.6</v>
      </c>
      <c r="C179" s="171"/>
      <c r="D179" s="192">
        <f>Products!E1007</f>
        <v>6950</v>
      </c>
      <c r="E179" s="192">
        <f>Products!G1007</f>
        <v>7920</v>
      </c>
      <c r="F179" s="192">
        <f>Products!I1007</f>
        <v>8270</v>
      </c>
      <c r="G179" s="192">
        <f>Products!K1007</f>
        <v>8880</v>
      </c>
      <c r="H179" s="192">
        <f>Products!M1007</f>
        <v>9310</v>
      </c>
      <c r="I179" s="31"/>
      <c r="J179" s="377"/>
      <c r="K179" s="362"/>
      <c r="L179" s="356" t="str">
        <f>Products!B1015</f>
        <v>замок Soft</v>
      </c>
      <c r="M179" s="363">
        <f>Products!E1015</f>
        <v>550</v>
      </c>
    </row>
    <row r="180" spans="2:13">
      <c r="B180" s="292" t="str">
        <f>Products!B1008</f>
        <v>2.1 - 2.3</v>
      </c>
      <c r="C180" s="293"/>
      <c r="D180" s="294">
        <f>Products!E1008</f>
        <v>6950</v>
      </c>
      <c r="E180" s="294">
        <f>Products!G1008</f>
        <v>7920</v>
      </c>
      <c r="F180" s="294">
        <f>Products!I1008</f>
        <v>8270</v>
      </c>
      <c r="G180" s="294">
        <f>Products!K1008</f>
        <v>8880</v>
      </c>
      <c r="H180" s="294">
        <f>Products!M1008</f>
        <v>9310</v>
      </c>
      <c r="I180" s="31"/>
      <c r="J180" s="377"/>
      <c r="K180" s="362"/>
      <c r="L180" s="356" t="str">
        <f>Products!B1016</f>
        <v>замок Magnet</v>
      </c>
      <c r="M180" s="363">
        <f>Products!E1016</f>
        <v>800.00000000000011</v>
      </c>
    </row>
    <row r="181" spans="2:13">
      <c r="F181" s="101"/>
      <c r="G181" s="101"/>
      <c r="H181" s="31"/>
      <c r="I181" s="31"/>
      <c r="J181" s="377"/>
      <c r="K181" s="362"/>
      <c r="L181" s="356" t="str">
        <f>Products!B1017</f>
        <v>ручка-замок (для дверей купе)</v>
      </c>
      <c r="M181" s="363">
        <f>Products!E1017</f>
        <v>560</v>
      </c>
    </row>
    <row r="182" spans="2:13">
      <c r="F182" s="101"/>
      <c r="G182" s="101"/>
      <c r="H182" s="31"/>
      <c r="I182" s="31"/>
      <c r="J182" s="377"/>
      <c r="K182" s="362"/>
      <c r="L182" s="356" t="str">
        <f>Products!B1018</f>
        <v>циліндр несиметричний</v>
      </c>
      <c r="M182" s="363">
        <f>Products!E1018</f>
        <v>380</v>
      </c>
    </row>
    <row r="183" spans="2:13">
      <c r="C183" s="34"/>
      <c r="D183" s="34"/>
      <c r="E183" s="34"/>
      <c r="H183" s="31"/>
      <c r="I183" s="31"/>
      <c r="J183" s="377"/>
      <c r="K183" s="362"/>
      <c r="L183" s="356" t="str">
        <f>Products!B1019</f>
        <v>завіса Prestige (1 шт)</v>
      </c>
      <c r="M183" s="363">
        <f>Products!E1019</f>
        <v>260</v>
      </c>
    </row>
    <row r="184" spans="2:13">
      <c r="C184" s="34"/>
      <c r="D184" s="34"/>
      <c r="E184" s="34"/>
      <c r="H184" s="31"/>
      <c r="I184" s="31"/>
      <c r="J184" s="377"/>
      <c r="K184" s="362"/>
      <c r="L184" s="356" t="str">
        <f>Products!B1020</f>
        <v>накладка на завіси (1 к-т)</v>
      </c>
      <c r="M184" s="363">
        <f>Products!E1020</f>
        <v>80</v>
      </c>
    </row>
    <row r="185" spans="2:13">
      <c r="F185" s="101"/>
      <c r="G185" s="101"/>
      <c r="H185" s="31"/>
      <c r="I185" s="31"/>
      <c r="J185" s="377"/>
      <c r="K185" s="362"/>
      <c r="L185" s="356" t="str">
        <f>Products!B1021</f>
        <v>дверна ручка</v>
      </c>
      <c r="M185" s="382" t="str">
        <f>Products!E1021</f>
        <v>див. Таблицю Ручки</v>
      </c>
    </row>
    <row r="186" spans="2:13" ht="13.5">
      <c r="B186" s="233"/>
      <c r="C186" s="34"/>
      <c r="D186" s="34"/>
      <c r="E186" s="34"/>
      <c r="F186" s="31"/>
      <c r="J186" s="367"/>
      <c r="K186" s="367"/>
      <c r="L186" s="367"/>
      <c r="M186" s="367"/>
    </row>
    <row r="187" spans="2:13">
      <c r="B187" s="475" t="str">
        <f>TITLE!$C$22</f>
        <v>Полотна збірні: ЛАДА-ЛОФТ</v>
      </c>
      <c r="C187" s="476"/>
      <c r="D187" s="476"/>
      <c r="E187" s="476"/>
      <c r="F187" s="178"/>
      <c r="G187" s="178"/>
      <c r="H187" s="178"/>
      <c r="I187" s="178"/>
      <c r="J187" s="357"/>
      <c r="K187" s="357"/>
      <c r="L187" s="370"/>
      <c r="M187" s="371"/>
    </row>
    <row r="188" spans="2:13" ht="25.5" customHeight="1">
      <c r="B188" s="483" t="str">
        <f>Products!B1074</f>
        <v>модель</v>
      </c>
      <c r="C188" s="164" t="str">
        <f>Products!C1074</f>
        <v>покриття:</v>
      </c>
      <c r="D188" s="133" t="str">
        <f>Products!D1074</f>
        <v>Verto-CELL</v>
      </c>
      <c r="E188" s="175" t="str">
        <f>Products!F1074</f>
        <v>UNI-MAT</v>
      </c>
      <c r="F188" s="134" t="str">
        <f>Products!H1074</f>
        <v>RESIST</v>
      </c>
      <c r="G188" s="134" t="str">
        <f>Products!J1074</f>
        <v>Verto LINE-3D</v>
      </c>
      <c r="H188" s="134" t="str">
        <f>Products!L1074</f>
        <v>ЕКО Шпон</v>
      </c>
      <c r="I188" s="224"/>
      <c r="J188" s="224"/>
      <c r="K188" s="372"/>
      <c r="L188" s="355" t="str">
        <f>Products!B1085</f>
        <v>полотно розміром 100</v>
      </c>
      <c r="M188" s="373">
        <f>Products!E1085</f>
        <v>720</v>
      </c>
    </row>
    <row r="189" spans="2:13" ht="24.75" customHeight="1">
      <c r="B189" s="472"/>
      <c r="C189" s="165" t="str">
        <f>Products!C1075</f>
        <v>заповнення:</v>
      </c>
      <c r="D189" s="143" t="str">
        <f>Products!D1075</f>
        <v>клеєний сосновий брус</v>
      </c>
      <c r="E189" s="176" t="str">
        <f>Products!F1075</f>
        <v>клеєний сосновий брус</v>
      </c>
      <c r="F189" s="144" t="str">
        <f>Products!H1075</f>
        <v>клеєний сосновий брус</v>
      </c>
      <c r="G189" s="144" t="str">
        <f>Products!J1075</f>
        <v>клеєний сосновий брус</v>
      </c>
      <c r="H189" s="144" t="str">
        <f>Products!L1075</f>
        <v>клеєний сосновий брус</v>
      </c>
      <c r="I189" s="224"/>
      <c r="J189" s="224"/>
      <c r="K189" s="362"/>
      <c r="L189" s="356" t="str">
        <f>Products!B1086</f>
        <v>вентиляційні віддушини (1ряд)</v>
      </c>
      <c r="M189" s="363">
        <f>Products!E1086</f>
        <v>250</v>
      </c>
    </row>
    <row r="190" spans="2:13">
      <c r="B190" s="473"/>
      <c r="C190" s="166" t="str">
        <f>Products!C1076</f>
        <v>скління:</v>
      </c>
      <c r="D190" s="141" t="str">
        <f>Products!D1076</f>
        <v>Сатин</v>
      </c>
      <c r="E190" s="169" t="str">
        <f>Products!F1076</f>
        <v>Сатин</v>
      </c>
      <c r="F190" s="130" t="str">
        <f>Products!H1076</f>
        <v>Сатин</v>
      </c>
      <c r="G190" s="130" t="str">
        <f>Products!J1076</f>
        <v>Сатин</v>
      </c>
      <c r="H190" s="130" t="str">
        <f>Products!L1076</f>
        <v>Сатин</v>
      </c>
      <c r="I190" s="224"/>
      <c r="J190" s="224"/>
      <c r="K190" s="362"/>
      <c r="L190" s="356" t="str">
        <f>Products!B1087</f>
        <v>вентиляційний підріз</v>
      </c>
      <c r="M190" s="363">
        <f>Products!E1087</f>
        <v>170.00000000000003</v>
      </c>
    </row>
    <row r="191" spans="2:13">
      <c r="B191" s="13" t="str">
        <f>Products!B1077</f>
        <v>1.0 - 1.1</v>
      </c>
      <c r="C191" s="171"/>
      <c r="D191" s="199">
        <f>Products!E1077</f>
        <v>6640.0000000000009</v>
      </c>
      <c r="E191" s="191">
        <f>Products!G1077</f>
        <v>7570</v>
      </c>
      <c r="F191" s="191">
        <f>Products!I1077</f>
        <v>7790</v>
      </c>
      <c r="G191" s="191">
        <f>Products!K1077</f>
        <v>8390</v>
      </c>
      <c r="H191" s="191">
        <f>Products!M1077</f>
        <v>8780</v>
      </c>
      <c r="J191" s="367"/>
      <c r="K191" s="362"/>
      <c r="L191" s="356" t="str">
        <f>Products!B1088</f>
        <v>скло Графіт / Бронза</v>
      </c>
      <c r="M191" s="363">
        <f>Products!E1088</f>
        <v>550</v>
      </c>
    </row>
    <row r="192" spans="2:13">
      <c r="B192" s="118" t="str">
        <f>Products!B1078</f>
        <v>3.0 - 3.1</v>
      </c>
      <c r="C192" s="181"/>
      <c r="D192" s="303">
        <f>Products!E1078</f>
        <v>6950</v>
      </c>
      <c r="E192" s="304">
        <f>Products!G1078</f>
        <v>7930</v>
      </c>
      <c r="F192" s="304">
        <f>Products!I1078</f>
        <v>8150</v>
      </c>
      <c r="G192" s="304">
        <f>Products!K1078</f>
        <v>8750</v>
      </c>
      <c r="H192" s="304">
        <f>Products!M1078</f>
        <v>9130</v>
      </c>
      <c r="J192" s="367"/>
      <c r="K192" s="362"/>
      <c r="L192" s="356" t="str">
        <f>Products!B1090</f>
        <v>замок Magnet</v>
      </c>
      <c r="M192" s="363">
        <f>Products!E1090</f>
        <v>800.00000000000011</v>
      </c>
    </row>
    <row r="193" spans="2:13">
      <c r="B193" s="118" t="str">
        <f>Products!B1079</f>
        <v>4.0 - 4.1</v>
      </c>
      <c r="C193" s="181"/>
      <c r="D193" s="303">
        <f>Products!E1079</f>
        <v>6640.0000000000009</v>
      </c>
      <c r="E193" s="304">
        <f>Products!G1079</f>
        <v>7570</v>
      </c>
      <c r="F193" s="304">
        <f>Products!I1079</f>
        <v>7790</v>
      </c>
      <c r="G193" s="304">
        <f>Products!K1079</f>
        <v>8390</v>
      </c>
      <c r="H193" s="304">
        <f>Products!M1079</f>
        <v>8780</v>
      </c>
      <c r="J193" s="367"/>
      <c r="K193" s="362"/>
      <c r="L193" s="356" t="str">
        <f>Products!B1091</f>
        <v>ручка-замок (для дверей купе)</v>
      </c>
      <c r="M193" s="363">
        <f>Products!E1091</f>
        <v>560</v>
      </c>
    </row>
    <row r="194" spans="2:13">
      <c r="B194" s="118" t="str">
        <f>Products!B1080</f>
        <v>5.0 - 5.1</v>
      </c>
      <c r="C194" s="181"/>
      <c r="D194" s="303">
        <f>Products!E1080</f>
        <v>6660</v>
      </c>
      <c r="E194" s="304">
        <f>Products!G1080</f>
        <v>7590</v>
      </c>
      <c r="F194" s="304">
        <f>Products!I1080</f>
        <v>7890</v>
      </c>
      <c r="G194" s="304">
        <f>Products!K1080</f>
        <v>8460</v>
      </c>
      <c r="H194" s="304">
        <f>Products!M1080</f>
        <v>8850</v>
      </c>
      <c r="J194" s="367"/>
      <c r="K194" s="362"/>
      <c r="L194" s="356" t="str">
        <f>Products!B1092</f>
        <v>циліндр несиметричний</v>
      </c>
      <c r="M194" s="363">
        <f>Products!E1092</f>
        <v>380</v>
      </c>
    </row>
    <row r="195" spans="2:13">
      <c r="B195" s="23" t="str">
        <f>Products!B1081</f>
        <v>6.0 - 6.1</v>
      </c>
      <c r="C195" s="173"/>
      <c r="D195" s="201">
        <f>Products!E1081</f>
        <v>6780</v>
      </c>
      <c r="E195" s="195">
        <f>Products!G1081</f>
        <v>7720</v>
      </c>
      <c r="F195" s="195">
        <f>Products!I1081</f>
        <v>7920</v>
      </c>
      <c r="G195" s="195">
        <f>Products!K1081</f>
        <v>8540</v>
      </c>
      <c r="H195" s="195">
        <f>Products!M1081</f>
        <v>8930</v>
      </c>
      <c r="J195" s="367"/>
      <c r="K195" s="362"/>
      <c r="L195" s="356" t="str">
        <f>Products!B1093</f>
        <v>завіса Prestige (1 шт)</v>
      </c>
      <c r="M195" s="363">
        <f>Products!E1093</f>
        <v>260</v>
      </c>
    </row>
    <row r="196" spans="2:13">
      <c r="C196" s="34"/>
      <c r="D196" s="34"/>
      <c r="E196" s="34"/>
      <c r="F196" s="31"/>
      <c r="G196" s="31"/>
      <c r="J196" s="367"/>
      <c r="K196" s="362"/>
      <c r="L196" s="356" t="str">
        <f>Products!B1094</f>
        <v>накладка на завіси (1 к-т)</v>
      </c>
      <c r="M196" s="363">
        <f>Products!E1094</f>
        <v>80</v>
      </c>
    </row>
    <row r="197" spans="2:13">
      <c r="C197" s="34"/>
      <c r="D197" s="34"/>
      <c r="E197" s="34"/>
      <c r="F197" s="31"/>
      <c r="G197" s="31"/>
      <c r="J197" s="367"/>
      <c r="K197" s="362"/>
      <c r="L197" s="356" t="str">
        <f>Products!B1095</f>
        <v>дверна ручка</v>
      </c>
      <c r="M197" s="382" t="str">
        <f>Products!E1095</f>
        <v>див. Таблицю Ручки</v>
      </c>
    </row>
    <row r="198" spans="2:13" ht="13.5">
      <c r="B198" s="233"/>
      <c r="C198" s="34"/>
      <c r="D198" s="34"/>
      <c r="E198" s="34"/>
      <c r="F198" s="31"/>
      <c r="J198" s="367"/>
      <c r="K198" s="367"/>
      <c r="L198" s="367"/>
      <c r="M198" s="367"/>
    </row>
    <row r="199" spans="2:13">
      <c r="B199" s="475" t="str">
        <f>Products!B1146</f>
        <v>Полотна збірні: ЛІНДА</v>
      </c>
      <c r="C199" s="476"/>
      <c r="D199" s="476"/>
      <c r="E199" s="476"/>
      <c r="F199" s="178"/>
      <c r="G199" s="178"/>
      <c r="H199" s="178"/>
      <c r="I199" s="178"/>
      <c r="J199" s="357"/>
      <c r="K199" s="357"/>
      <c r="L199" s="370"/>
      <c r="M199" s="371"/>
    </row>
    <row r="200" spans="2:13" ht="26.25" customHeight="1">
      <c r="B200" s="483" t="str">
        <f>Products!B1148</f>
        <v>модель</v>
      </c>
      <c r="C200" s="164" t="str">
        <f>Products!C1148</f>
        <v>покриття:</v>
      </c>
      <c r="D200" s="133" t="str">
        <f>Products!D1148</f>
        <v>Verto-CELL</v>
      </c>
      <c r="E200" s="175" t="str">
        <f>Products!F1148</f>
        <v>UNI-MAT</v>
      </c>
      <c r="F200" s="134" t="str">
        <f>Products!H1148</f>
        <v>RESIST</v>
      </c>
      <c r="G200" s="134" t="str">
        <f>Products!J1148</f>
        <v>Verto LINE-3D</v>
      </c>
      <c r="H200" s="134" t="str">
        <f>Products!L1148</f>
        <v>ЕКО Шпон</v>
      </c>
      <c r="I200" s="224"/>
      <c r="J200" s="224"/>
      <c r="K200" s="372"/>
      <c r="L200" s="355" t="str">
        <f>Products!B1156</f>
        <v>полотно розміром 100</v>
      </c>
      <c r="M200" s="373">
        <f>Products!E1156</f>
        <v>720</v>
      </c>
    </row>
    <row r="201" spans="2:13" ht="24.75" customHeight="1">
      <c r="B201" s="472"/>
      <c r="C201" s="165" t="str">
        <f>Products!C1149</f>
        <v>заповнення:</v>
      </c>
      <c r="D201" s="143" t="str">
        <f>Products!D1149</f>
        <v>клеєний сосновий брус</v>
      </c>
      <c r="E201" s="176" t="str">
        <f>Products!F1149</f>
        <v>клеєний сосновий брус</v>
      </c>
      <c r="F201" s="144" t="str">
        <f>Products!H1149</f>
        <v>клеєний сосновий брус</v>
      </c>
      <c r="G201" s="144" t="str">
        <f>Products!J1149</f>
        <v>клеєний сосновий брус</v>
      </c>
      <c r="H201" s="144" t="str">
        <f>Products!L1149</f>
        <v>клеєний сосновий брус</v>
      </c>
      <c r="I201" s="224"/>
      <c r="J201" s="224"/>
      <c r="K201" s="362"/>
      <c r="L201" s="356" t="str">
        <f>Products!B1157</f>
        <v>вентиляційний підріз</v>
      </c>
      <c r="M201" s="363">
        <f>Products!E1157</f>
        <v>170.00000000000003</v>
      </c>
    </row>
    <row r="202" spans="2:13">
      <c r="B202" s="473"/>
      <c r="C202" s="166" t="str">
        <f>Products!C1150</f>
        <v>скління:</v>
      </c>
      <c r="D202" s="141" t="str">
        <f>Products!D1150</f>
        <v>Сатин</v>
      </c>
      <c r="E202" s="169" t="str">
        <f>Products!F1150</f>
        <v>Сатин</v>
      </c>
      <c r="F202" s="130" t="str">
        <f>Products!H1150</f>
        <v>Сатин</v>
      </c>
      <c r="G202" s="130" t="str">
        <f>Products!J1150</f>
        <v>Сатин</v>
      </c>
      <c r="H202" s="130" t="str">
        <f>Products!L1150</f>
        <v>Сатин</v>
      </c>
      <c r="I202" s="224"/>
      <c r="J202" s="224"/>
      <c r="K202" s="362"/>
      <c r="L202" s="356" t="str">
        <f>Products!B1158</f>
        <v>скло Графіт / Бронза</v>
      </c>
      <c r="M202" s="363">
        <f>Products!E1158</f>
        <v>550</v>
      </c>
    </row>
    <row r="203" spans="2:13">
      <c r="B203" s="13" t="str">
        <f>Products!B1151</f>
        <v>1.0 - 1.5</v>
      </c>
      <c r="C203" s="171"/>
      <c r="D203" s="192">
        <f>Products!E1151</f>
        <v>6160.0000000000009</v>
      </c>
      <c r="E203" s="192">
        <f>Products!G1151</f>
        <v>7020</v>
      </c>
      <c r="F203" s="192">
        <f>Products!I1151</f>
        <v>7320</v>
      </c>
      <c r="G203" s="192">
        <f>Products!K1151</f>
        <v>7870</v>
      </c>
      <c r="H203" s="192">
        <f>Products!M1151</f>
        <v>8280</v>
      </c>
      <c r="I203" s="31"/>
      <c r="J203" s="377"/>
      <c r="K203" s="362"/>
      <c r="L203" s="356" t="str">
        <f>Products!B1159</f>
        <v>замок Soft</v>
      </c>
      <c r="M203" s="363">
        <f>Products!E1159</f>
        <v>550</v>
      </c>
    </row>
    <row r="204" spans="2:13">
      <c r="B204" s="292" t="str">
        <f>Products!B1152</f>
        <v>1.6 - 1.8</v>
      </c>
      <c r="C204" s="293"/>
      <c r="D204" s="294">
        <f>Products!E1152</f>
        <v>6160.0000000000009</v>
      </c>
      <c r="E204" s="294">
        <f>Products!G1152</f>
        <v>7020</v>
      </c>
      <c r="F204" s="294">
        <f>Products!I1152</f>
        <v>7320</v>
      </c>
      <c r="G204" s="294">
        <f>Products!K1152</f>
        <v>7870</v>
      </c>
      <c r="H204" s="294">
        <f>Products!M1152</f>
        <v>8280</v>
      </c>
      <c r="I204" s="31"/>
      <c r="J204" s="377"/>
      <c r="K204" s="362"/>
      <c r="L204" s="356" t="str">
        <f>Products!B1160</f>
        <v>замок Magnet</v>
      </c>
      <c r="M204" s="363">
        <f>Products!E1160</f>
        <v>800.00000000000011</v>
      </c>
    </row>
    <row r="205" spans="2:13">
      <c r="F205" s="101"/>
      <c r="G205" s="101"/>
      <c r="H205" s="31"/>
      <c r="I205" s="31"/>
      <c r="J205" s="377"/>
      <c r="K205" s="362"/>
      <c r="L205" s="356" t="str">
        <f>Products!B1161</f>
        <v>ручка-замок (для дверей купе)</v>
      </c>
      <c r="M205" s="363">
        <f>Products!E1161</f>
        <v>560</v>
      </c>
    </row>
    <row r="206" spans="2:13">
      <c r="F206" s="101"/>
      <c r="G206" s="101"/>
      <c r="H206" s="31"/>
      <c r="I206" s="31"/>
      <c r="J206" s="377"/>
      <c r="K206" s="362"/>
      <c r="L206" s="356" t="str">
        <f>Products!B1162</f>
        <v>циліндр несиметричний</v>
      </c>
      <c r="M206" s="363">
        <f>Products!E1162</f>
        <v>380</v>
      </c>
    </row>
    <row r="207" spans="2:13">
      <c r="C207" s="34"/>
      <c r="D207" s="34"/>
      <c r="E207" s="34"/>
      <c r="H207" s="31"/>
      <c r="I207" s="31"/>
      <c r="J207" s="377"/>
      <c r="K207" s="362"/>
      <c r="L207" s="356" t="str">
        <f>Products!B1163</f>
        <v>завіса Prestige (1 шт)</v>
      </c>
      <c r="M207" s="363">
        <f>Products!E1163</f>
        <v>260</v>
      </c>
    </row>
    <row r="208" spans="2:13">
      <c r="C208" s="34"/>
      <c r="D208" s="34"/>
      <c r="E208" s="34"/>
      <c r="H208" s="31"/>
      <c r="I208" s="31"/>
      <c r="J208" s="377"/>
      <c r="K208" s="362"/>
      <c r="L208" s="356" t="str">
        <f>Products!B1164</f>
        <v>накладка на завіси (1 к-т)</v>
      </c>
      <c r="M208" s="363">
        <f>Products!E1164</f>
        <v>80</v>
      </c>
    </row>
    <row r="209" spans="2:13">
      <c r="F209" s="101"/>
      <c r="G209" s="101"/>
      <c r="H209" s="31"/>
      <c r="I209" s="31"/>
      <c r="J209" s="377"/>
      <c r="K209" s="362"/>
      <c r="L209" s="356" t="str">
        <f>Products!B1165</f>
        <v>дверна ручка</v>
      </c>
      <c r="M209" s="382" t="str">
        <f>Products!E1165</f>
        <v>див. Таблицю Ручки</v>
      </c>
    </row>
    <row r="210" spans="2:13" ht="13.5">
      <c r="B210" s="233"/>
      <c r="C210" s="34"/>
      <c r="D210" s="34"/>
      <c r="E210" s="34"/>
      <c r="F210" s="31"/>
      <c r="J210" s="367"/>
      <c r="K210" s="367"/>
      <c r="L210" s="367"/>
      <c r="M210" s="367"/>
    </row>
    <row r="211" spans="2:13">
      <c r="B211" s="475" t="str">
        <f>Products!B1216</f>
        <v>Полотна збірні: ТІАНА</v>
      </c>
      <c r="C211" s="476"/>
      <c r="D211" s="476"/>
      <c r="E211" s="476"/>
      <c r="F211" s="178"/>
      <c r="G211" s="178"/>
      <c r="H211" s="178"/>
      <c r="I211" s="178"/>
      <c r="J211" s="357"/>
      <c r="K211" s="357"/>
      <c r="L211" s="370"/>
      <c r="M211" s="371"/>
    </row>
    <row r="212" spans="2:13" ht="27" customHeight="1">
      <c r="B212" s="483" t="str">
        <f>Products!B1218</f>
        <v>модель</v>
      </c>
      <c r="C212" s="164" t="str">
        <f>Products!C1218</f>
        <v>покриття:</v>
      </c>
      <c r="D212" s="133" t="str">
        <f>Products!D1218</f>
        <v>Verto-CELL</v>
      </c>
      <c r="E212" s="175" t="str">
        <f>Products!F1218</f>
        <v>UNI-MAT</v>
      </c>
      <c r="F212" s="134" t="str">
        <f>Products!H1218</f>
        <v>RESIST</v>
      </c>
      <c r="G212" s="134" t="str">
        <f>Products!J1218</f>
        <v>Verto LINE-3D</v>
      </c>
      <c r="H212" s="134" t="str">
        <f>Products!L1218</f>
        <v>ЕКО Шпон</v>
      </c>
      <c r="I212" s="224"/>
      <c r="J212" s="224"/>
      <c r="K212" s="372"/>
      <c r="L212" s="355" t="str">
        <f>Products!B1226</f>
        <v>полотно розміром 100</v>
      </c>
      <c r="M212" s="373">
        <f>Products!E1226</f>
        <v>720</v>
      </c>
    </row>
    <row r="213" spans="2:13" ht="26.25" customHeight="1">
      <c r="B213" s="472"/>
      <c r="C213" s="165" t="str">
        <f>Products!C1219</f>
        <v>заповнення:</v>
      </c>
      <c r="D213" s="143" t="str">
        <f>Products!D1219</f>
        <v>клеєний сосновий брус</v>
      </c>
      <c r="E213" s="176" t="str">
        <f>Products!F1219</f>
        <v>клеєний сосновий брус</v>
      </c>
      <c r="F213" s="144" t="str">
        <f>Products!H1219</f>
        <v>клеєний сосновий брус</v>
      </c>
      <c r="G213" s="144" t="str">
        <f>Products!J1219</f>
        <v>клеєний сосновий брус</v>
      </c>
      <c r="H213" s="144" t="str">
        <f>Products!L1219</f>
        <v>клеєний сосновий брус</v>
      </c>
      <c r="I213" s="224"/>
      <c r="J213" s="224"/>
      <c r="K213" s="362"/>
      <c r="L213" s="356" t="str">
        <f>Products!B1227</f>
        <v>вентиляційний підріз</v>
      </c>
      <c r="M213" s="363">
        <f>Products!E1227</f>
        <v>170.00000000000003</v>
      </c>
    </row>
    <row r="214" spans="2:13">
      <c r="B214" s="473"/>
      <c r="C214" s="166" t="str">
        <f>Products!C1220</f>
        <v>скління:</v>
      </c>
      <c r="D214" s="141" t="str">
        <f>Products!D1220</f>
        <v>Сатин</v>
      </c>
      <c r="E214" s="169" t="str">
        <f>Products!F1220</f>
        <v>Сатин</v>
      </c>
      <c r="F214" s="130" t="str">
        <f>Products!H1220</f>
        <v>Сатин</v>
      </c>
      <c r="G214" s="130" t="str">
        <f>Products!J1220</f>
        <v>Сатин</v>
      </c>
      <c r="H214" s="130" t="str">
        <f>Products!L1220</f>
        <v>Сатин</v>
      </c>
      <c r="I214" s="224"/>
      <c r="J214" s="224"/>
      <c r="K214" s="362"/>
      <c r="L214" s="356" t="str">
        <f>Products!B1228</f>
        <v>скло Графіт / Бронза</v>
      </c>
      <c r="M214" s="363">
        <f>Products!E1228</f>
        <v>550</v>
      </c>
    </row>
    <row r="215" spans="2:13">
      <c r="B215" s="13" t="str">
        <f>Products!B1221</f>
        <v>1.0 - 1.5</v>
      </c>
      <c r="C215" s="171"/>
      <c r="D215" s="192">
        <f>Products!E1221</f>
        <v>6790.0000000000009</v>
      </c>
      <c r="E215" s="192">
        <f>Products!G1221</f>
        <v>7660</v>
      </c>
      <c r="F215" s="192">
        <f>Products!I1221</f>
        <v>7890</v>
      </c>
      <c r="G215" s="192">
        <f>Products!K1221</f>
        <v>8470</v>
      </c>
      <c r="H215" s="192">
        <f>Products!M1221</f>
        <v>8870</v>
      </c>
      <c r="I215" s="31"/>
      <c r="J215" s="377"/>
      <c r="K215" s="362"/>
      <c r="L215" s="356" t="str">
        <f>Products!B1229</f>
        <v>замок Soft</v>
      </c>
      <c r="M215" s="363">
        <f>Products!E1229</f>
        <v>550</v>
      </c>
    </row>
    <row r="216" spans="2:13">
      <c r="B216" s="292" t="str">
        <f>Products!B1222</f>
        <v>1.6 - 1.8</v>
      </c>
      <c r="C216" s="293"/>
      <c r="D216" s="294">
        <f>Products!E1222</f>
        <v>6790.0000000000009</v>
      </c>
      <c r="E216" s="294">
        <f>Products!G1222</f>
        <v>7660</v>
      </c>
      <c r="F216" s="294">
        <f>Products!I1222</f>
        <v>7890</v>
      </c>
      <c r="G216" s="294">
        <f>Products!K1222</f>
        <v>8470</v>
      </c>
      <c r="H216" s="294">
        <f>Products!M1222</f>
        <v>8870</v>
      </c>
      <c r="I216" s="31"/>
      <c r="J216" s="377"/>
      <c r="K216" s="362"/>
      <c r="L216" s="356" t="str">
        <f>Products!B1230</f>
        <v>замок Magnet</v>
      </c>
      <c r="M216" s="363">
        <f>Products!E1230</f>
        <v>800.00000000000011</v>
      </c>
    </row>
    <row r="217" spans="2:13">
      <c r="F217" s="101"/>
      <c r="G217" s="101"/>
      <c r="H217" s="31"/>
      <c r="I217" s="31"/>
      <c r="J217" s="377"/>
      <c r="K217" s="362"/>
      <c r="L217" s="356" t="str">
        <f>Products!B1231</f>
        <v>ручка-замок (для дверей купе)</v>
      </c>
      <c r="M217" s="363">
        <f>Products!E1231</f>
        <v>560</v>
      </c>
    </row>
    <row r="218" spans="2:13">
      <c r="F218" s="101"/>
      <c r="G218" s="101"/>
      <c r="H218" s="31"/>
      <c r="I218" s="31"/>
      <c r="J218" s="377"/>
      <c r="K218" s="362"/>
      <c r="L218" s="356" t="str">
        <f>Products!B1232</f>
        <v>циліндр несиметричний</v>
      </c>
      <c r="M218" s="363">
        <f>Products!E1232</f>
        <v>380</v>
      </c>
    </row>
    <row r="219" spans="2:13">
      <c r="C219" s="34"/>
      <c r="D219" s="34"/>
      <c r="E219" s="34"/>
      <c r="H219" s="31"/>
      <c r="I219" s="31"/>
      <c r="J219" s="377"/>
      <c r="K219" s="362"/>
      <c r="L219" s="356" t="str">
        <f>Products!B1233</f>
        <v>завіса Prestige (1 шт)</v>
      </c>
      <c r="M219" s="363">
        <f>Products!E1233</f>
        <v>260</v>
      </c>
    </row>
    <row r="220" spans="2:13">
      <c r="C220" s="34"/>
      <c r="D220" s="34"/>
      <c r="E220" s="34"/>
      <c r="H220" s="31"/>
      <c r="I220" s="31"/>
      <c r="J220" s="377"/>
      <c r="K220" s="362"/>
      <c r="L220" s="356" t="str">
        <f>Products!B1234</f>
        <v>накладка на завіси (1 к-т)</v>
      </c>
      <c r="M220" s="363">
        <f>Products!E1234</f>
        <v>80</v>
      </c>
    </row>
    <row r="221" spans="2:13">
      <c r="F221" s="101"/>
      <c r="G221" s="101"/>
      <c r="H221" s="31"/>
      <c r="I221" s="31"/>
      <c r="J221" s="377"/>
      <c r="K221" s="362"/>
      <c r="L221" s="356" t="str">
        <f>Products!B1235</f>
        <v>дверна ручка</v>
      </c>
      <c r="M221" s="382" t="str">
        <f>Products!E1235</f>
        <v>див. Таблицю Ручки</v>
      </c>
    </row>
    <row r="222" spans="2:13" ht="13.5">
      <c r="B222" s="233"/>
      <c r="C222" s="34"/>
      <c r="D222" s="34"/>
      <c r="E222" s="34"/>
      <c r="F222" s="31"/>
      <c r="J222" s="367"/>
      <c r="K222" s="367"/>
      <c r="L222" s="367"/>
      <c r="M222" s="367"/>
    </row>
    <row r="223" spans="2:13">
      <c r="B223" s="475" t="str">
        <f>Products!B1286</f>
        <v>Полотна збірні: ЄВА</v>
      </c>
      <c r="C223" s="476"/>
      <c r="D223" s="476"/>
      <c r="E223" s="476"/>
      <c r="F223" s="178"/>
      <c r="G223" s="178"/>
      <c r="H223" s="178"/>
      <c r="I223" s="178"/>
      <c r="J223" s="357"/>
      <c r="K223" s="357"/>
      <c r="L223" s="370"/>
      <c r="M223" s="371"/>
    </row>
    <row r="224" spans="2:13" ht="26.25" customHeight="1">
      <c r="B224" s="483" t="str">
        <f>Products!B1288</f>
        <v>модель</v>
      </c>
      <c r="C224" s="164" t="str">
        <f>Products!C1288</f>
        <v>покриття:</v>
      </c>
      <c r="D224" s="133" t="str">
        <f>Products!D1288</f>
        <v>Verto-CELL</v>
      </c>
      <c r="E224" s="175" t="str">
        <f>Products!F1288</f>
        <v>UNI-MAT</v>
      </c>
      <c r="F224" s="134" t="str">
        <f>Products!H1288</f>
        <v>RESIST</v>
      </c>
      <c r="G224" s="134" t="str">
        <f>Products!J1288</f>
        <v>Verto LINE-3D</v>
      </c>
      <c r="H224" s="134" t="str">
        <f>Products!L1288</f>
        <v>ЕКО Шпон</v>
      </c>
      <c r="I224" s="224"/>
      <c r="J224" s="224"/>
      <c r="K224" s="372"/>
      <c r="L224" s="355" t="str">
        <f>Products!B1297</f>
        <v>полотно розміром 100</v>
      </c>
      <c r="M224" s="373">
        <f>Products!E1297</f>
        <v>720</v>
      </c>
    </row>
    <row r="225" spans="2:13" ht="24.75" customHeight="1">
      <c r="B225" s="472"/>
      <c r="C225" s="165" t="str">
        <f>Products!C1289</f>
        <v>заповнення:</v>
      </c>
      <c r="D225" s="143" t="str">
        <f>Products!D1289</f>
        <v>клеєний сосновий брус</v>
      </c>
      <c r="E225" s="176" t="str">
        <f>Products!F1289</f>
        <v>клеєний сосновий брус</v>
      </c>
      <c r="F225" s="144" t="str">
        <f>Products!H1289</f>
        <v>клеєний сосновий брус</v>
      </c>
      <c r="G225" s="144" t="str">
        <f>Products!J1289</f>
        <v>клеєний сосновий брус</v>
      </c>
      <c r="H225" s="144" t="str">
        <f>Products!L1289</f>
        <v>клеєний сосновий брус</v>
      </c>
      <c r="I225" s="224"/>
      <c r="J225" s="224"/>
      <c r="K225" s="362"/>
      <c r="L225" s="356" t="str">
        <f>Products!B1298</f>
        <v>вентиляційний підріз</v>
      </c>
      <c r="M225" s="363">
        <f>Products!E1298</f>
        <v>170.00000000000003</v>
      </c>
    </row>
    <row r="226" spans="2:13">
      <c r="B226" s="473"/>
      <c r="C226" s="166" t="str">
        <f>Products!C1290</f>
        <v>скління:</v>
      </c>
      <c r="D226" s="141" t="str">
        <f>Products!D1290</f>
        <v>Сатин</v>
      </c>
      <c r="E226" s="169" t="str">
        <f>Products!F1290</f>
        <v>Сатин</v>
      </c>
      <c r="F226" s="130" t="str">
        <f>Products!H1290</f>
        <v>Сатин</v>
      </c>
      <c r="G226" s="130" t="str">
        <f>Products!J1290</f>
        <v>Сатин</v>
      </c>
      <c r="H226" s="130" t="str">
        <f>Products!L1290</f>
        <v>Сатин</v>
      </c>
      <c r="I226" s="224"/>
      <c r="J226" s="224"/>
      <c r="K226" s="362"/>
      <c r="L226" s="356" t="str">
        <f>Products!B1299</f>
        <v>скло Графіт / Бронза</v>
      </c>
      <c r="M226" s="363">
        <f>Products!E1299</f>
        <v>550</v>
      </c>
    </row>
    <row r="227" spans="2:13">
      <c r="B227" s="13" t="str">
        <f>Products!B1291</f>
        <v>2.0 - 2.2</v>
      </c>
      <c r="C227" s="171"/>
      <c r="D227" s="199">
        <f>Products!E1291</f>
        <v>5880</v>
      </c>
      <c r="E227" s="191">
        <f>Products!G1291</f>
        <v>6700.0000000000009</v>
      </c>
      <c r="F227" s="191">
        <f>Products!I1291</f>
        <v>7010</v>
      </c>
      <c r="G227" s="191">
        <f>Products!K1291</f>
        <v>7680</v>
      </c>
      <c r="H227" s="191">
        <f>Products!M1291</f>
        <v>8050</v>
      </c>
      <c r="I227" s="31"/>
      <c r="J227" s="377"/>
      <c r="K227" s="362"/>
      <c r="L227" s="356" t="str">
        <f>Products!B1300</f>
        <v>замок Soft</v>
      </c>
      <c r="M227" s="363">
        <f>Products!E1300</f>
        <v>550</v>
      </c>
    </row>
    <row r="228" spans="2:13">
      <c r="B228" s="118" t="str">
        <f>Products!B1292</f>
        <v>4.0 - 4.4</v>
      </c>
      <c r="C228" s="181"/>
      <c r="D228" s="303">
        <f>Products!E1292</f>
        <v>5880</v>
      </c>
      <c r="E228" s="304">
        <f>Products!G1292</f>
        <v>6700.0000000000009</v>
      </c>
      <c r="F228" s="304">
        <f>Products!I1292</f>
        <v>7010</v>
      </c>
      <c r="G228" s="304">
        <f>Products!K1292</f>
        <v>7680</v>
      </c>
      <c r="H228" s="304">
        <f>Products!M1292</f>
        <v>8050</v>
      </c>
      <c r="I228" s="31"/>
      <c r="J228" s="377"/>
      <c r="K228" s="362"/>
      <c r="L228" s="356" t="str">
        <f>Products!B1301</f>
        <v>замок Magnet</v>
      </c>
      <c r="M228" s="363">
        <f>Products!E1301</f>
        <v>800.00000000000011</v>
      </c>
    </row>
    <row r="229" spans="2:13">
      <c r="B229" s="23" t="str">
        <f>Products!B1293</f>
        <v>4.5 - 4.6</v>
      </c>
      <c r="C229" s="173"/>
      <c r="D229" s="201">
        <f>Products!E1293</f>
        <v>5880</v>
      </c>
      <c r="E229" s="195">
        <f>Products!G1293</f>
        <v>6700.0000000000009</v>
      </c>
      <c r="F229" s="195">
        <f>Products!I1293</f>
        <v>7010</v>
      </c>
      <c r="G229" s="195">
        <f>Products!K1293</f>
        <v>7680</v>
      </c>
      <c r="H229" s="195">
        <f>Products!M1293</f>
        <v>8050</v>
      </c>
      <c r="I229" s="31"/>
      <c r="J229" s="377"/>
      <c r="K229" s="362"/>
      <c r="L229" s="356" t="str">
        <f>Products!B1302</f>
        <v>ручка-замок (для дверей купе)</v>
      </c>
      <c r="M229" s="363">
        <f>Products!E1302</f>
        <v>560</v>
      </c>
    </row>
    <row r="230" spans="2:13">
      <c r="F230" s="101"/>
      <c r="G230" s="101"/>
      <c r="H230" s="31"/>
      <c r="I230" s="31"/>
      <c r="J230" s="377"/>
      <c r="K230" s="362"/>
      <c r="L230" s="356" t="str">
        <f>Products!B1303</f>
        <v>циліндр несиметричний</v>
      </c>
      <c r="M230" s="363">
        <f>Products!E1303</f>
        <v>380</v>
      </c>
    </row>
    <row r="231" spans="2:13">
      <c r="C231" s="34"/>
      <c r="D231" s="34"/>
      <c r="E231" s="34"/>
      <c r="H231" s="31"/>
      <c r="I231" s="31"/>
      <c r="J231" s="377"/>
      <c r="K231" s="362"/>
      <c r="L231" s="356" t="str">
        <f>Products!B1304</f>
        <v>завіса Prestige (1 шт)</v>
      </c>
      <c r="M231" s="363">
        <f>Products!E1304</f>
        <v>260</v>
      </c>
    </row>
    <row r="232" spans="2:13">
      <c r="C232" s="34"/>
      <c r="D232" s="34"/>
      <c r="E232" s="34"/>
      <c r="H232" s="31"/>
      <c r="I232" s="31"/>
      <c r="J232" s="377"/>
      <c r="K232" s="362"/>
      <c r="L232" s="356" t="str">
        <f>Products!B1305</f>
        <v>накладка на завіси (1 к-т)</v>
      </c>
      <c r="M232" s="363">
        <f>Products!E1305</f>
        <v>80</v>
      </c>
    </row>
    <row r="233" spans="2:13">
      <c r="F233" s="101"/>
      <c r="G233" s="101"/>
      <c r="H233" s="31"/>
      <c r="I233" s="31"/>
      <c r="J233" s="377"/>
      <c r="K233" s="362"/>
      <c r="L233" s="356" t="str">
        <f>Products!B1306</f>
        <v>дверна ручка</v>
      </c>
      <c r="M233" s="382" t="str">
        <f>Products!E1306</f>
        <v>див. Таблицю Ручки</v>
      </c>
    </row>
    <row r="234" spans="2:13" ht="13.5">
      <c r="B234" s="233"/>
      <c r="C234" s="34"/>
      <c r="D234" s="34"/>
      <c r="E234" s="34"/>
      <c r="F234" s="31"/>
      <c r="J234" s="367"/>
      <c r="K234" s="367"/>
      <c r="L234" s="367"/>
      <c r="M234" s="367"/>
    </row>
    <row r="235" spans="2:13">
      <c r="B235" s="475" t="str">
        <f>Products!B1357</f>
        <v>Полотна збірні: ТРЕНД</v>
      </c>
      <c r="C235" s="476"/>
      <c r="D235" s="476"/>
      <c r="E235" s="476"/>
      <c r="F235" s="178"/>
      <c r="G235" s="178"/>
      <c r="H235" s="178"/>
      <c r="I235" s="178"/>
      <c r="J235" s="357"/>
      <c r="K235" s="357"/>
      <c r="L235" s="370"/>
      <c r="M235" s="371"/>
    </row>
    <row r="236" spans="2:13" ht="25.5" customHeight="1">
      <c r="B236" s="483" t="str">
        <f>Products!B1359</f>
        <v>модель</v>
      </c>
      <c r="C236" s="164" t="str">
        <f>Products!C1359</f>
        <v>покриття:</v>
      </c>
      <c r="D236" s="133" t="str">
        <f>Products!D1359</f>
        <v>Verto-CELL</v>
      </c>
      <c r="E236" s="175" t="str">
        <f>Products!F1359</f>
        <v>UNI-MAT</v>
      </c>
      <c r="F236" s="134" t="str">
        <f>Products!H1359</f>
        <v>RESIST</v>
      </c>
      <c r="G236" s="134" t="str">
        <f>Products!J1359</f>
        <v>Verto LINE-3D</v>
      </c>
      <c r="H236" s="134" t="str">
        <f>Products!L1359</f>
        <v>ЕКО Шпон</v>
      </c>
      <c r="I236" s="224"/>
      <c r="J236" s="224"/>
      <c r="K236" s="372"/>
      <c r="L236" s="355" t="str">
        <f>Products!B1368</f>
        <v>полотно розміром 100</v>
      </c>
      <c r="M236" s="373">
        <f>Products!E1368</f>
        <v>720</v>
      </c>
    </row>
    <row r="237" spans="2:13" ht="24" customHeight="1">
      <c r="B237" s="472"/>
      <c r="C237" s="165" t="str">
        <f>Products!C1360</f>
        <v>заповнення:</v>
      </c>
      <c r="D237" s="143" t="str">
        <f>Products!D1360</f>
        <v>клеєний сосновий брус</v>
      </c>
      <c r="E237" s="176" t="str">
        <f>Products!F1360</f>
        <v>клеєний сосновий брус</v>
      </c>
      <c r="F237" s="144" t="str">
        <f>Products!H1360</f>
        <v>клеєний сосновий брус</v>
      </c>
      <c r="G237" s="144" t="str">
        <f>Products!J1360</f>
        <v>клеєний сосновий брус</v>
      </c>
      <c r="H237" s="144" t="str">
        <f>Products!L1360</f>
        <v>клеєний сосновий брус</v>
      </c>
      <c r="I237" s="224"/>
      <c r="J237" s="224"/>
      <c r="K237" s="362"/>
      <c r="L237" s="356" t="str">
        <f>Products!B1369</f>
        <v>вентиляційні віддушини (1ряд)</v>
      </c>
      <c r="M237" s="363">
        <f>Products!E1369</f>
        <v>250</v>
      </c>
    </row>
    <row r="238" spans="2:13">
      <c r="B238" s="473"/>
      <c r="C238" s="166" t="str">
        <f>Products!C1361</f>
        <v>скління:</v>
      </c>
      <c r="D238" s="141" t="str">
        <f>Products!D1361</f>
        <v>Сатин</v>
      </c>
      <c r="E238" s="169" t="str">
        <f>Products!F1361</f>
        <v>Сатин</v>
      </c>
      <c r="F238" s="130" t="str">
        <f>Products!H1361</f>
        <v>Сатин</v>
      </c>
      <c r="G238" s="130" t="str">
        <f>Products!J1361</f>
        <v>Сатин</v>
      </c>
      <c r="H238" s="130" t="str">
        <f>Products!L1361</f>
        <v>Сатин</v>
      </c>
      <c r="I238" s="224"/>
      <c r="J238" s="224"/>
      <c r="K238" s="362"/>
      <c r="L238" s="356" t="str">
        <f>Products!B1370</f>
        <v>вентиляційний підріз</v>
      </c>
      <c r="M238" s="363">
        <f>Products!E1370</f>
        <v>170.00000000000003</v>
      </c>
    </row>
    <row r="239" spans="2:13">
      <c r="B239" s="13" t="str">
        <f>Products!B1362</f>
        <v>5.0 - 5.5</v>
      </c>
      <c r="C239" s="171"/>
      <c r="D239" s="199">
        <f>Products!E1362</f>
        <v>7530</v>
      </c>
      <c r="E239" s="191">
        <f>Products!G1362</f>
        <v>8360</v>
      </c>
      <c r="F239" s="191">
        <f>Products!I1362</f>
        <v>8640</v>
      </c>
      <c r="G239" s="191">
        <f>Products!K1362</f>
        <v>9030</v>
      </c>
      <c r="H239" s="191">
        <f>Products!M1362</f>
        <v>9450</v>
      </c>
      <c r="J239" s="367"/>
      <c r="K239" s="362"/>
      <c r="L239" s="356" t="str">
        <f>Products!B1371</f>
        <v>скло Графіт / Бронза</v>
      </c>
      <c r="M239" s="363">
        <f>Products!E1371</f>
        <v>550</v>
      </c>
    </row>
    <row r="240" spans="2:13">
      <c r="B240" s="118" t="str">
        <f>Products!B1363</f>
        <v>5А.1 - 5А.3</v>
      </c>
      <c r="C240" s="181"/>
      <c r="D240" s="303">
        <f>Products!E1363</f>
        <v>7530</v>
      </c>
      <c r="E240" s="304">
        <f>Products!G1363</f>
        <v>8360</v>
      </c>
      <c r="F240" s="304">
        <f>Products!I1363</f>
        <v>8640</v>
      </c>
      <c r="G240" s="304">
        <f>Products!K1363</f>
        <v>9030</v>
      </c>
      <c r="H240" s="304">
        <f>Products!M1363</f>
        <v>9450</v>
      </c>
      <c r="J240" s="367"/>
      <c r="K240" s="362"/>
      <c r="L240" s="356" t="str">
        <f>Products!B1372</f>
        <v>замок Soft</v>
      </c>
      <c r="M240" s="363">
        <f>Products!E1372</f>
        <v>550</v>
      </c>
    </row>
    <row r="241" spans="2:13">
      <c r="B241" s="23" t="str">
        <f>Products!B1364</f>
        <v>5Б.3</v>
      </c>
      <c r="C241" s="173"/>
      <c r="D241" s="201">
        <f>Products!E1364</f>
        <v>7530</v>
      </c>
      <c r="E241" s="195">
        <f>Products!G1364</f>
        <v>8360</v>
      </c>
      <c r="F241" s="195">
        <f>Products!I1364</f>
        <v>8640</v>
      </c>
      <c r="G241" s="195">
        <f>Products!K1364</f>
        <v>9030</v>
      </c>
      <c r="H241" s="195">
        <f>Products!M1364</f>
        <v>9450</v>
      </c>
      <c r="J241" s="367"/>
      <c r="K241" s="362"/>
      <c r="L241" s="356" t="str">
        <f>Products!B1373</f>
        <v>замок Magnet</v>
      </c>
      <c r="M241" s="363">
        <f>Products!E1373</f>
        <v>800.00000000000011</v>
      </c>
    </row>
    <row r="242" spans="2:13">
      <c r="C242" s="34"/>
      <c r="D242" s="34"/>
      <c r="E242" s="34"/>
      <c r="F242" s="31"/>
      <c r="J242" s="367"/>
      <c r="K242" s="362"/>
      <c r="L242" s="356" t="str">
        <f>Products!B1374</f>
        <v>ручка-замок (для дверей купе)</v>
      </c>
      <c r="M242" s="363">
        <f>Products!E1374</f>
        <v>560</v>
      </c>
    </row>
    <row r="243" spans="2:13">
      <c r="C243" s="34"/>
      <c r="D243" s="34"/>
      <c r="E243" s="34"/>
      <c r="F243" s="31"/>
      <c r="J243" s="367"/>
      <c r="K243" s="362"/>
      <c r="L243" s="356" t="str">
        <f>Products!B1375</f>
        <v>циліндр несиметричний</v>
      </c>
      <c r="M243" s="363">
        <f>Products!E1375</f>
        <v>380</v>
      </c>
    </row>
    <row r="244" spans="2:13">
      <c r="C244" s="34"/>
      <c r="D244" s="34"/>
      <c r="E244" s="34"/>
      <c r="F244" s="31"/>
      <c r="J244" s="367"/>
      <c r="K244" s="362"/>
      <c r="L244" s="356" t="str">
        <f>Products!B1376</f>
        <v>завіса Prestige (1 шт)</v>
      </c>
      <c r="M244" s="363">
        <f>Products!E1376</f>
        <v>260</v>
      </c>
    </row>
    <row r="245" spans="2:13">
      <c r="C245" s="34"/>
      <c r="D245" s="34"/>
      <c r="E245" s="34"/>
      <c r="F245" s="31"/>
      <c r="J245" s="367"/>
      <c r="K245" s="362"/>
      <c r="L245" s="356" t="str">
        <f>Products!B1377</f>
        <v>накладка на завіси (1 к-т)</v>
      </c>
      <c r="M245" s="363">
        <f>Products!E1377</f>
        <v>80</v>
      </c>
    </row>
    <row r="246" spans="2:13">
      <c r="C246" s="34"/>
      <c r="D246" s="34"/>
      <c r="E246" s="34"/>
      <c r="F246" s="31"/>
      <c r="J246" s="367"/>
      <c r="K246" s="362"/>
      <c r="L246" s="356" t="str">
        <f>Products!B1378</f>
        <v>дверна ручка</v>
      </c>
      <c r="M246" s="382" t="str">
        <f>Products!E1378</f>
        <v>див. Таблицю Ручки</v>
      </c>
    </row>
    <row r="247" spans="2:13" ht="13.5">
      <c r="B247" s="233"/>
      <c r="C247" s="34"/>
      <c r="D247" s="34"/>
      <c r="E247" s="34"/>
      <c r="F247" s="31"/>
      <c r="J247" s="367"/>
      <c r="K247" s="367"/>
      <c r="L247" s="367"/>
      <c r="M247" s="367"/>
    </row>
    <row r="248" spans="2:13">
      <c r="B248" s="475" t="str">
        <f>Products!B1429</f>
        <v>Полотна збірні: МОДЕРН</v>
      </c>
      <c r="C248" s="476"/>
      <c r="D248" s="476"/>
      <c r="E248" s="476"/>
      <c r="F248" s="178"/>
      <c r="G248" s="178"/>
      <c r="H248" s="178"/>
      <c r="I248" s="178"/>
      <c r="J248" s="357"/>
      <c r="K248" s="357"/>
      <c r="L248" s="370"/>
      <c r="M248" s="371"/>
    </row>
    <row r="249" spans="2:13">
      <c r="B249" s="483" t="str">
        <f>Products!B1431</f>
        <v>модель</v>
      </c>
      <c r="C249" s="164" t="str">
        <f>Products!C1431</f>
        <v>покриття:</v>
      </c>
      <c r="D249" s="133" t="str">
        <f>Products!D1431</f>
        <v>VERTO-CELL</v>
      </c>
      <c r="E249" s="175" t="str">
        <f>Products!F1431</f>
        <v>UNI-MAT</v>
      </c>
      <c r="F249" s="134" t="str">
        <f>Products!H1431</f>
        <v>RESIST</v>
      </c>
      <c r="G249" s="134" t="str">
        <f>Products!J1431</f>
        <v>Verto LINE-3D</v>
      </c>
      <c r="H249" s="134" t="str">
        <f>Products!L1431</f>
        <v>ЕКО Шпон</v>
      </c>
      <c r="I249" s="224"/>
      <c r="J249" s="224"/>
      <c r="K249" s="372"/>
      <c r="L249" s="355" t="str">
        <f>Products!B1440</f>
        <v>полотно розміром 100</v>
      </c>
      <c r="M249" s="373">
        <f>Products!E1440</f>
        <v>720</v>
      </c>
    </row>
    <row r="250" spans="2:13" ht="24" customHeight="1">
      <c r="B250" s="472"/>
      <c r="C250" s="165" t="str">
        <f>Products!C1432</f>
        <v>заповнення:</v>
      </c>
      <c r="D250" s="143" t="str">
        <f>Products!D1432</f>
        <v>клеєний сосновий брус</v>
      </c>
      <c r="E250" s="176" t="str">
        <f>Products!F1432</f>
        <v>клеєний сосновий брус</v>
      </c>
      <c r="F250" s="144" t="str">
        <f>Products!H1432</f>
        <v>клеєний сосновий брус</v>
      </c>
      <c r="G250" s="144" t="str">
        <f>Products!J1432</f>
        <v>клеєний сосновий брус</v>
      </c>
      <c r="H250" s="144" t="str">
        <f>Products!L1432</f>
        <v>клеєний сосновий брус</v>
      </c>
      <c r="I250" s="224"/>
      <c r="J250" s="224"/>
      <c r="K250" s="362"/>
      <c r="L250" s="356" t="str">
        <f>Products!B1441</f>
        <v>вентиляційні віддушини (1ряд)</v>
      </c>
      <c r="M250" s="363">
        <f>Products!E1441</f>
        <v>250</v>
      </c>
    </row>
    <row r="251" spans="2:13">
      <c r="B251" s="473"/>
      <c r="C251" s="166" t="str">
        <f>Products!C1433</f>
        <v>скління:</v>
      </c>
      <c r="D251" s="141" t="str">
        <f>Products!D1433</f>
        <v>Сатин</v>
      </c>
      <c r="E251" s="169" t="str">
        <f>Products!F1433</f>
        <v>Сатин</v>
      </c>
      <c r="F251" s="130" t="str">
        <f>Products!H1433</f>
        <v>Сатин</v>
      </c>
      <c r="G251" s="130" t="str">
        <f>Products!J1433</f>
        <v>Сатин</v>
      </c>
      <c r="H251" s="130" t="str">
        <f>Products!L1433</f>
        <v>Сатин</v>
      </c>
      <c r="I251" s="224"/>
      <c r="J251" s="224"/>
      <c r="K251" s="362"/>
      <c r="L251" s="356" t="str">
        <f>Products!B1442</f>
        <v>вентиляційний підріз</v>
      </c>
      <c r="M251" s="363">
        <f>Products!E1442</f>
        <v>170.00000000000003</v>
      </c>
    </row>
    <row r="252" spans="2:13">
      <c r="B252" s="13" t="str">
        <f>Products!B1434</f>
        <v>1.0 - 1.1</v>
      </c>
      <c r="C252" s="171"/>
      <c r="D252" s="199">
        <f>Products!E1434</f>
        <v>6320</v>
      </c>
      <c r="E252" s="191">
        <f>Products!G1434</f>
        <v>7080</v>
      </c>
      <c r="F252" s="191">
        <f>Products!I1434</f>
        <v>7380</v>
      </c>
      <c r="G252" s="191">
        <f>Products!K1434</f>
        <v>7920</v>
      </c>
      <c r="H252" s="191">
        <f>Products!M1434</f>
        <v>8300</v>
      </c>
      <c r="J252" s="367"/>
      <c r="K252" s="362"/>
      <c r="L252" s="356" t="str">
        <f>Products!B1443</f>
        <v>скло Графіт / Бронза</v>
      </c>
      <c r="M252" s="363">
        <f>Products!E1443</f>
        <v>550</v>
      </c>
    </row>
    <row r="253" spans="2:13">
      <c r="B253" s="118" t="str">
        <f>Products!B1435</f>
        <v>3.0 - 3.3</v>
      </c>
      <c r="C253" s="181"/>
      <c r="D253" s="303">
        <f>Products!E1435</f>
        <v>7440</v>
      </c>
      <c r="E253" s="304">
        <f>Products!G1435</f>
        <v>8340</v>
      </c>
      <c r="F253" s="304">
        <f>Products!I1435</f>
        <v>8700</v>
      </c>
      <c r="G253" s="304">
        <f>Products!K1435</f>
        <v>9250</v>
      </c>
      <c r="H253" s="304">
        <f>Products!M1435</f>
        <v>9690</v>
      </c>
      <c r="J253" s="367"/>
      <c r="K253" s="362"/>
      <c r="L253" s="356" t="str">
        <f>Products!B1445</f>
        <v>замок Magnet</v>
      </c>
      <c r="M253" s="363">
        <f>Products!E1445</f>
        <v>800.00000000000011</v>
      </c>
    </row>
    <row r="254" spans="2:13">
      <c r="B254" s="23" t="str">
        <f>Products!B1436</f>
        <v>3А.1 - 3А.2</v>
      </c>
      <c r="C254" s="173"/>
      <c r="D254" s="201">
        <f>Products!E1436</f>
        <v>7440</v>
      </c>
      <c r="E254" s="195">
        <f>Products!G1436</f>
        <v>8340</v>
      </c>
      <c r="F254" s="195">
        <f>Products!I1436</f>
        <v>8700</v>
      </c>
      <c r="G254" s="195">
        <f>Products!K1436</f>
        <v>9250</v>
      </c>
      <c r="H254" s="195">
        <f>Products!M1436</f>
        <v>9690</v>
      </c>
      <c r="J254" s="367"/>
      <c r="K254" s="362"/>
      <c r="L254" s="356" t="str">
        <f>Products!B1446</f>
        <v>ручка-замок (для дверей купе)</v>
      </c>
      <c r="M254" s="363">
        <f>Products!E1446</f>
        <v>560</v>
      </c>
    </row>
    <row r="255" spans="2:13">
      <c r="C255" s="34"/>
      <c r="D255" s="34"/>
      <c r="E255" s="34"/>
      <c r="F255" s="31"/>
      <c r="J255" s="367"/>
      <c r="K255" s="362"/>
      <c r="L255" s="356" t="str">
        <f>Products!B1447</f>
        <v>циліндр несиметричний</v>
      </c>
      <c r="M255" s="363">
        <f>Products!E1447</f>
        <v>380</v>
      </c>
    </row>
    <row r="256" spans="2:13">
      <c r="C256" s="34"/>
      <c r="D256" s="34"/>
      <c r="E256" s="34"/>
      <c r="F256" s="31"/>
      <c r="J256" s="367"/>
      <c r="K256" s="362"/>
      <c r="L256" s="356" t="str">
        <f>Products!B1448</f>
        <v>завіса Prestige (1 шт)</v>
      </c>
      <c r="M256" s="363">
        <f>Products!E1448</f>
        <v>260</v>
      </c>
    </row>
    <row r="257" spans="1:13">
      <c r="C257" s="34"/>
      <c r="D257" s="34"/>
      <c r="E257" s="34"/>
      <c r="F257" s="31"/>
      <c r="J257" s="367"/>
      <c r="K257" s="362"/>
      <c r="L257" s="356" t="str">
        <f>Products!B1449</f>
        <v>накладка на завіси (1 к-т)</v>
      </c>
      <c r="M257" s="363">
        <f>Products!E1449</f>
        <v>80</v>
      </c>
    </row>
    <row r="258" spans="1:13">
      <c r="C258" s="34"/>
      <c r="D258" s="34"/>
      <c r="E258" s="34"/>
      <c r="F258" s="31"/>
      <c r="J258" s="367"/>
      <c r="K258" s="362"/>
      <c r="L258" s="356" t="str">
        <f>Products!B1450</f>
        <v>дверна ручка</v>
      </c>
      <c r="M258" s="382" t="str">
        <f>Products!E1450</f>
        <v>див. Таблицю Ручки</v>
      </c>
    </row>
    <row r="259" spans="1:13">
      <c r="C259" s="34"/>
      <c r="D259" s="34"/>
      <c r="E259" s="34"/>
      <c r="F259" s="31"/>
      <c r="J259" s="367"/>
      <c r="K259" s="379"/>
      <c r="L259" s="380"/>
      <c r="M259" s="383"/>
    </row>
    <row r="260" spans="1:13" s="31" customFormat="1" ht="12.75" customHeight="1">
      <c r="B260" s="475" t="str">
        <f>Products!B1501</f>
        <v>Полотна збірні: ПОЛО</v>
      </c>
      <c r="C260" s="476"/>
      <c r="D260" s="476"/>
      <c r="E260" s="476"/>
      <c r="F260" s="178"/>
      <c r="G260" s="178"/>
      <c r="H260" s="178"/>
      <c r="I260" s="178"/>
      <c r="J260" s="357"/>
      <c r="K260" s="357"/>
      <c r="L260" s="370"/>
      <c r="M260" s="371"/>
    </row>
    <row r="261" spans="1:13" ht="24.75" customHeight="1">
      <c r="A261" s="31"/>
      <c r="B261" s="483" t="str">
        <f>Products!B1503</f>
        <v>модель</v>
      </c>
      <c r="C261" s="164" t="str">
        <f>Products!C1503</f>
        <v>покриття:</v>
      </c>
      <c r="D261" s="133" t="str">
        <f>Products!D1503</f>
        <v>Verto-CELL</v>
      </c>
      <c r="E261" s="175" t="str">
        <f>Products!F1503</f>
        <v>UNI-MAT</v>
      </c>
      <c r="F261" s="134" t="str">
        <f>Products!H1503</f>
        <v>RESIST</v>
      </c>
      <c r="G261" s="134" t="str">
        <f>Products!J1503</f>
        <v>Verto LINE-3D</v>
      </c>
      <c r="H261" s="134" t="str">
        <f>Products!L1503</f>
        <v>ЕКО Шпон</v>
      </c>
      <c r="I261" s="224"/>
      <c r="J261" s="224"/>
      <c r="K261" s="372"/>
      <c r="L261" s="355" t="str">
        <f>Products!B1513</f>
        <v>полотно розміром 100</v>
      </c>
      <c r="M261" s="373">
        <f>Products!E1513</f>
        <v>720</v>
      </c>
    </row>
    <row r="262" spans="1:13" ht="26.25" customHeight="1">
      <c r="A262" s="31"/>
      <c r="B262" s="472"/>
      <c r="C262" s="165" t="str">
        <f>Products!C1504</f>
        <v>заповнення:</v>
      </c>
      <c r="D262" s="143" t="str">
        <f>Products!D1504</f>
        <v>клеєний сосновий брус</v>
      </c>
      <c r="E262" s="176" t="str">
        <f>Products!F1504</f>
        <v>клеєний сосновий брус</v>
      </c>
      <c r="F262" s="144" t="str">
        <f>Products!H1504</f>
        <v>клеєний сосновий брус</v>
      </c>
      <c r="G262" s="144" t="str">
        <f>Products!J1504</f>
        <v>клеєний сосновий брус</v>
      </c>
      <c r="H262" s="144" t="str">
        <f>Products!L1504</f>
        <v>клеєний сосновий брус</v>
      </c>
      <c r="I262" s="224"/>
      <c r="J262" s="224"/>
      <c r="K262" s="362"/>
      <c r="L262" s="356" t="str">
        <f>Products!B1514</f>
        <v>вентиляційні віддушини (1ряд)</v>
      </c>
      <c r="M262" s="363">
        <f>Products!E1514</f>
        <v>250</v>
      </c>
    </row>
    <row r="263" spans="1:13" ht="12.75" customHeight="1">
      <c r="A263" s="31"/>
      <c r="B263" s="473"/>
      <c r="C263" s="166" t="str">
        <f>Products!C1505</f>
        <v>скління:</v>
      </c>
      <c r="D263" s="141" t="str">
        <f>Products!D1505</f>
        <v>Сатин</v>
      </c>
      <c r="E263" s="169" t="str">
        <f>Products!F1505</f>
        <v>Сатин</v>
      </c>
      <c r="F263" s="130" t="str">
        <f>Products!H1505</f>
        <v>Сатин</v>
      </c>
      <c r="G263" s="130" t="str">
        <f>Products!J1505</f>
        <v>Сатин</v>
      </c>
      <c r="H263" s="130" t="str">
        <f>Products!L1505</f>
        <v>Сатин</v>
      </c>
      <c r="I263" s="224"/>
      <c r="J263" s="224"/>
      <c r="K263" s="362"/>
      <c r="L263" s="356" t="str">
        <f>Products!B1515</f>
        <v>вентиляційний підріз</v>
      </c>
      <c r="M263" s="363">
        <f>Products!E1515</f>
        <v>170.00000000000003</v>
      </c>
    </row>
    <row r="264" spans="1:13">
      <c r="A264" s="31"/>
      <c r="B264" s="13" t="str">
        <f>Products!B1506</f>
        <v>3.0 - 3.6</v>
      </c>
      <c r="C264" s="171"/>
      <c r="D264" s="199">
        <f>Products!E1506</f>
        <v>6440</v>
      </c>
      <c r="E264" s="191">
        <f>Products!G1506</f>
        <v>7150.0000000000009</v>
      </c>
      <c r="F264" s="191">
        <f>Products!I1506</f>
        <v>7500</v>
      </c>
      <c r="G264" s="191">
        <f>Products!K1506</f>
        <v>8110</v>
      </c>
      <c r="H264" s="191">
        <f>Products!M1506</f>
        <v>8540</v>
      </c>
      <c r="J264" s="367"/>
      <c r="K264" s="362"/>
      <c r="L264" s="356" t="str">
        <f>Products!B1516</f>
        <v>скло Графіт / Бронза</v>
      </c>
      <c r="M264" s="363">
        <f>Products!E1516</f>
        <v>550</v>
      </c>
    </row>
    <row r="265" spans="1:13">
      <c r="A265" s="31"/>
      <c r="B265" s="118" t="str">
        <f>Products!B1507</f>
        <v>3А.3</v>
      </c>
      <c r="C265" s="181"/>
      <c r="D265" s="303">
        <f>Products!E1507</f>
        <v>5980.0000000000009</v>
      </c>
      <c r="E265" s="304">
        <f>Products!G1507</f>
        <v>6640.0000000000009</v>
      </c>
      <c r="F265" s="304">
        <f>Products!I1507</f>
        <v>6900</v>
      </c>
      <c r="G265" s="304">
        <f>Products!K1507</f>
        <v>7470</v>
      </c>
      <c r="H265" s="304">
        <f>Products!M1507</f>
        <v>7830</v>
      </c>
      <c r="J265" s="367"/>
      <c r="K265" s="362"/>
      <c r="L265" s="356" t="str">
        <f>Products!B1517</f>
        <v>замок Soft</v>
      </c>
      <c r="M265" s="363">
        <f>Products!E1517</f>
        <v>550</v>
      </c>
    </row>
    <row r="266" spans="1:13">
      <c r="A266" s="31"/>
      <c r="B266" s="118" t="str">
        <f>Products!B1508</f>
        <v>3А.5</v>
      </c>
      <c r="C266" s="181"/>
      <c r="D266" s="303">
        <f>Products!E1508</f>
        <v>5580</v>
      </c>
      <c r="E266" s="304">
        <f>Products!G1508</f>
        <v>6190.0000000000009</v>
      </c>
      <c r="F266" s="304">
        <f>Products!I1508</f>
        <v>6340.0000000000009</v>
      </c>
      <c r="G266" s="304">
        <f>Products!K1508</f>
        <v>6890</v>
      </c>
      <c r="H266" s="304">
        <f>Products!M1508</f>
        <v>7230</v>
      </c>
      <c r="J266" s="367"/>
      <c r="K266" s="362"/>
      <c r="L266" s="356" t="str">
        <f>Products!B1518</f>
        <v>замок Magnet</v>
      </c>
      <c r="M266" s="363">
        <f>Products!E1518</f>
        <v>800.00000000000011</v>
      </c>
    </row>
    <row r="267" spans="1:13">
      <c r="A267" s="31"/>
      <c r="B267" s="23" t="str">
        <f>Products!B1509</f>
        <v>4.3.</v>
      </c>
      <c r="C267" s="173"/>
      <c r="D267" s="201">
        <f>Products!E1509</f>
        <v>5980.0000000000009</v>
      </c>
      <c r="E267" s="195">
        <f>Products!G1509</f>
        <v>6640.0000000000009</v>
      </c>
      <c r="F267" s="195">
        <f>Products!I1509</f>
        <v>6900</v>
      </c>
      <c r="G267" s="195">
        <f>Products!K1509</f>
        <v>7470</v>
      </c>
      <c r="H267" s="195">
        <f>Products!M1509</f>
        <v>7830</v>
      </c>
      <c r="J267" s="367"/>
      <c r="K267" s="362"/>
      <c r="L267" s="356" t="str">
        <f>Products!B1519</f>
        <v>ручка-замок (для дверей купе)</v>
      </c>
      <c r="M267" s="363">
        <f>Products!E1519</f>
        <v>560</v>
      </c>
    </row>
    <row r="268" spans="1:13">
      <c r="A268" s="31"/>
      <c r="J268" s="367"/>
      <c r="K268" s="362"/>
      <c r="L268" s="356" t="str">
        <f>Products!B1520</f>
        <v>циліндр несиметричний</v>
      </c>
      <c r="M268" s="363">
        <f>Products!E1520</f>
        <v>380</v>
      </c>
    </row>
    <row r="269" spans="1:13">
      <c r="A269" s="31"/>
      <c r="B269" s="183"/>
      <c r="C269" s="184"/>
      <c r="D269" s="207"/>
      <c r="E269" s="207"/>
      <c r="F269" s="207"/>
      <c r="G269" s="207"/>
      <c r="J269" s="367"/>
      <c r="K269" s="362"/>
      <c r="L269" s="356" t="str">
        <f>Products!B1521</f>
        <v>завіса Prestige (1 шт)</v>
      </c>
      <c r="M269" s="363">
        <f>Products!E1521</f>
        <v>260</v>
      </c>
    </row>
    <row r="270" spans="1:13" ht="13.5" customHeight="1">
      <c r="A270" s="31"/>
      <c r="J270" s="367"/>
      <c r="K270" s="362"/>
      <c r="L270" s="356" t="str">
        <f>Products!B1522</f>
        <v>накладка на завіси (1 к-т)</v>
      </c>
      <c r="M270" s="363">
        <f>Products!E1522</f>
        <v>80</v>
      </c>
    </row>
    <row r="271" spans="1:13" ht="13.5" customHeight="1">
      <c r="A271" s="31"/>
      <c r="J271" s="367"/>
      <c r="K271" s="379"/>
      <c r="L271" s="356" t="str">
        <f>Products!B1523</f>
        <v>дверна ручка</v>
      </c>
      <c r="M271" s="382" t="str">
        <f>Products!E1523</f>
        <v>див. Таблицю Ручки</v>
      </c>
    </row>
    <row r="272" spans="1:13" ht="13.5">
      <c r="B272" s="233"/>
      <c r="C272" s="34"/>
      <c r="D272" s="34"/>
      <c r="E272" s="34"/>
      <c r="F272" s="31"/>
      <c r="J272" s="367"/>
      <c r="K272" s="367"/>
      <c r="L272" s="367"/>
      <c r="M272" s="367"/>
    </row>
    <row r="273" spans="1:13" s="31" customFormat="1" ht="12.75" customHeight="1">
      <c r="B273" s="475" t="str">
        <f>TITLE!$C$29</f>
        <v>Полотна скляні: ЛІНЕЯ</v>
      </c>
      <c r="C273" s="476"/>
      <c r="D273" s="476"/>
      <c r="E273" s="476"/>
      <c r="F273" s="178"/>
      <c r="G273" s="178"/>
      <c r="H273" s="178"/>
      <c r="I273" s="178"/>
      <c r="J273" s="357"/>
      <c r="K273" s="357"/>
      <c r="L273" s="370"/>
      <c r="M273" s="371"/>
    </row>
    <row r="274" spans="1:13" ht="12.75" customHeight="1">
      <c r="A274" s="31"/>
      <c r="B274" s="472" t="str">
        <f>Products!B1576</f>
        <v>модель</v>
      </c>
      <c r="C274" s="164" t="str">
        <f>Products!C1576</f>
        <v>покриття:</v>
      </c>
      <c r="D274" s="430" t="str">
        <f>Products!D1576</f>
        <v>VERTO-CELL</v>
      </c>
      <c r="E274" s="431"/>
      <c r="F274" s="432"/>
      <c r="G274" s="46"/>
      <c r="H274" s="224"/>
      <c r="I274" s="224"/>
      <c r="J274" s="224"/>
      <c r="K274" s="372"/>
      <c r="L274" s="355" t="str">
        <f>Products!B1585</f>
        <v>полотно розміром 100</v>
      </c>
      <c r="M274" s="373">
        <f>Products!E1585</f>
        <v>680.00000000000011</v>
      </c>
    </row>
    <row r="275" spans="1:13">
      <c r="A275" s="31"/>
      <c r="B275" s="472"/>
      <c r="C275" s="165" t="str">
        <f>Products!C1577</f>
        <v>заповнення:</v>
      </c>
      <c r="D275" s="441" t="str">
        <f>Products!D1577</f>
        <v>сотове заповнення</v>
      </c>
      <c r="E275" s="469"/>
      <c r="F275" s="442"/>
      <c r="G275" s="47"/>
      <c r="H275" s="224"/>
      <c r="I275" s="224"/>
      <c r="J275" s="224"/>
      <c r="K275" s="362"/>
      <c r="L275" s="356" t="str">
        <f>Products!B1586</f>
        <v>скло Графіт / Бронза</v>
      </c>
      <c r="M275" s="384" t="str">
        <f>Products!E1586</f>
        <v>див. Таблицю Ціни</v>
      </c>
    </row>
    <row r="276" spans="1:13" ht="12.75" customHeight="1">
      <c r="A276" s="31"/>
      <c r="B276" s="473"/>
      <c r="C276" s="166" t="str">
        <f>Products!C1578</f>
        <v>скління:</v>
      </c>
      <c r="D276" s="264" t="str">
        <f>Products!D1578</f>
        <v>Сатин</v>
      </c>
      <c r="E276" s="271" t="str">
        <f>Products!F1578</f>
        <v>Графіт / Бронза</v>
      </c>
      <c r="F276" s="272" t="str">
        <f>Products!H1578</f>
        <v>Триплекс мат/чорн</v>
      </c>
      <c r="G276" s="167"/>
      <c r="H276" s="224"/>
      <c r="I276" s="224"/>
      <c r="J276" s="224"/>
      <c r="K276" s="362"/>
      <c r="L276" s="356" t="str">
        <f>Products!B1587</f>
        <v>скло Триплекс матовий / чорний</v>
      </c>
      <c r="M276" s="384" t="str">
        <f>Products!E1587</f>
        <v>див. Таблицю Ціни</v>
      </c>
    </row>
    <row r="277" spans="1:13">
      <c r="A277" s="31"/>
      <c r="B277" s="13">
        <f>Products!B1579</f>
        <v>1</v>
      </c>
      <c r="C277" s="171"/>
      <c r="D277" s="265">
        <f>Products!E1579</f>
        <v>4840</v>
      </c>
      <c r="E277" s="273">
        <f>Products!G1579</f>
        <v>5570</v>
      </c>
      <c r="F277" s="266">
        <f>Products!I1579</f>
        <v>5960</v>
      </c>
      <c r="G277" s="207"/>
      <c r="H277" s="232"/>
      <c r="I277" s="232"/>
      <c r="J277" s="232"/>
      <c r="K277" s="362"/>
      <c r="L277" s="356" t="str">
        <f>Products!B1588</f>
        <v>замок Soft</v>
      </c>
      <c r="M277" s="363">
        <f>Products!E1588</f>
        <v>550</v>
      </c>
    </row>
    <row r="278" spans="1:13">
      <c r="A278" s="31"/>
      <c r="B278" s="16">
        <f>Products!B1580</f>
        <v>3</v>
      </c>
      <c r="C278" s="172"/>
      <c r="D278" s="267">
        <f>Products!E1580</f>
        <v>6840</v>
      </c>
      <c r="E278" s="274">
        <f>Products!G1580</f>
        <v>7800</v>
      </c>
      <c r="F278" s="268">
        <f>Products!I1580</f>
        <v>8190</v>
      </c>
      <c r="G278" s="207"/>
      <c r="H278" s="232"/>
      <c r="I278" s="232"/>
      <c r="J278" s="232"/>
      <c r="K278" s="362"/>
      <c r="L278" s="356" t="str">
        <f>Products!B1589</f>
        <v>замок Magnet</v>
      </c>
      <c r="M278" s="363">
        <f>Products!E1589</f>
        <v>800.00000000000011</v>
      </c>
    </row>
    <row r="279" spans="1:13">
      <c r="A279" s="31"/>
      <c r="B279" s="23">
        <f>Products!B1581</f>
        <v>4</v>
      </c>
      <c r="C279" s="173"/>
      <c r="D279" s="269">
        <f>Products!E1581</f>
        <v>7220</v>
      </c>
      <c r="E279" s="275">
        <f>Products!G1581</f>
        <v>8320</v>
      </c>
      <c r="F279" s="270">
        <f>Products!I1581</f>
        <v>8900</v>
      </c>
      <c r="G279" s="207"/>
      <c r="H279" s="232"/>
      <c r="I279" s="232"/>
      <c r="J279" s="232"/>
      <c r="K279" s="362"/>
      <c r="L279" s="356" t="str">
        <f>Products!B1590</f>
        <v>циліндр несиметричний</v>
      </c>
      <c r="M279" s="363">
        <f>Products!E1590</f>
        <v>380</v>
      </c>
    </row>
    <row r="280" spans="1:13">
      <c r="A280" s="31"/>
      <c r="G280" s="207"/>
      <c r="H280" s="232"/>
      <c r="I280" s="232"/>
      <c r="J280" s="232"/>
      <c r="K280" s="362"/>
      <c r="L280" s="356" t="str">
        <f>Products!B1591</f>
        <v>завіса Prestige (1 шт)</v>
      </c>
      <c r="M280" s="363">
        <f>Products!E1591</f>
        <v>260</v>
      </c>
    </row>
    <row r="281" spans="1:13">
      <c r="A281" s="31"/>
      <c r="G281" s="207"/>
      <c r="H281" s="232"/>
      <c r="I281" s="232"/>
      <c r="J281" s="232"/>
      <c r="K281" s="362"/>
      <c r="L281" s="356" t="str">
        <f>Products!B1592</f>
        <v>накладка на завіси (1 к-т)</v>
      </c>
      <c r="M281" s="363">
        <f>Products!E1592</f>
        <v>80</v>
      </c>
    </row>
    <row r="282" spans="1:13">
      <c r="C282" s="34"/>
      <c r="D282" s="34"/>
      <c r="E282" s="34"/>
      <c r="F282" s="31"/>
      <c r="G282" s="31"/>
      <c r="J282" s="367"/>
      <c r="K282" s="362"/>
      <c r="L282" s="356" t="str">
        <f>Products!B1593</f>
        <v>дверна ручка</v>
      </c>
      <c r="M282" s="384" t="str">
        <f>Products!E1593</f>
        <v>див. Таблицю Ручки</v>
      </c>
    </row>
    <row r="283" spans="1:13">
      <c r="C283" s="34"/>
      <c r="D283" s="34"/>
      <c r="E283" s="34"/>
      <c r="F283" s="31"/>
      <c r="G283" s="31"/>
      <c r="J283" s="367"/>
      <c r="K283" s="362"/>
      <c r="L283" s="356" t="str">
        <f>Products!B1594</f>
        <v>ДСП трубчасте</v>
      </c>
      <c r="M283" s="369">
        <f>Products!E1594</f>
        <v>930</v>
      </c>
    </row>
    <row r="284" spans="1:13">
      <c r="C284" s="34"/>
      <c r="D284" s="34"/>
      <c r="E284" s="34"/>
      <c r="F284" s="31"/>
      <c r="G284" s="31"/>
      <c r="J284" s="367"/>
      <c r="K284" s="367"/>
      <c r="L284" s="367"/>
      <c r="M284" s="367"/>
    </row>
    <row r="285" spans="1:13" s="31" customFormat="1" ht="12.75" customHeight="1">
      <c r="B285" s="475" t="str">
        <f>TITLE!$C$30</f>
        <v>Полотна скляні: ЛАЙН</v>
      </c>
      <c r="C285" s="476"/>
      <c r="D285" s="476"/>
      <c r="E285" s="476"/>
      <c r="F285" s="178"/>
      <c r="G285" s="178"/>
      <c r="H285" s="178"/>
      <c r="I285" s="178"/>
      <c r="J285" s="357"/>
      <c r="K285" s="357"/>
      <c r="L285" s="370"/>
      <c r="M285" s="371"/>
    </row>
    <row r="286" spans="1:13">
      <c r="A286" s="31"/>
      <c r="B286" s="472" t="str">
        <f>Products!B1647</f>
        <v>модель</v>
      </c>
      <c r="C286" s="164" t="str">
        <f>Products!C1647</f>
        <v>покриття:</v>
      </c>
      <c r="D286" s="132" t="str">
        <f>Products!D1647</f>
        <v>VERTO-CELL</v>
      </c>
      <c r="E286" s="175" t="str">
        <f>Products!F1647</f>
        <v>RESIST</v>
      </c>
      <c r="F286" s="175" t="str">
        <f>Products!H1647</f>
        <v>Verto LINE-3D</v>
      </c>
      <c r="G286" s="175" t="str">
        <f>Products!J1647</f>
        <v>ЕКО Шпон</v>
      </c>
      <c r="H286" s="224"/>
      <c r="I286" s="224"/>
      <c r="J286" s="224"/>
      <c r="K286" s="359"/>
      <c r="L286" s="356" t="str">
        <f>CONCATENATE(Products!B1660," ",Products!C1660)</f>
        <v xml:space="preserve">полотно розміром 100 </v>
      </c>
      <c r="M286" s="373">
        <f>Products!E1660</f>
        <v>680.00000000000011</v>
      </c>
    </row>
    <row r="287" spans="1:13">
      <c r="A287" s="31"/>
      <c r="B287" s="472"/>
      <c r="C287" s="165" t="str">
        <f>Products!C1648</f>
        <v>заповнення:</v>
      </c>
      <c r="D287" s="143" t="str">
        <f>Products!D1648</f>
        <v>сотове заповнення</v>
      </c>
      <c r="E287" s="176" t="str">
        <f>Products!F1648</f>
        <v>сотове заповнення</v>
      </c>
      <c r="F287" s="176" t="str">
        <f>Products!H1648</f>
        <v>сотове заповнення</v>
      </c>
      <c r="G287" s="176" t="str">
        <f>Products!J1648</f>
        <v>сотове заповнення</v>
      </c>
      <c r="H287" s="224"/>
      <c r="I287" s="224"/>
      <c r="J287" s="224"/>
      <c r="K287" s="359"/>
      <c r="L287" s="356" t="str">
        <f>CONCATENATE(Products!B1661," ",Products!C1661)</f>
        <v xml:space="preserve">скло Триплекс матовий / чорний </v>
      </c>
      <c r="M287" s="363">
        <f>Products!E1661</f>
        <v>1060</v>
      </c>
    </row>
    <row r="288" spans="1:13" ht="12.75" customHeight="1">
      <c r="A288" s="31"/>
      <c r="B288" s="473"/>
      <c r="C288" s="166" t="str">
        <f>Products!C1649</f>
        <v>скління:</v>
      </c>
      <c r="D288" s="141" t="str">
        <f>Products!D1649</f>
        <v>Малюнок / Сатин (1)</v>
      </c>
      <c r="E288" s="182" t="str">
        <f>Products!F1649</f>
        <v>Малюнок / Сатин (1)</v>
      </c>
      <c r="F288" s="182" t="str">
        <f>Products!H1649</f>
        <v>Малюнок / Сатин (1)</v>
      </c>
      <c r="G288" s="182" t="str">
        <f>Products!J1649</f>
        <v>Малюнок / Сатин (1)</v>
      </c>
      <c r="H288" s="224"/>
      <c r="I288" s="224"/>
      <c r="J288" s="224"/>
      <c r="K288" s="359"/>
      <c r="L288" s="356" t="str">
        <f>CONCATENATE(Products!B1662," ",Products!C1662)</f>
        <v xml:space="preserve">скло Графіт / Бронза </v>
      </c>
      <c r="M288" s="363">
        <f>Products!E1662</f>
        <v>780</v>
      </c>
    </row>
    <row r="289" spans="1:13">
      <c r="A289" s="31"/>
      <c r="B289" s="13">
        <f>Products!B1650</f>
        <v>1</v>
      </c>
      <c r="C289" s="171"/>
      <c r="D289" s="199">
        <f>Products!E1650</f>
        <v>7240.0000000000009</v>
      </c>
      <c r="E289" s="191">
        <f>Products!G1650</f>
        <v>7820</v>
      </c>
      <c r="F289" s="191">
        <f>Products!I1650</f>
        <v>8160</v>
      </c>
      <c r="G289" s="191">
        <f>Products!K1650</f>
        <v>8570</v>
      </c>
      <c r="H289" s="232"/>
      <c r="I289" s="232"/>
      <c r="J289" s="232"/>
      <c r="K289" s="359"/>
      <c r="L289" s="356" t="str">
        <f>CONCATENATE(Products!B1663," ",Products!C1663)</f>
        <v xml:space="preserve">замок Soft </v>
      </c>
      <c r="M289" s="363">
        <f>Products!E1663</f>
        <v>550</v>
      </c>
    </row>
    <row r="290" spans="1:13">
      <c r="A290" s="31"/>
      <c r="B290" s="16">
        <f>Products!B1651</f>
        <v>2</v>
      </c>
      <c r="C290" s="172"/>
      <c r="D290" s="200">
        <f>Products!E1651</f>
        <v>8040</v>
      </c>
      <c r="E290" s="193">
        <f>Products!G1651</f>
        <v>8590</v>
      </c>
      <c r="F290" s="193">
        <f>Products!I1651</f>
        <v>8970</v>
      </c>
      <c r="G290" s="193">
        <f>Products!K1651</f>
        <v>9400</v>
      </c>
      <c r="H290" s="236"/>
      <c r="I290" s="236"/>
      <c r="J290" s="236"/>
      <c r="K290" s="359"/>
      <c r="L290" s="356" t="str">
        <f>CONCATENATE(Products!B1664," ",Products!C1664)</f>
        <v xml:space="preserve">замок Magnet </v>
      </c>
      <c r="M290" s="363">
        <f>Products!E1664</f>
        <v>800.00000000000011</v>
      </c>
    </row>
    <row r="291" spans="1:13">
      <c r="A291" s="31"/>
      <c r="B291" s="16">
        <f>Products!B1652</f>
        <v>3</v>
      </c>
      <c r="C291" s="172"/>
      <c r="D291" s="200">
        <f>Products!E1652</f>
        <v>8040</v>
      </c>
      <c r="E291" s="193">
        <f>Products!G1652</f>
        <v>8590</v>
      </c>
      <c r="F291" s="193">
        <f>Products!I1652</f>
        <v>8970</v>
      </c>
      <c r="G291" s="193">
        <f>Products!K1652</f>
        <v>9400</v>
      </c>
      <c r="H291" s="232"/>
      <c r="I291" s="232"/>
      <c r="J291" s="232"/>
      <c r="K291" s="359"/>
      <c r="L291" s="356" t="str">
        <f>CONCATENATE(Products!B1665," ",Products!C1665)</f>
        <v xml:space="preserve">циліндр несиметричний </v>
      </c>
      <c r="M291" s="363">
        <f>Products!E1665</f>
        <v>380</v>
      </c>
    </row>
    <row r="292" spans="1:13">
      <c r="A292" s="31"/>
      <c r="B292" s="16">
        <f>Products!B1653</f>
        <v>4</v>
      </c>
      <c r="C292" s="172"/>
      <c r="D292" s="200">
        <f>Products!E1653</f>
        <v>8040</v>
      </c>
      <c r="E292" s="193">
        <f>Products!G1653</f>
        <v>8590</v>
      </c>
      <c r="F292" s="193">
        <f>Products!I1653</f>
        <v>8970</v>
      </c>
      <c r="G292" s="193">
        <f>Products!K1653</f>
        <v>9400</v>
      </c>
      <c r="H292" s="232"/>
      <c r="I292" s="232"/>
      <c r="J292" s="232"/>
      <c r="K292" s="359"/>
      <c r="L292" s="356" t="str">
        <f>CONCATENATE(Products!B1666," ",Products!C1666)</f>
        <v xml:space="preserve">завіса Prestige (1 шт) </v>
      </c>
      <c r="M292" s="363">
        <f>Products!E1666</f>
        <v>260</v>
      </c>
    </row>
    <row r="293" spans="1:13">
      <c r="A293" s="31"/>
      <c r="B293" s="16">
        <f>Products!B1654</f>
        <v>5</v>
      </c>
      <c r="C293" s="172"/>
      <c r="D293" s="200">
        <f>Products!E1654</f>
        <v>8040</v>
      </c>
      <c r="E293" s="193">
        <f>Products!G1654</f>
        <v>8590</v>
      </c>
      <c r="F293" s="193">
        <f>Products!I1654</f>
        <v>8970</v>
      </c>
      <c r="G293" s="193">
        <f>Products!K1654</f>
        <v>9400</v>
      </c>
      <c r="H293" s="232"/>
      <c r="I293" s="232"/>
      <c r="J293" s="232"/>
      <c r="K293" s="359"/>
      <c r="L293" s="356" t="str">
        <f>CONCATENATE(Products!B1667," ",Products!C1667)</f>
        <v xml:space="preserve">накладка на завіси (1 к-т) </v>
      </c>
      <c r="M293" s="363">
        <f>Products!E1667</f>
        <v>80</v>
      </c>
    </row>
    <row r="294" spans="1:13">
      <c r="A294" s="31"/>
      <c r="B294" s="16">
        <f>Products!B1655</f>
        <v>6</v>
      </c>
      <c r="C294" s="172"/>
      <c r="D294" s="200">
        <f>Products!E1655</f>
        <v>8040</v>
      </c>
      <c r="E294" s="193">
        <f>Products!G1655</f>
        <v>8590</v>
      </c>
      <c r="F294" s="193">
        <f>Products!I1655</f>
        <v>8970</v>
      </c>
      <c r="G294" s="193">
        <f>Products!K1655</f>
        <v>9400</v>
      </c>
      <c r="H294" s="232"/>
      <c r="I294" s="232"/>
      <c r="J294" s="232"/>
      <c r="K294" s="359"/>
      <c r="L294" s="356" t="str">
        <f>CONCATENATE(Products!B1668," ",Products!C1668)</f>
        <v xml:space="preserve">дверна ручка </v>
      </c>
      <c r="M294" s="384" t="str">
        <f>Products!E1668</f>
        <v>див. Таблицю Ручки</v>
      </c>
    </row>
    <row r="295" spans="1:13">
      <c r="A295" s="31"/>
      <c r="B295" s="23">
        <f>Products!B1656</f>
        <v>7</v>
      </c>
      <c r="C295" s="173"/>
      <c r="D295" s="201">
        <f>Products!E1656</f>
        <v>8040</v>
      </c>
      <c r="E295" s="195">
        <f>Products!G1656</f>
        <v>8590</v>
      </c>
      <c r="F295" s="195">
        <f>Products!I1656</f>
        <v>8970</v>
      </c>
      <c r="G295" s="195">
        <f>Products!K1656</f>
        <v>9400</v>
      </c>
      <c r="H295" s="232"/>
      <c r="I295" s="232"/>
      <c r="J295" s="232"/>
      <c r="K295" s="362"/>
      <c r="L295" s="356" t="str">
        <f>CONCATENATE(Products!B1669," ",Products!C1669)</f>
        <v xml:space="preserve">ДСП трубчасте </v>
      </c>
      <c r="M295" s="369">
        <f>Products!E1669</f>
        <v>930</v>
      </c>
    </row>
    <row r="296" spans="1:13">
      <c r="A296" s="31"/>
      <c r="B296" s="183"/>
      <c r="C296" s="184"/>
      <c r="D296" s="207"/>
      <c r="E296" s="207"/>
      <c r="F296" s="207"/>
      <c r="G296" s="31"/>
      <c r="H296" s="232"/>
      <c r="I296" s="232"/>
      <c r="J296" s="232"/>
      <c r="K296" s="367"/>
      <c r="L296" s="367"/>
      <c r="M296" s="367"/>
    </row>
    <row r="297" spans="1:13" s="31" customFormat="1" ht="12.75" customHeight="1">
      <c r="B297" s="475" t="str">
        <f>TITLE!$C$31</f>
        <v>Полотна скляні: ЕЛЕГАНТ</v>
      </c>
      <c r="C297" s="476"/>
      <c r="D297" s="476"/>
      <c r="E297" s="476"/>
      <c r="F297" s="178"/>
      <c r="G297" s="178"/>
      <c r="H297" s="178"/>
      <c r="I297" s="178"/>
      <c r="J297" s="357"/>
      <c r="K297" s="357"/>
      <c r="L297" s="370"/>
      <c r="M297" s="371"/>
    </row>
    <row r="298" spans="1:13" ht="12.75" customHeight="1">
      <c r="A298" s="31"/>
      <c r="B298" s="472" t="str">
        <f>Products!B1722</f>
        <v>модель</v>
      </c>
      <c r="C298" s="164" t="str">
        <f>Products!C1722</f>
        <v>покриття:</v>
      </c>
      <c r="D298" s="134" t="str">
        <f>Products!D1722</f>
        <v>VERTO-CELL</v>
      </c>
      <c r="E298" s="134" t="str">
        <f>Products!F1722</f>
        <v>RESIST</v>
      </c>
      <c r="F298" s="134" t="str">
        <f>Products!H1722</f>
        <v>Verto LINE-3D</v>
      </c>
      <c r="G298" s="134" t="str">
        <f>Products!J1722</f>
        <v>ЕКО Шпон</v>
      </c>
      <c r="H298" s="224"/>
      <c r="I298" s="224"/>
      <c r="J298" s="224"/>
      <c r="K298" s="372"/>
      <c r="L298" s="355" t="str">
        <f>CONCATENATE(Products!B1735," ",Products!C1735)</f>
        <v xml:space="preserve">скло Триплекс матовий / чорний </v>
      </c>
      <c r="M298" s="373">
        <f>Products!E1735</f>
        <v>1350</v>
      </c>
    </row>
    <row r="299" spans="1:13" ht="24.75" customHeight="1">
      <c r="A299" s="31"/>
      <c r="B299" s="472"/>
      <c r="C299" s="165" t="str">
        <f>Products!C1723</f>
        <v>заповнення:</v>
      </c>
      <c r="D299" s="144" t="str">
        <f>Products!D1723</f>
        <v>клеєний сосновий брус</v>
      </c>
      <c r="E299" s="144" t="str">
        <f>Products!F1723</f>
        <v>клеєний сосновий брус</v>
      </c>
      <c r="F299" s="144" t="str">
        <f>Products!H1723</f>
        <v>клеєний сосновий брус</v>
      </c>
      <c r="G299" s="144" t="str">
        <f>Products!J1723</f>
        <v>клеєний сосновий брус</v>
      </c>
      <c r="H299" s="224"/>
      <c r="I299" s="224"/>
      <c r="J299" s="224"/>
      <c r="K299" s="362"/>
      <c r="L299" s="356" t="str">
        <f>CONCATENATE(Products!B1736," ",Products!C1736)</f>
        <v xml:space="preserve">скло Графіт / Бронза </v>
      </c>
      <c r="M299" s="363">
        <f>Products!E1736</f>
        <v>920.00000000000011</v>
      </c>
    </row>
    <row r="300" spans="1:13" ht="12.75" customHeight="1">
      <c r="A300" s="31"/>
      <c r="B300" s="473"/>
      <c r="C300" s="166" t="str">
        <f>Products!C1724</f>
        <v>скління:</v>
      </c>
      <c r="D300" s="130" t="str">
        <f>Products!D1724</f>
        <v>Малюнок / Сатин (1)</v>
      </c>
      <c r="E300" s="130" t="str">
        <f>Products!F1724</f>
        <v>Малюнок / Сатин (1)</v>
      </c>
      <c r="F300" s="130" t="str">
        <f>Products!H1724</f>
        <v>Малюнок / Сатин (1)</v>
      </c>
      <c r="G300" s="130" t="str">
        <f>Products!J1724</f>
        <v>Малюнок / Сатин (1)</v>
      </c>
      <c r="H300" s="224"/>
      <c r="I300" s="224"/>
      <c r="J300" s="224"/>
      <c r="K300" s="362"/>
      <c r="L300" s="356" t="str">
        <f>CONCATENATE(Products!B1737," ",Products!C1737)</f>
        <v xml:space="preserve">замок Soft </v>
      </c>
      <c r="M300" s="363">
        <f>Products!E1737</f>
        <v>560</v>
      </c>
    </row>
    <row r="301" spans="1:13">
      <c r="A301" s="31"/>
      <c r="B301" s="13">
        <f>Products!B1725</f>
        <v>1</v>
      </c>
      <c r="C301" s="171"/>
      <c r="D301" s="192">
        <f>Products!E1725</f>
        <v>7800</v>
      </c>
      <c r="E301" s="192">
        <f>Products!G1725</f>
        <v>8720</v>
      </c>
      <c r="F301" s="192">
        <f>Products!I1725</f>
        <v>9150</v>
      </c>
      <c r="G301" s="192">
        <f>Products!K1725</f>
        <v>9590</v>
      </c>
      <c r="H301" s="232"/>
      <c r="I301" s="232"/>
      <c r="J301" s="232"/>
      <c r="K301" s="362"/>
      <c r="L301" s="356" t="str">
        <f>CONCATENATE(Products!B1738," ",Products!C1738)</f>
        <v xml:space="preserve">замок Magnet </v>
      </c>
      <c r="M301" s="363">
        <f>Products!E1738</f>
        <v>800.00000000000011</v>
      </c>
    </row>
    <row r="302" spans="1:13">
      <c r="A302" s="31"/>
      <c r="B302" s="16">
        <f>Products!B1726</f>
        <v>2</v>
      </c>
      <c r="C302" s="172"/>
      <c r="D302" s="194">
        <f>Products!E1726</f>
        <v>8560</v>
      </c>
      <c r="E302" s="194">
        <f>Products!G1726</f>
        <v>9590</v>
      </c>
      <c r="F302" s="194">
        <f>Products!I1726</f>
        <v>10000</v>
      </c>
      <c r="G302" s="194">
        <f>Products!K1726</f>
        <v>10440</v>
      </c>
      <c r="H302" s="236"/>
      <c r="I302" s="236"/>
      <c r="J302" s="236"/>
      <c r="K302" s="362"/>
      <c r="L302" s="356" t="str">
        <f>CONCATENATE(Products!B1739," ",Products!C1739)</f>
        <v xml:space="preserve">циліндр несиметричний </v>
      </c>
      <c r="M302" s="363">
        <f>Products!E1739</f>
        <v>390</v>
      </c>
    </row>
    <row r="303" spans="1:13">
      <c r="A303" s="31"/>
      <c r="B303" s="16">
        <f>Products!B1727</f>
        <v>3</v>
      </c>
      <c r="C303" s="172"/>
      <c r="D303" s="194">
        <f>Products!E1727</f>
        <v>8560</v>
      </c>
      <c r="E303" s="194">
        <f>Products!G1727</f>
        <v>9590</v>
      </c>
      <c r="F303" s="194">
        <f>Products!I1727</f>
        <v>10000</v>
      </c>
      <c r="G303" s="194">
        <f>Products!K1727</f>
        <v>10440</v>
      </c>
      <c r="H303" s="232"/>
      <c r="I303" s="232"/>
      <c r="J303" s="232"/>
      <c r="K303" s="362"/>
      <c r="L303" s="356" t="str">
        <f>CONCATENATE(Products!B1740," ",Products!C1740)</f>
        <v xml:space="preserve">завіса Prestige (1 шт) </v>
      </c>
      <c r="M303" s="363">
        <f>Products!E1740</f>
        <v>260</v>
      </c>
    </row>
    <row r="304" spans="1:13">
      <c r="A304" s="31"/>
      <c r="B304" s="16">
        <f>Products!B1728</f>
        <v>4</v>
      </c>
      <c r="C304" s="172"/>
      <c r="D304" s="194">
        <f>Products!E1728</f>
        <v>8560</v>
      </c>
      <c r="E304" s="194">
        <f>Products!G1728</f>
        <v>9590</v>
      </c>
      <c r="F304" s="194">
        <f>Products!I1728</f>
        <v>10000</v>
      </c>
      <c r="G304" s="194">
        <f>Products!K1728</f>
        <v>10440</v>
      </c>
      <c r="H304" s="232"/>
      <c r="I304" s="232"/>
      <c r="J304" s="232"/>
      <c r="K304" s="362"/>
      <c r="L304" s="356" t="str">
        <f>CONCATENATE(Products!B1741," ",Products!C1741)</f>
        <v xml:space="preserve">накладка на завіси (1 к-т) </v>
      </c>
      <c r="M304" s="363">
        <f>Products!E1741</f>
        <v>80</v>
      </c>
    </row>
    <row r="305" spans="1:13">
      <c r="A305" s="31"/>
      <c r="B305" s="16">
        <f>Products!B1729</f>
        <v>5</v>
      </c>
      <c r="C305" s="172"/>
      <c r="D305" s="194">
        <f>Products!E1729</f>
        <v>8560</v>
      </c>
      <c r="E305" s="194">
        <f>Products!G1729</f>
        <v>9590</v>
      </c>
      <c r="F305" s="194">
        <f>Products!I1729</f>
        <v>10000</v>
      </c>
      <c r="G305" s="194">
        <f>Products!K1729</f>
        <v>10440</v>
      </c>
      <c r="H305" s="232"/>
      <c r="I305" s="232"/>
      <c r="J305" s="232"/>
      <c r="K305" s="362"/>
      <c r="L305" s="356" t="str">
        <f>CONCATENATE(Products!B1742," ",Products!C1742)</f>
        <v xml:space="preserve">дверна ручка </v>
      </c>
      <c r="M305" s="382" t="str">
        <f>Products!E1742</f>
        <v>див. Таблицю Ручки</v>
      </c>
    </row>
    <row r="306" spans="1:13">
      <c r="A306" s="31"/>
      <c r="B306" s="16">
        <f>Products!B1730</f>
        <v>6</v>
      </c>
      <c r="C306" s="172"/>
      <c r="D306" s="194">
        <f>Products!E1730</f>
        <v>8560</v>
      </c>
      <c r="E306" s="194">
        <f>Products!G1730</f>
        <v>9590</v>
      </c>
      <c r="F306" s="194">
        <f>Products!I1730</f>
        <v>10000</v>
      </c>
      <c r="G306" s="194">
        <f>Products!K1730</f>
        <v>10440</v>
      </c>
      <c r="H306" s="232"/>
      <c r="I306" s="232"/>
      <c r="J306" s="232"/>
      <c r="K306" s="367"/>
      <c r="L306" s="367"/>
      <c r="M306" s="367"/>
    </row>
    <row r="307" spans="1:13">
      <c r="A307" s="31"/>
      <c r="B307" s="23">
        <f>Products!B1731</f>
        <v>7</v>
      </c>
      <c r="C307" s="173"/>
      <c r="D307" s="196">
        <f>Products!E1731</f>
        <v>8560</v>
      </c>
      <c r="E307" s="196">
        <f>Products!G1731</f>
        <v>9590</v>
      </c>
      <c r="F307" s="196">
        <f>Products!I1731</f>
        <v>10000</v>
      </c>
      <c r="G307" s="196">
        <f>Products!K1731</f>
        <v>10440</v>
      </c>
      <c r="H307" s="232"/>
      <c r="I307" s="232"/>
      <c r="J307" s="232"/>
      <c r="K307" s="237"/>
      <c r="L307" s="385"/>
      <c r="M307" s="376"/>
    </row>
    <row r="308" spans="1:13">
      <c r="C308" s="34"/>
      <c r="D308" s="34"/>
      <c r="E308" s="10"/>
      <c r="F308" s="31"/>
      <c r="G308" s="31"/>
      <c r="J308" s="367"/>
      <c r="K308" s="367"/>
      <c r="L308" s="367"/>
      <c r="M308" s="367"/>
    </row>
    <row r="309" spans="1:13" s="31" customFormat="1" ht="12.75" customHeight="1">
      <c r="B309" s="475" t="str">
        <f>TITLE!$C$32</f>
        <v>Полотна скляні: ГЛАСФОРД</v>
      </c>
      <c r="C309" s="476"/>
      <c r="D309" s="476"/>
      <c r="E309" s="476"/>
      <c r="F309" s="178"/>
      <c r="G309" s="178"/>
      <c r="H309" s="178"/>
      <c r="I309" s="178"/>
      <c r="J309" s="357"/>
      <c r="K309" s="357"/>
      <c r="L309" s="370"/>
      <c r="M309" s="371"/>
    </row>
    <row r="310" spans="1:13">
      <c r="A310" s="31"/>
      <c r="B310" s="472" t="str">
        <f>Products!B1795</f>
        <v>модель</v>
      </c>
      <c r="C310" s="164" t="str">
        <f>Products!C1795</f>
        <v>покриття:</v>
      </c>
      <c r="D310" s="134" t="str">
        <f>Products!D1795</f>
        <v>СКЛО</v>
      </c>
      <c r="E310" s="10"/>
      <c r="F310" s="31"/>
      <c r="G310" s="31"/>
      <c r="H310" s="224"/>
      <c r="I310" s="224"/>
      <c r="J310" s="224"/>
      <c r="K310" s="359"/>
      <c r="L310" s="355" t="str">
        <f>CONCATENATE(Products!B1806," ",Products!C1806)</f>
        <v xml:space="preserve">полотно розміром 100 </v>
      </c>
      <c r="M310" s="373">
        <f>Products!E1806</f>
        <v>3300</v>
      </c>
    </row>
    <row r="311" spans="1:13">
      <c r="A311" s="31"/>
      <c r="B311" s="472"/>
      <c r="C311" s="165" t="str">
        <f>Products!C1796</f>
        <v>заповнення:</v>
      </c>
      <c r="D311" s="144" t="str">
        <f>Products!D1796</f>
        <v>гартоване скло</v>
      </c>
      <c r="E311" s="10"/>
      <c r="F311" s="31"/>
      <c r="G311" s="31"/>
      <c r="H311" s="224"/>
      <c r="I311" s="224"/>
      <c r="J311" s="224"/>
      <c r="K311" s="362"/>
      <c r="L311" s="356" t="str">
        <f>CONCATENATE(Products!B1807," ",Products!C1807)</f>
        <v xml:space="preserve">скло Триплекс матовий / чорний </v>
      </c>
      <c r="M311" s="363">
        <f>Products!E1807</f>
        <v>2070</v>
      </c>
    </row>
    <row r="312" spans="1:13" ht="12.75" customHeight="1">
      <c r="A312" s="31"/>
      <c r="B312" s="473"/>
      <c r="C312" s="166" t="str">
        <f>Products!C1797</f>
        <v>скління:</v>
      </c>
      <c r="D312" s="130" t="str">
        <f>Products!D1797</f>
        <v>Малюнок / Сатин (1)</v>
      </c>
      <c r="E312" s="10"/>
      <c r="F312" s="31"/>
      <c r="G312" s="31"/>
      <c r="H312" s="224"/>
      <c r="I312" s="224"/>
      <c r="J312" s="224"/>
      <c r="K312" s="362"/>
      <c r="L312" s="356" t="str">
        <f>CONCATENATE(Products!B1808," ",Products!C1808)</f>
        <v xml:space="preserve">скло Графіт / Бронза </v>
      </c>
      <c r="M312" s="363">
        <f>Products!E1808</f>
        <v>1650</v>
      </c>
    </row>
    <row r="313" spans="1:13">
      <c r="A313" s="31"/>
      <c r="B313" s="13">
        <f>Products!B1798</f>
        <v>1</v>
      </c>
      <c r="C313" s="171"/>
      <c r="D313" s="192">
        <f>Products!E1798</f>
        <v>16500</v>
      </c>
      <c r="E313" s="10"/>
      <c r="F313" s="239"/>
      <c r="G313" s="235"/>
      <c r="H313" s="232"/>
      <c r="I313" s="232"/>
      <c r="J313" s="232"/>
      <c r="K313" s="362"/>
      <c r="L313" s="356" t="str">
        <f>CONCATENATE(Products!B1809," ",Products!C1809)</f>
        <v xml:space="preserve">скло Дзеркало </v>
      </c>
      <c r="M313" s="363">
        <f>Products!E1809</f>
        <v>5400</v>
      </c>
    </row>
    <row r="314" spans="1:13">
      <c r="A314" s="31"/>
      <c r="B314" s="16">
        <f>Products!B1799</f>
        <v>2</v>
      </c>
      <c r="C314" s="172"/>
      <c r="D314" s="194">
        <f>Products!E1799</f>
        <v>17250</v>
      </c>
      <c r="E314" s="10"/>
      <c r="F314" s="239"/>
      <c r="G314" s="235"/>
      <c r="H314" s="236"/>
      <c r="I314" s="236"/>
      <c r="J314" s="236"/>
      <c r="K314" s="362"/>
      <c r="L314" s="356" t="str">
        <f>CONCATENATE(Products!B1810," ",Products!C1810)</f>
        <v xml:space="preserve">замок Glass під ключ / циліндр </v>
      </c>
      <c r="M314" s="363">
        <f>Products!E1810</f>
        <v>1240.0000000000002</v>
      </c>
    </row>
    <row r="315" spans="1:13">
      <c r="A315" s="31"/>
      <c r="B315" s="16">
        <f>Products!B1800</f>
        <v>3</v>
      </c>
      <c r="C315" s="172"/>
      <c r="D315" s="194">
        <f>Products!E1800</f>
        <v>17250</v>
      </c>
      <c r="E315" s="10"/>
      <c r="F315" s="239"/>
      <c r="G315" s="31"/>
      <c r="H315" s="232"/>
      <c r="I315" s="232"/>
      <c r="J315" s="232"/>
      <c r="K315" s="362"/>
      <c r="L315" s="356" t="str">
        <f>CONCATENATE(Products!B1811," ",Products!C1811)</f>
        <v xml:space="preserve">замок Glass сантехнічний </v>
      </c>
      <c r="M315" s="369">
        <f>Products!E1811</f>
        <v>2940</v>
      </c>
    </row>
    <row r="316" spans="1:13">
      <c r="A316" s="31"/>
      <c r="B316" s="16">
        <f>Products!B1801</f>
        <v>4</v>
      </c>
      <c r="C316" s="172"/>
      <c r="D316" s="194">
        <f>Products!E1801</f>
        <v>17250</v>
      </c>
      <c r="E316" s="10"/>
      <c r="F316" s="239"/>
      <c r="G316" s="31"/>
      <c r="H316" s="232"/>
      <c r="I316" s="232"/>
      <c r="J316" s="232"/>
      <c r="K316" s="224"/>
      <c r="L316" s="386"/>
      <c r="M316" s="387"/>
    </row>
    <row r="317" spans="1:13">
      <c r="A317" s="31"/>
      <c r="B317" s="23">
        <f>Products!B1802</f>
        <v>5</v>
      </c>
      <c r="C317" s="173"/>
      <c r="D317" s="196">
        <f>Products!E1802</f>
        <v>17250</v>
      </c>
      <c r="E317" s="10"/>
      <c r="F317" s="239"/>
      <c r="G317" s="31"/>
      <c r="H317" s="232"/>
      <c r="I317" s="232"/>
      <c r="J317" s="232"/>
      <c r="K317" s="224"/>
      <c r="L317" s="386"/>
      <c r="M317" s="387"/>
    </row>
    <row r="318" spans="1:13">
      <c r="C318" s="34"/>
      <c r="D318" s="34"/>
      <c r="E318" s="10"/>
      <c r="F318" s="31"/>
      <c r="G318" s="31"/>
      <c r="J318" s="367"/>
      <c r="K318" s="367"/>
      <c r="L318" s="367"/>
      <c r="M318" s="367"/>
    </row>
    <row r="319" spans="1:13">
      <c r="B319" s="470" t="str">
        <f>Products!B1861</f>
        <v>Полотна: ДОБОР LADA</v>
      </c>
      <c r="C319" s="476"/>
      <c r="D319" s="476"/>
      <c r="E319" s="476"/>
      <c r="F319" s="178"/>
      <c r="G319" s="178"/>
      <c r="H319" s="178"/>
      <c r="I319" s="178"/>
      <c r="J319" s="357"/>
      <c r="K319" s="357"/>
      <c r="L319" s="370"/>
      <c r="M319" s="371"/>
    </row>
    <row r="320" spans="1:13">
      <c r="B320" s="483" t="str">
        <f>Products!B1863</f>
        <v>модель</v>
      </c>
      <c r="C320" s="164" t="str">
        <f>Products!C1863</f>
        <v>покриття:</v>
      </c>
      <c r="D320" s="132" t="str">
        <f>Products!D1863</f>
        <v>Verto-CELL</v>
      </c>
      <c r="E320" s="175" t="str">
        <f>Products!F1863</f>
        <v>UNI-MAT</v>
      </c>
      <c r="F320" s="175" t="str">
        <f>Products!H1863</f>
        <v>RESIST</v>
      </c>
      <c r="G320" s="134" t="str">
        <f>Products!J1863</f>
        <v>Verto LINE-3D</v>
      </c>
      <c r="H320" s="134" t="str">
        <f>Products!L1863</f>
        <v>ЕКО Шпон</v>
      </c>
      <c r="I320" s="224"/>
      <c r="J320" s="224"/>
      <c r="K320" s="372"/>
      <c r="L320" s="355" t="str">
        <f>Products!B1874</f>
        <v>скло Графіт / Бронза</v>
      </c>
      <c r="M320" s="373">
        <f>Products!E1874</f>
        <v>510</v>
      </c>
    </row>
    <row r="321" spans="1:13" ht="24" customHeight="1">
      <c r="B321" s="472"/>
      <c r="C321" s="165" t="str">
        <f>Products!C1864</f>
        <v>заповнення:</v>
      </c>
      <c r="D321" s="142" t="str">
        <f>Products!D1864</f>
        <v>клеєний сосновий брус</v>
      </c>
      <c r="E321" s="176" t="str">
        <f>Products!F1864</f>
        <v>клеєний сосновий брус</v>
      </c>
      <c r="F321" s="176" t="str">
        <f>Products!H1864</f>
        <v>клеєний сосновий брус</v>
      </c>
      <c r="G321" s="144" t="str">
        <f>Products!J1864</f>
        <v>клеєний сосновий брус</v>
      </c>
      <c r="H321" s="144" t="str">
        <f>Products!L1864</f>
        <v>клеєний сосновий брус</v>
      </c>
      <c r="I321" s="224"/>
      <c r="J321" s="224"/>
      <c r="K321" s="362"/>
      <c r="L321" s="356" t="str">
        <f>Products!B1875</f>
        <v>завіса Prestige (1 шт)</v>
      </c>
      <c r="M321" s="363">
        <f>Products!E1875</f>
        <v>270</v>
      </c>
    </row>
    <row r="322" spans="1:13">
      <c r="B322" s="473"/>
      <c r="C322" s="166" t="str">
        <f>Products!C1865</f>
        <v>скління:</v>
      </c>
      <c r="D322" s="129" t="str">
        <f>Products!D1865</f>
        <v>Сатин</v>
      </c>
      <c r="E322" s="169" t="str">
        <f>Products!F1865</f>
        <v>Сатин</v>
      </c>
      <c r="F322" s="169" t="str">
        <f>Products!H1865</f>
        <v>Сатин</v>
      </c>
      <c r="G322" s="130" t="str">
        <f>Products!J1865</f>
        <v>Сатин</v>
      </c>
      <c r="H322" s="130" t="str">
        <f>Products!L1865</f>
        <v>Сатин</v>
      </c>
      <c r="I322" s="224"/>
      <c r="J322" s="224"/>
      <c r="K322" s="362"/>
      <c r="L322" s="356" t="str">
        <f>Products!B1876</f>
        <v>накладка на завіси (1 к-т)</v>
      </c>
      <c r="M322" s="369">
        <f>Products!E1876</f>
        <v>80</v>
      </c>
    </row>
    <row r="323" spans="1:13">
      <c r="B323" s="13" t="str">
        <f>Products!B1866</f>
        <v>L1.0 - 1.1</v>
      </c>
      <c r="C323" s="171"/>
      <c r="D323" s="199">
        <f>Products!E1866</f>
        <v>5920.0000000000009</v>
      </c>
      <c r="E323" s="191">
        <f>Products!G1866</f>
        <v>6790.0000000000009</v>
      </c>
      <c r="F323" s="191">
        <f>Products!I1866</f>
        <v>7010</v>
      </c>
      <c r="G323" s="191">
        <f>Products!K1866</f>
        <v>7440</v>
      </c>
      <c r="H323" s="191">
        <f>Products!M1866</f>
        <v>7720</v>
      </c>
      <c r="J323" s="367"/>
      <c r="K323" s="224"/>
      <c r="L323" s="386"/>
      <c r="M323" s="387"/>
    </row>
    <row r="324" spans="1:13">
      <c r="B324" s="118" t="str">
        <f>Products!B1867</f>
        <v>L3.0 - 3.2</v>
      </c>
      <c r="C324" s="181"/>
      <c r="D324" s="303">
        <f>Products!E1867</f>
        <v>6040.0000000000009</v>
      </c>
      <c r="E324" s="304">
        <f>Products!G1867</f>
        <v>6920</v>
      </c>
      <c r="F324" s="304">
        <f>Products!I1867</f>
        <v>7160</v>
      </c>
      <c r="G324" s="304">
        <f>Products!K1867</f>
        <v>7590</v>
      </c>
      <c r="H324" s="304">
        <f>Products!M1867</f>
        <v>8350</v>
      </c>
      <c r="J324" s="367"/>
      <c r="K324" s="224"/>
      <c r="L324" s="386"/>
      <c r="M324" s="387"/>
    </row>
    <row r="325" spans="1:13">
      <c r="B325" s="118" t="str">
        <f>Products!B1868</f>
        <v>L4.0 - 4.1</v>
      </c>
      <c r="C325" s="181"/>
      <c r="D325" s="303">
        <f>Products!E1868</f>
        <v>5920.0000000000009</v>
      </c>
      <c r="E325" s="304">
        <f>Products!G1868</f>
        <v>6780</v>
      </c>
      <c r="F325" s="304">
        <f>Products!I1868</f>
        <v>7010</v>
      </c>
      <c r="G325" s="304">
        <f>Products!K1868</f>
        <v>7440</v>
      </c>
      <c r="H325" s="304">
        <f>Products!M1868</f>
        <v>7720</v>
      </c>
      <c r="J325" s="367"/>
      <c r="K325" s="224"/>
      <c r="L325" s="386"/>
      <c r="M325" s="387"/>
    </row>
    <row r="326" spans="1:13">
      <c r="B326" s="118" t="str">
        <f>Products!B1869</f>
        <v>L5.0 - 5.1</v>
      </c>
      <c r="C326" s="181"/>
      <c r="D326" s="303">
        <f>Products!E1869</f>
        <v>6130.0000000000009</v>
      </c>
      <c r="E326" s="304">
        <f>Products!G1869</f>
        <v>7050</v>
      </c>
      <c r="F326" s="304">
        <f>Products!I1869</f>
        <v>7240.0000000000009</v>
      </c>
      <c r="G326" s="304">
        <f>Products!K1869</f>
        <v>7660</v>
      </c>
      <c r="H326" s="304">
        <f>Products!M1869</f>
        <v>7910</v>
      </c>
      <c r="J326" s="367"/>
      <c r="K326" s="224"/>
      <c r="L326" s="386"/>
      <c r="M326" s="387"/>
    </row>
    <row r="327" spans="1:13">
      <c r="B327" s="23" t="str">
        <f>Products!B1870</f>
        <v>L6.0 - 6.1</v>
      </c>
      <c r="C327" s="173"/>
      <c r="D327" s="195">
        <f>Products!E1870</f>
        <v>6350</v>
      </c>
      <c r="E327" s="195">
        <f>Products!G1870</f>
        <v>7280</v>
      </c>
      <c r="F327" s="195">
        <f>Products!I1870</f>
        <v>7460</v>
      </c>
      <c r="G327" s="195">
        <f>Products!K1870</f>
        <v>7910</v>
      </c>
      <c r="H327" s="195">
        <f>Products!M1870</f>
        <v>8150</v>
      </c>
      <c r="J327" s="367"/>
      <c r="K327" s="224"/>
      <c r="L327" s="386"/>
      <c r="M327" s="387"/>
    </row>
    <row r="328" spans="1:13">
      <c r="C328" s="34"/>
      <c r="D328" s="34"/>
      <c r="E328" s="10"/>
      <c r="F328" s="31"/>
      <c r="G328" s="31"/>
      <c r="J328" s="367"/>
      <c r="K328" s="367"/>
      <c r="L328" s="367"/>
      <c r="M328" s="367"/>
    </row>
    <row r="329" spans="1:13" s="31" customFormat="1">
      <c r="B329" s="486" t="str">
        <f>Products!B1927</f>
        <v>Полотна: ДОБОРИ</v>
      </c>
      <c r="C329" s="487"/>
      <c r="D329" s="487"/>
      <c r="E329" s="487"/>
      <c r="F329" s="178"/>
      <c r="G329" s="178"/>
      <c r="H329" s="178"/>
      <c r="I329" s="178"/>
      <c r="J329" s="357"/>
      <c r="K329" s="357"/>
      <c r="L329" s="484"/>
      <c r="M329" s="485"/>
    </row>
    <row r="330" spans="1:13">
      <c r="A330" s="31"/>
      <c r="B330" s="472" t="str">
        <f>Products!B1929</f>
        <v>модель</v>
      </c>
      <c r="C330" s="174" t="str">
        <f>Products!C1929</f>
        <v>покриття:</v>
      </c>
      <c r="D330" s="170" t="str">
        <f>Products!D1929</f>
        <v>SIMPL / V-CELL</v>
      </c>
      <c r="E330" s="175" t="str">
        <f>Products!F1929</f>
        <v>UNI-MAT</v>
      </c>
      <c r="F330" s="175" t="str">
        <f>Products!H1929</f>
        <v>RESIST</v>
      </c>
      <c r="G330" s="46"/>
      <c r="H330" s="224"/>
      <c r="I330" s="224"/>
      <c r="J330" s="224"/>
      <c r="K330" s="359"/>
      <c r="L330" s="356" t="str">
        <f>CONCATENATE(Products!B1937," ",Products!C1937)</f>
        <v xml:space="preserve">третя завіса </v>
      </c>
      <c r="M330" s="373">
        <f>Products!E1937</f>
        <v>80</v>
      </c>
    </row>
    <row r="331" spans="1:13">
      <c r="A331" s="31"/>
      <c r="B331" s="472"/>
      <c r="C331" s="165" t="str">
        <f>Products!C1930</f>
        <v>заповнення:</v>
      </c>
      <c r="D331" s="143" t="str">
        <f>Products!D1930</f>
        <v>сотове заповнення</v>
      </c>
      <c r="E331" s="176" t="str">
        <f>Products!F1930</f>
        <v>сотове заповнення</v>
      </c>
      <c r="F331" s="176" t="str">
        <f>Products!H1930</f>
        <v>сотове заповнення</v>
      </c>
      <c r="G331" s="150"/>
      <c r="H331" s="224"/>
      <c r="I331" s="224"/>
      <c r="J331" s="224"/>
      <c r="K331" s="359"/>
      <c r="L331" s="356" t="str">
        <f>CONCATENATE(Products!B1938," ",Products!C1938)</f>
        <v>скло Триплекс матовий / чорний мод.Б</v>
      </c>
      <c r="M331" s="363">
        <f>Products!E1938</f>
        <v>1130</v>
      </c>
    </row>
    <row r="332" spans="1:13" ht="12.75" customHeight="1">
      <c r="A332" s="31"/>
      <c r="B332" s="473"/>
      <c r="C332" s="166" t="str">
        <f>Products!C1931</f>
        <v>скління:</v>
      </c>
      <c r="D332" s="141" t="str">
        <f>Products!D1931</f>
        <v>Сатин (Б)</v>
      </c>
      <c r="E332" s="182" t="str">
        <f>Products!F1931</f>
        <v>Сатин (Б)</v>
      </c>
      <c r="F332" s="182" t="str">
        <f>Products!H1931</f>
        <v>Сатин (Б)</v>
      </c>
      <c r="G332" s="168"/>
      <c r="H332" s="224"/>
      <c r="I332" s="224"/>
      <c r="J332" s="224"/>
      <c r="K332" s="359"/>
      <c r="L332" s="356" t="str">
        <f>CONCATENATE(Products!B1939," ",Products!C1939)</f>
        <v>скло Графіт / Бронза мод.Б</v>
      </c>
      <c r="M332" s="363">
        <f>Products!E1939</f>
        <v>740.00000000000011</v>
      </c>
    </row>
    <row r="333" spans="1:13">
      <c r="A333" s="31"/>
      <c r="B333" s="13" t="str">
        <f>Products!B1932</f>
        <v>А</v>
      </c>
      <c r="C333" s="171"/>
      <c r="D333" s="204">
        <f>Products!E1932</f>
        <v>2310</v>
      </c>
      <c r="E333" s="191">
        <f>Products!G1932</f>
        <v>2660.0000000000005</v>
      </c>
      <c r="F333" s="191">
        <f>Products!I1932</f>
        <v>2950</v>
      </c>
      <c r="G333" s="101"/>
      <c r="H333" s="232"/>
      <c r="I333" s="232"/>
      <c r="J333" s="232"/>
      <c r="K333" s="359"/>
      <c r="L333" s="356" t="str">
        <f>CONCATENATE(Products!B1940," ",Products!C1940)</f>
        <v xml:space="preserve">завіса Prestige (1 шт) </v>
      </c>
      <c r="M333" s="363">
        <f>Products!E1940</f>
        <v>260</v>
      </c>
    </row>
    <row r="334" spans="1:13">
      <c r="A334" s="31"/>
      <c r="B334" s="23" t="str">
        <f>Products!B1933</f>
        <v>Б</v>
      </c>
      <c r="C334" s="173"/>
      <c r="D334" s="201">
        <f>Products!E1933</f>
        <v>4630</v>
      </c>
      <c r="E334" s="195">
        <f>Products!G1933</f>
        <v>5150</v>
      </c>
      <c r="F334" s="195">
        <f>Products!I1933</f>
        <v>5320.0000000000009</v>
      </c>
      <c r="G334" s="101"/>
      <c r="H334" s="232"/>
      <c r="I334" s="232"/>
      <c r="J334" s="232"/>
      <c r="K334" s="359"/>
      <c r="L334" s="356" t="str">
        <f>CONCATENATE(Products!B1941," ",Products!C1941)</f>
        <v xml:space="preserve">накладка на завіси (1 к-т) </v>
      </c>
      <c r="M334" s="363">
        <f>Products!E1941</f>
        <v>80</v>
      </c>
    </row>
    <row r="335" spans="1:13">
      <c r="A335" s="31"/>
      <c r="B335" s="183"/>
      <c r="C335" s="184"/>
      <c r="D335" s="101"/>
      <c r="E335" s="101"/>
      <c r="F335" s="101"/>
      <c r="G335" s="101"/>
      <c r="H335" s="232"/>
      <c r="I335" s="232"/>
      <c r="J335" s="232"/>
      <c r="K335" s="359"/>
      <c r="L335" s="356" t="str">
        <f>CONCATENATE(Products!B1942," ",Products!C1942)</f>
        <v>ДСП трубчасте мод.A</v>
      </c>
      <c r="M335" s="369">
        <f>Products!E1942</f>
        <v>930</v>
      </c>
    </row>
    <row r="336" spans="1:13">
      <c r="C336" s="34"/>
      <c r="D336" s="34"/>
      <c r="E336" s="10"/>
      <c r="F336" s="31"/>
      <c r="G336" s="31"/>
      <c r="J336" s="367"/>
      <c r="K336" s="367"/>
      <c r="L336" s="367"/>
      <c r="M336" s="367"/>
    </row>
    <row r="337" spans="1:13" s="31" customFormat="1" ht="12.75" customHeight="1">
      <c r="B337" s="470" t="str">
        <f>TITLE!$C$37</f>
        <v>Розсувна система Verto-SLIDE</v>
      </c>
      <c r="C337" s="471"/>
      <c r="D337" s="471"/>
      <c r="E337" s="471"/>
      <c r="F337" s="178"/>
      <c r="G337" s="178"/>
      <c r="H337" s="178"/>
      <c r="I337" s="178"/>
      <c r="J337" s="357"/>
      <c r="K337" s="370"/>
      <c r="L337" s="370"/>
      <c r="M337" s="371"/>
    </row>
    <row r="338" spans="1:13" ht="24.75" customHeight="1">
      <c r="A338" s="31"/>
      <c r="B338" s="490" t="str">
        <f>Products!B1995</f>
        <v>(без полотна)</v>
      </c>
      <c r="C338" s="164" t="str">
        <f>Products!C1995</f>
        <v>покриття:</v>
      </c>
      <c r="D338" s="133" t="str">
        <f>Products!D1995</f>
        <v>SIMPL / V-CELL</v>
      </c>
      <c r="E338" s="175" t="str">
        <f>Products!F1995</f>
        <v>UNI-MAT</v>
      </c>
      <c r="F338" s="175" t="str">
        <f>Products!H1995</f>
        <v>RESIST</v>
      </c>
      <c r="G338" s="175" t="str">
        <f>Products!J1995</f>
        <v>Verto LINE-3D</v>
      </c>
      <c r="H338" s="175" t="str">
        <f>Products!L1995</f>
        <v>ЕКО Шпон / ЛОФТ</v>
      </c>
      <c r="I338" s="47"/>
      <c r="J338" s="47"/>
      <c r="K338" s="359"/>
      <c r="L338" s="356" t="str">
        <f>Products!B2001</f>
        <v>відповідна планка замка</v>
      </c>
      <c r="M338" s="388">
        <f>Products!E2001</f>
        <v>110</v>
      </c>
    </row>
    <row r="339" spans="1:13" ht="12.75" customHeight="1">
      <c r="A339" s="31"/>
      <c r="B339" s="491"/>
      <c r="C339" s="166" t="str">
        <f>Products!C1996</f>
        <v>виконання:</v>
      </c>
      <c r="D339" s="141" t="str">
        <f>Products!D1996</f>
        <v>одностулкове</v>
      </c>
      <c r="E339" s="169" t="str">
        <f>Products!F1996</f>
        <v>одностулкове</v>
      </c>
      <c r="F339" s="169" t="str">
        <f>Products!H1996</f>
        <v>одностулкове</v>
      </c>
      <c r="G339" s="169" t="str">
        <f>Products!J1996</f>
        <v>одностулкове</v>
      </c>
      <c r="H339" s="169" t="str">
        <f>Products!L1996</f>
        <v>одностулкове</v>
      </c>
      <c r="I339" s="47"/>
      <c r="J339" s="47"/>
      <c r="K339" s="46"/>
      <c r="L339" s="367"/>
      <c r="M339" s="367"/>
    </row>
    <row r="340" spans="1:13">
      <c r="A340" s="31"/>
      <c r="B340" s="49" t="str">
        <f>Products!B1997</f>
        <v>Розсувна система</v>
      </c>
      <c r="C340" s="50"/>
      <c r="D340" s="205">
        <f>Products!E1997</f>
        <v>3780</v>
      </c>
      <c r="E340" s="203">
        <f>Products!G1997</f>
        <v>3920</v>
      </c>
      <c r="F340" s="203">
        <f>Products!I1997</f>
        <v>4030</v>
      </c>
      <c r="G340" s="203">
        <f>Products!K1997</f>
        <v>4370</v>
      </c>
      <c r="H340" s="203">
        <f>Products!M1997</f>
        <v>4620</v>
      </c>
      <c r="I340" s="29"/>
      <c r="J340" s="29"/>
      <c r="K340" s="46"/>
      <c r="L340" s="367"/>
      <c r="M340" s="367"/>
    </row>
    <row r="341" spans="1:13">
      <c r="C341" s="34"/>
      <c r="D341" s="34"/>
      <c r="E341" s="34"/>
      <c r="J341" s="367"/>
      <c r="K341" s="367"/>
      <c r="L341" s="367"/>
      <c r="M341" s="367"/>
    </row>
    <row r="342" spans="1:13" s="31" customFormat="1" ht="12.75" customHeight="1">
      <c r="B342" s="470" t="str">
        <f>TITLE!$C$40</f>
        <v>Дверна коробка STANDARD</v>
      </c>
      <c r="C342" s="471"/>
      <c r="D342" s="471"/>
      <c r="E342" s="471"/>
      <c r="F342" s="307" t="str">
        <f>Products!E2052</f>
        <v>Для Дверних Полотен з Фальцем</v>
      </c>
      <c r="G342" s="178"/>
      <c r="H342" s="178"/>
      <c r="I342" s="178"/>
      <c r="J342" s="357"/>
      <c r="K342" s="357"/>
      <c r="L342" s="370"/>
      <c r="M342" s="371"/>
    </row>
    <row r="343" spans="1:13" ht="26.25" customHeight="1">
      <c r="A343" s="31"/>
      <c r="B343" s="472" t="str">
        <f>Products!B2054</f>
        <v>модель</v>
      </c>
      <c r="C343" s="164" t="str">
        <f>Products!C2054</f>
        <v>покриття:</v>
      </c>
      <c r="D343" s="431" t="str">
        <f>Products!D2054</f>
        <v>SIMPLEX / VERTO-CELL</v>
      </c>
      <c r="E343" s="432"/>
      <c r="F343" s="431" t="str">
        <f>Products!H2054</f>
        <v>UNI-MAT</v>
      </c>
      <c r="G343" s="432"/>
      <c r="H343" s="431" t="str">
        <f>Products!L2054</f>
        <v>RESIST</v>
      </c>
      <c r="I343" s="432"/>
      <c r="J343" s="431" t="str">
        <f>Products!P2054</f>
        <v>Verto LINE-3D</v>
      </c>
      <c r="K343" s="432"/>
      <c r="L343" s="431" t="str">
        <f>Products!T2054</f>
        <v>ЕКО Шпон / LOFT</v>
      </c>
      <c r="M343" s="432"/>
    </row>
    <row r="344" spans="1:13" ht="12.75" customHeight="1">
      <c r="A344" s="31"/>
      <c r="B344" s="472"/>
      <c r="C344" s="166" t="str">
        <f>Products!C2055</f>
        <v>виконання:</v>
      </c>
      <c r="D344" s="264" t="str">
        <f>Products!D2055</f>
        <v>одностулкове</v>
      </c>
      <c r="E344" s="272" t="str">
        <f>Products!F2055</f>
        <v>двостулкові</v>
      </c>
      <c r="F344" s="264" t="str">
        <f>Products!H2055</f>
        <v>одностулкове</v>
      </c>
      <c r="G344" s="272" t="str">
        <f>Products!J2055</f>
        <v>двостулкові</v>
      </c>
      <c r="H344" s="264" t="str">
        <f>Products!L2055</f>
        <v>одностулкове</v>
      </c>
      <c r="I344" s="272" t="str">
        <f>Products!N2055</f>
        <v>двостулкові</v>
      </c>
      <c r="J344" s="264" t="str">
        <f>Products!P2055</f>
        <v>одностулкове</v>
      </c>
      <c r="K344" s="272" t="str">
        <f>Products!R2055</f>
        <v>двостулкові</v>
      </c>
      <c r="L344" s="264" t="str">
        <f>Products!T2055</f>
        <v>одностулкове</v>
      </c>
      <c r="M344" s="272" t="str">
        <f>Products!V2055</f>
        <v>двостулкові</v>
      </c>
    </row>
    <row r="345" spans="1:13">
      <c r="A345" s="31"/>
      <c r="B345" s="13" t="str">
        <f>Products!B2056</f>
        <v>Коробка МДФ 80 мм</v>
      </c>
      <c r="C345" s="187"/>
      <c r="D345" s="265">
        <f>Products!E2056</f>
        <v>1830</v>
      </c>
      <c r="E345" s="266">
        <f>Products!G2056</f>
        <v>2560</v>
      </c>
      <c r="F345" s="265">
        <f>Products!I2056</f>
        <v>2070</v>
      </c>
      <c r="G345" s="266">
        <f>Products!K2056</f>
        <v>2890</v>
      </c>
      <c r="H345" s="265">
        <f>Products!M2056</f>
        <v>2150</v>
      </c>
      <c r="I345" s="265">
        <f>Products!O2056</f>
        <v>3010</v>
      </c>
      <c r="J345" s="389">
        <f>Products!Q2056</f>
        <v>2370</v>
      </c>
      <c r="K345" s="390">
        <f>Products!S2056</f>
        <v>3320.0000000000005</v>
      </c>
      <c r="L345" s="389">
        <f>Products!U2056</f>
        <v>2550</v>
      </c>
      <c r="M345" s="390">
        <f>Products!W2056</f>
        <v>3570</v>
      </c>
    </row>
    <row r="346" spans="1:13">
      <c r="A346" s="31"/>
      <c r="B346" s="23" t="str">
        <f>Products!B2057</f>
        <v>Коробка Дерев'яна 80 мм</v>
      </c>
      <c r="C346" s="297"/>
      <c r="D346" s="269">
        <f>Products!E2057</f>
        <v>2220</v>
      </c>
      <c r="E346" s="270">
        <f>Products!G2057</f>
        <v>3080.0000000000005</v>
      </c>
      <c r="F346" s="269">
        <f>Products!I2057</f>
        <v>2520</v>
      </c>
      <c r="G346" s="270">
        <f>Products!K2057</f>
        <v>3530.0000000000005</v>
      </c>
      <c r="H346" s="269">
        <f>Products!M2057</f>
        <v>2680</v>
      </c>
      <c r="I346" s="269">
        <f>Products!O2057</f>
        <v>3750</v>
      </c>
      <c r="J346" s="391">
        <f>Products!Q2057</f>
        <v>2940</v>
      </c>
      <c r="K346" s="392">
        <f>Products!S2057</f>
        <v>4110</v>
      </c>
      <c r="L346" s="391">
        <f>Products!U2057</f>
        <v>3240</v>
      </c>
      <c r="M346" s="392">
        <f>Products!W2057</f>
        <v>4530</v>
      </c>
    </row>
    <row r="347" spans="1:13" s="149" customFormat="1">
      <c r="B347" s="55" t="str">
        <f>Products!B2058</f>
        <v>ЛИШТВА</v>
      </c>
      <c r="C347" s="56"/>
      <c r="D347" s="207"/>
      <c r="E347" s="207"/>
      <c r="F347" s="207"/>
      <c r="G347" s="207"/>
      <c r="H347" s="208"/>
      <c r="I347" s="208"/>
      <c r="J347" s="208"/>
      <c r="K347" s="208"/>
      <c r="L347" s="208"/>
      <c r="M347" s="208"/>
    </row>
    <row r="348" spans="1:13">
      <c r="A348" s="31"/>
      <c r="B348" s="13" t="str">
        <f>Products!B2059</f>
        <v>Прямокутна (1 к-т) 60 мм</v>
      </c>
      <c r="C348" s="185"/>
      <c r="D348" s="265">
        <f>Products!E2059</f>
        <v>510</v>
      </c>
      <c r="E348" s="266">
        <f>Products!G2059</f>
        <v>660</v>
      </c>
      <c r="F348" s="265">
        <f>Products!I2059</f>
        <v>590</v>
      </c>
      <c r="G348" s="313">
        <f>Products!K2059</f>
        <v>760</v>
      </c>
      <c r="H348" s="265">
        <f>Products!M2059</f>
        <v>690</v>
      </c>
      <c r="I348" s="265">
        <f>Products!O2059</f>
        <v>890.00000000000011</v>
      </c>
      <c r="J348" s="389">
        <f>Products!Q2059</f>
        <v>790</v>
      </c>
      <c r="K348" s="390">
        <f>Products!S2059</f>
        <v>1030</v>
      </c>
      <c r="L348" s="389">
        <f>Products!U2059</f>
        <v>860.00000000000011</v>
      </c>
      <c r="M348" s="390">
        <f>Products!W2059</f>
        <v>1120</v>
      </c>
    </row>
    <row r="349" spans="1:13">
      <c r="A349" s="31"/>
      <c r="B349" s="23" t="str">
        <f>Products!B2060</f>
        <v>Прямокутна (1 к-т) 80 мм</v>
      </c>
      <c r="C349" s="186"/>
      <c r="D349" s="275">
        <f>Products!E2060</f>
        <v>600</v>
      </c>
      <c r="E349" s="196">
        <f>Products!G2060</f>
        <v>770.00000000000011</v>
      </c>
      <c r="F349" s="344">
        <f>Products!I2060</f>
        <v>700</v>
      </c>
      <c r="G349" s="270">
        <f>Products!K2060</f>
        <v>900</v>
      </c>
      <c r="H349" s="345">
        <f>Products!M2060</f>
        <v>850</v>
      </c>
      <c r="I349" s="345">
        <f>Products!O2060</f>
        <v>1100</v>
      </c>
      <c r="J349" s="393">
        <f>Products!Q2060</f>
        <v>970</v>
      </c>
      <c r="K349" s="394">
        <f>Products!S2060</f>
        <v>1250</v>
      </c>
      <c r="L349" s="393">
        <f>Products!U2060</f>
        <v>1040</v>
      </c>
      <c r="M349" s="394">
        <f>Products!W2060</f>
        <v>1350</v>
      </c>
    </row>
    <row r="350" spans="1:13" s="149" customFormat="1">
      <c r="B350" s="55" t="str">
        <f>Products!B2061</f>
        <v>ДОБІРНІ ПЛАНКИ</v>
      </c>
      <c r="C350" s="56"/>
      <c r="D350" s="207"/>
      <c r="E350" s="207"/>
      <c r="F350" s="207"/>
      <c r="G350" s="207"/>
      <c r="H350" s="208"/>
      <c r="I350" s="208"/>
      <c r="J350" s="208"/>
      <c r="K350" s="208"/>
      <c r="L350" s="208"/>
      <c r="M350" s="208"/>
    </row>
    <row r="351" spans="1:13">
      <c r="A351" s="31"/>
      <c r="B351" s="13" t="str">
        <f>Products!B2062</f>
        <v>Планка (1 к-т) 60 мм</v>
      </c>
      <c r="C351" s="185"/>
      <c r="D351" s="265">
        <f>Products!E2062</f>
        <v>510</v>
      </c>
      <c r="E351" s="266">
        <f>Products!G2062</f>
        <v>660</v>
      </c>
      <c r="F351" s="265">
        <f>Products!I2062</f>
        <v>590</v>
      </c>
      <c r="G351" s="313">
        <f>Products!K2062</f>
        <v>760</v>
      </c>
      <c r="H351" s="265">
        <f>Products!M2062</f>
        <v>690</v>
      </c>
      <c r="I351" s="265">
        <f>Products!O2062</f>
        <v>890.00000000000011</v>
      </c>
      <c r="J351" s="389">
        <f>Products!Q2062</f>
        <v>790</v>
      </c>
      <c r="K351" s="390">
        <f>Products!S2062</f>
        <v>1030</v>
      </c>
      <c r="L351" s="389">
        <f>Products!U2062</f>
        <v>860.00000000000011</v>
      </c>
      <c r="M351" s="390">
        <f>Products!W2062</f>
        <v>1120</v>
      </c>
    </row>
    <row r="352" spans="1:13">
      <c r="A352" s="31"/>
      <c r="B352" s="16" t="str">
        <f>Products!B2063</f>
        <v>Планка (1 к-т) 110 мм</v>
      </c>
      <c r="C352" s="188"/>
      <c r="D352" s="274">
        <f>Products!E2063</f>
        <v>790</v>
      </c>
      <c r="E352" s="194">
        <f>Products!G2063</f>
        <v>1030</v>
      </c>
      <c r="F352" s="312">
        <f>Products!I2063</f>
        <v>920.00000000000011</v>
      </c>
      <c r="G352" s="268">
        <f>Products!K2063</f>
        <v>1150</v>
      </c>
      <c r="H352" s="315">
        <f>Products!M2063</f>
        <v>1040</v>
      </c>
      <c r="I352" s="315">
        <f>Products!O2063</f>
        <v>1360.0000000000002</v>
      </c>
      <c r="J352" s="395">
        <f>Products!Q2063</f>
        <v>1220</v>
      </c>
      <c r="K352" s="396">
        <f>Products!S2063</f>
        <v>1590</v>
      </c>
      <c r="L352" s="395">
        <f>Products!U2063</f>
        <v>1310</v>
      </c>
      <c r="M352" s="396">
        <f>Products!W2063</f>
        <v>1710</v>
      </c>
    </row>
    <row r="353" spans="1:13">
      <c r="A353" s="31"/>
      <c r="B353" s="23" t="str">
        <f>Products!B2064</f>
        <v>Планка (1 к-т) 200 мм</v>
      </c>
      <c r="C353" s="297"/>
      <c r="D353" s="269">
        <f>Products!E2064</f>
        <v>1540.0000000000002</v>
      </c>
      <c r="E353" s="270">
        <f>Products!G2064</f>
        <v>2000</v>
      </c>
      <c r="F353" s="269">
        <f>Products!I2064</f>
        <v>1770</v>
      </c>
      <c r="G353" s="314">
        <f>Products!K2064</f>
        <v>2320</v>
      </c>
      <c r="H353" s="269">
        <f>Products!M2064</f>
        <v>2100</v>
      </c>
      <c r="I353" s="269">
        <f>Products!O2064</f>
        <v>2740</v>
      </c>
      <c r="J353" s="391">
        <f>Products!Q2064</f>
        <v>2420</v>
      </c>
      <c r="K353" s="392">
        <f>Products!S2064</f>
        <v>3150</v>
      </c>
      <c r="L353" s="391">
        <f>Products!U2064</f>
        <v>2590</v>
      </c>
      <c r="M353" s="392">
        <f>Products!W2064</f>
        <v>3360</v>
      </c>
    </row>
    <row r="354" spans="1:13">
      <c r="C354" s="34"/>
      <c r="D354" s="34"/>
      <c r="E354" s="10"/>
      <c r="F354" s="31"/>
      <c r="G354" s="31"/>
      <c r="H354" s="149"/>
      <c r="I354" s="149"/>
      <c r="J354" s="397"/>
      <c r="K354" s="397"/>
      <c r="L354" s="367"/>
      <c r="M354" s="367"/>
    </row>
    <row r="355" spans="1:13">
      <c r="B355" s="234"/>
      <c r="C355" s="240" t="str">
        <f>Products!B2068</f>
        <v>третя завіса</v>
      </c>
      <c r="D355" s="191">
        <f>Products!E2068</f>
        <v>80</v>
      </c>
      <c r="E355" s="10"/>
      <c r="F355" s="31"/>
      <c r="G355" s="31"/>
      <c r="H355" s="149"/>
      <c r="I355" s="149"/>
      <c r="J355" s="397"/>
      <c r="K355" s="397"/>
      <c r="L355" s="367"/>
      <c r="M355" s="367"/>
    </row>
    <row r="356" spans="1:13">
      <c r="B356" s="234"/>
      <c r="C356" s="240" t="str">
        <f>Products!B2069</f>
        <v>поріг сосновий</v>
      </c>
      <c r="D356" s="195">
        <f>Products!E2069</f>
        <v>550</v>
      </c>
      <c r="E356" s="10"/>
      <c r="F356" s="31"/>
      <c r="G356" s="31"/>
      <c r="H356" s="149"/>
      <c r="I356" s="149"/>
      <c r="J356" s="397"/>
      <c r="K356" s="397"/>
      <c r="L356" s="367"/>
      <c r="M356" s="367"/>
    </row>
    <row r="357" spans="1:13">
      <c r="C357" s="34"/>
      <c r="D357" s="34"/>
      <c r="E357" s="10"/>
      <c r="F357" s="31"/>
      <c r="G357" s="31"/>
      <c r="H357" s="149"/>
      <c r="I357" s="149"/>
      <c r="J357" s="397"/>
      <c r="K357" s="397"/>
      <c r="L357" s="367"/>
      <c r="M357" s="367"/>
    </row>
    <row r="358" spans="1:13" s="31" customFormat="1">
      <c r="B358" s="470" t="str">
        <f>TITLE!$C$41</f>
        <v>Дверна коробка Verto-FIT</v>
      </c>
      <c r="C358" s="471"/>
      <c r="D358" s="471"/>
      <c r="E358" s="471"/>
      <c r="F358" s="307" t="str">
        <f>Products!E2120</f>
        <v>Для Дверних Полотен с Фальцем</v>
      </c>
      <c r="G358" s="178"/>
      <c r="H358" s="178"/>
      <c r="I358" s="178"/>
      <c r="J358" s="357"/>
      <c r="K358" s="357"/>
      <c r="L358" s="370"/>
      <c r="M358" s="371"/>
    </row>
    <row r="359" spans="1:13" ht="26.25" customHeight="1">
      <c r="A359" s="31"/>
      <c r="B359" s="472" t="str">
        <f>Products!B2122</f>
        <v>модель</v>
      </c>
      <c r="C359" s="164" t="str">
        <f>Products!C2122</f>
        <v>покриття:</v>
      </c>
      <c r="D359" s="431" t="str">
        <f>Products!D2122</f>
        <v xml:space="preserve">SIMPLEX / VERTO-CELL </v>
      </c>
      <c r="E359" s="432"/>
      <c r="F359" s="431" t="str">
        <f>Products!H2122</f>
        <v>UNI-MAT</v>
      </c>
      <c r="G359" s="432"/>
      <c r="H359" s="431" t="str">
        <f>Products!L2122</f>
        <v>RESIST</v>
      </c>
      <c r="I359" s="432"/>
      <c r="J359" s="431" t="str">
        <f>Products!P2122</f>
        <v>Verto LINE-3D</v>
      </c>
      <c r="K359" s="432"/>
      <c r="L359" s="431" t="str">
        <f>Products!T2122</f>
        <v>ЕКО Шпон / LOFT</v>
      </c>
      <c r="M359" s="432"/>
    </row>
    <row r="360" spans="1:13" ht="12.75" customHeight="1">
      <c r="A360" s="31"/>
      <c r="B360" s="473"/>
      <c r="C360" s="166" t="str">
        <f>Products!C2123</f>
        <v>виконання:</v>
      </c>
      <c r="D360" s="264" t="str">
        <f>Products!D2123</f>
        <v>одностулкове</v>
      </c>
      <c r="E360" s="272" t="str">
        <f>Products!F2123</f>
        <v>двостулкові</v>
      </c>
      <c r="F360" s="264" t="str">
        <f>Products!H2123</f>
        <v>одностулкове</v>
      </c>
      <c r="G360" s="272" t="str">
        <f>Products!J2123</f>
        <v>двостулкові</v>
      </c>
      <c r="H360" s="264" t="str">
        <f>Products!L2123</f>
        <v>одностулкове</v>
      </c>
      <c r="I360" s="264" t="str">
        <f>Products!N2123</f>
        <v>двостулкові</v>
      </c>
      <c r="J360" s="264" t="str">
        <f>Products!P2123</f>
        <v>одностулкове</v>
      </c>
      <c r="K360" s="272" t="str">
        <f>Products!R2123</f>
        <v>двостулкові</v>
      </c>
      <c r="L360" s="264" t="str">
        <f>Products!T2123</f>
        <v>одностулкове</v>
      </c>
      <c r="M360" s="272" t="str">
        <f>Products!V2123</f>
        <v>двостулкові</v>
      </c>
    </row>
    <row r="361" spans="1:13">
      <c r="A361" s="31"/>
      <c r="B361" s="13" t="str">
        <f>Products!B2124</f>
        <v>A (75 - 95 мм)</v>
      </c>
      <c r="C361" s="187"/>
      <c r="D361" s="265">
        <f>Products!E2124</f>
        <v>2980</v>
      </c>
      <c r="E361" s="266">
        <f>Products!G2124</f>
        <v>4170</v>
      </c>
      <c r="F361" s="265">
        <f>Products!I2124</f>
        <v>3440.0000000000005</v>
      </c>
      <c r="G361" s="266">
        <f>Products!K2124</f>
        <v>4820</v>
      </c>
      <c r="H361" s="265">
        <f>Products!M2124</f>
        <v>3570</v>
      </c>
      <c r="I361" s="265">
        <f>Products!O2124</f>
        <v>4990.0000000000009</v>
      </c>
      <c r="J361" s="389">
        <f>Products!Q2124</f>
        <v>3800</v>
      </c>
      <c r="K361" s="390">
        <f>Products!S2124</f>
        <v>5320.0000000000009</v>
      </c>
      <c r="L361" s="389">
        <f>Products!U2124</f>
        <v>4060</v>
      </c>
      <c r="M361" s="390">
        <f>Products!W2124</f>
        <v>5980.0000000000009</v>
      </c>
    </row>
    <row r="362" spans="1:13">
      <c r="A362" s="31"/>
      <c r="B362" s="16" t="str">
        <f>Products!B2125</f>
        <v>B (95 - 115 мм)</v>
      </c>
      <c r="C362" s="188"/>
      <c r="D362" s="267">
        <f>Products!E2125</f>
        <v>3160</v>
      </c>
      <c r="E362" s="268">
        <f>Products!G2125</f>
        <v>4420</v>
      </c>
      <c r="F362" s="267">
        <f>Products!I2125</f>
        <v>3640</v>
      </c>
      <c r="G362" s="268">
        <f>Products!K2125</f>
        <v>5100</v>
      </c>
      <c r="H362" s="267">
        <f>Products!M2125</f>
        <v>3800</v>
      </c>
      <c r="I362" s="267">
        <f>Products!O2125</f>
        <v>5310</v>
      </c>
      <c r="J362" s="398">
        <f>Products!Q2125</f>
        <v>4020</v>
      </c>
      <c r="K362" s="399">
        <f>Products!S2125</f>
        <v>5620.0000000000009</v>
      </c>
      <c r="L362" s="398">
        <f>Products!U2125</f>
        <v>4300</v>
      </c>
      <c r="M362" s="399">
        <f>Products!W2125</f>
        <v>6020</v>
      </c>
    </row>
    <row r="363" spans="1:13">
      <c r="A363" s="31"/>
      <c r="B363" s="16" t="str">
        <f>Products!B2126</f>
        <v>B+ (100 - 120 мм)</v>
      </c>
      <c r="C363" s="188"/>
      <c r="D363" s="267">
        <f>Products!E2126</f>
        <v>3280</v>
      </c>
      <c r="E363" s="268">
        <f>Products!G2126</f>
        <v>4590</v>
      </c>
      <c r="F363" s="267">
        <f>Products!I2126</f>
        <v>3760</v>
      </c>
      <c r="G363" s="268">
        <f>Products!K2126</f>
        <v>5270</v>
      </c>
      <c r="H363" s="267">
        <f>Products!M2126</f>
        <v>3910</v>
      </c>
      <c r="I363" s="267">
        <f>Products!O2126</f>
        <v>5470.0000000000009</v>
      </c>
      <c r="J363" s="398">
        <f>Products!Q2126</f>
        <v>4140</v>
      </c>
      <c r="K363" s="399">
        <f>Products!S2126</f>
        <v>5790</v>
      </c>
      <c r="L363" s="398">
        <f>Products!U2126</f>
        <v>4420</v>
      </c>
      <c r="M363" s="399">
        <f>Products!W2126</f>
        <v>6180</v>
      </c>
    </row>
    <row r="364" spans="1:13">
      <c r="A364" s="31"/>
      <c r="B364" s="16" t="str">
        <f>Products!B2127</f>
        <v>C (120 - 140 мм)</v>
      </c>
      <c r="C364" s="188"/>
      <c r="D364" s="267">
        <f>Products!E2127</f>
        <v>3370</v>
      </c>
      <c r="E364" s="268">
        <f>Products!G2127</f>
        <v>4720</v>
      </c>
      <c r="F364" s="267">
        <f>Products!I2127</f>
        <v>3880</v>
      </c>
      <c r="G364" s="268">
        <f>Products!K2127</f>
        <v>5430</v>
      </c>
      <c r="H364" s="267">
        <f>Products!M2127</f>
        <v>4000</v>
      </c>
      <c r="I364" s="267">
        <f>Products!O2127</f>
        <v>5610</v>
      </c>
      <c r="J364" s="398">
        <f>Products!Q2127</f>
        <v>4250</v>
      </c>
      <c r="K364" s="399">
        <f>Products!S2127</f>
        <v>5950.0000000000009</v>
      </c>
      <c r="L364" s="398">
        <f>Products!U2127</f>
        <v>4550</v>
      </c>
      <c r="M364" s="399">
        <f>Products!W2127</f>
        <v>6360</v>
      </c>
    </row>
    <row r="365" spans="1:13">
      <c r="A365" s="31"/>
      <c r="B365" s="16" t="str">
        <f>Products!B2128</f>
        <v>D (140 - 160 мм)</v>
      </c>
      <c r="C365" s="188"/>
      <c r="D365" s="267">
        <f>Products!E2128</f>
        <v>3550</v>
      </c>
      <c r="E365" s="268">
        <f>Products!G2128</f>
        <v>4970</v>
      </c>
      <c r="F365" s="267">
        <f>Products!I2128</f>
        <v>4080</v>
      </c>
      <c r="G365" s="268">
        <f>Products!K2128</f>
        <v>5710.0000000000009</v>
      </c>
      <c r="H365" s="267">
        <f>Products!M2128</f>
        <v>4230</v>
      </c>
      <c r="I365" s="267">
        <f>Products!O2128</f>
        <v>5920.0000000000009</v>
      </c>
      <c r="J365" s="398">
        <f>Products!Q2128</f>
        <v>4490</v>
      </c>
      <c r="K365" s="399">
        <f>Products!S2128</f>
        <v>6290</v>
      </c>
      <c r="L365" s="398">
        <f>Products!U2128</f>
        <v>4780</v>
      </c>
      <c r="M365" s="399">
        <f>Products!W2128</f>
        <v>6690</v>
      </c>
    </row>
    <row r="366" spans="1:13">
      <c r="A366" s="31"/>
      <c r="B366" s="16" t="str">
        <f>Products!B2129</f>
        <v>E (160 - 180 мм)</v>
      </c>
      <c r="C366" s="188"/>
      <c r="D366" s="267">
        <f>Products!E2129</f>
        <v>3730</v>
      </c>
      <c r="E366" s="268">
        <f>Products!G2129</f>
        <v>5220</v>
      </c>
      <c r="F366" s="267">
        <f>Products!I2129</f>
        <v>4300</v>
      </c>
      <c r="G366" s="268">
        <f>Products!K2129</f>
        <v>6020</v>
      </c>
      <c r="H366" s="267">
        <f>Products!M2129</f>
        <v>4430</v>
      </c>
      <c r="I366" s="267">
        <f>Products!O2129</f>
        <v>6210</v>
      </c>
      <c r="J366" s="398">
        <f>Products!Q2129</f>
        <v>4720</v>
      </c>
      <c r="K366" s="399">
        <f>Products!S2129</f>
        <v>6610.0000000000009</v>
      </c>
      <c r="L366" s="398">
        <f>Products!U2129</f>
        <v>5030</v>
      </c>
      <c r="M366" s="399">
        <f>Products!W2129</f>
        <v>7040</v>
      </c>
    </row>
    <row r="367" spans="1:13">
      <c r="A367" s="31"/>
      <c r="B367" s="16" t="str">
        <f>Products!B2130</f>
        <v>F (180 - 200 мм)</v>
      </c>
      <c r="C367" s="188"/>
      <c r="D367" s="267">
        <f>Products!E2130</f>
        <v>3920</v>
      </c>
      <c r="E367" s="268">
        <f>Products!G2130</f>
        <v>5490</v>
      </c>
      <c r="F367" s="267">
        <f>Products!I2130</f>
        <v>4510</v>
      </c>
      <c r="G367" s="268">
        <f>Products!K2130</f>
        <v>6300</v>
      </c>
      <c r="H367" s="267">
        <f>Products!M2130</f>
        <v>4660</v>
      </c>
      <c r="I367" s="267">
        <f>Products!O2130</f>
        <v>6520.0000000000009</v>
      </c>
      <c r="J367" s="398">
        <f>Products!Q2130</f>
        <v>4940</v>
      </c>
      <c r="K367" s="399">
        <f>Products!S2130</f>
        <v>6920</v>
      </c>
      <c r="L367" s="398">
        <f>Products!U2130</f>
        <v>5280</v>
      </c>
      <c r="M367" s="399">
        <f>Products!W2130</f>
        <v>7390</v>
      </c>
    </row>
    <row r="368" spans="1:13">
      <c r="A368" s="31"/>
      <c r="B368" s="16" t="str">
        <f>Products!B2131</f>
        <v>G (200 - 220 мм)</v>
      </c>
      <c r="C368" s="188"/>
      <c r="D368" s="267">
        <f>Products!E2131</f>
        <v>4100</v>
      </c>
      <c r="E368" s="268">
        <f>Products!G2131</f>
        <v>5740.0000000000009</v>
      </c>
      <c r="F368" s="267">
        <f>Products!I2131</f>
        <v>4730</v>
      </c>
      <c r="G368" s="268">
        <f>Products!K2131</f>
        <v>6610.0000000000009</v>
      </c>
      <c r="H368" s="267">
        <f>Products!M2131</f>
        <v>4890</v>
      </c>
      <c r="I368" s="267">
        <f>Products!O2131</f>
        <v>6840</v>
      </c>
      <c r="J368" s="398">
        <f>Products!Q2131</f>
        <v>5180</v>
      </c>
      <c r="K368" s="399">
        <f>Products!S2131</f>
        <v>7250</v>
      </c>
      <c r="L368" s="398">
        <f>Products!U2131</f>
        <v>5520</v>
      </c>
      <c r="M368" s="399">
        <f>Products!W2131</f>
        <v>7720</v>
      </c>
    </row>
    <row r="369" spans="1:13">
      <c r="A369" s="31"/>
      <c r="B369" s="16" t="str">
        <f>Products!B2132</f>
        <v>H (220 - 240 мм)</v>
      </c>
      <c r="C369" s="188"/>
      <c r="D369" s="267">
        <f>Products!E2132</f>
        <v>4290</v>
      </c>
      <c r="E369" s="268">
        <f>Products!G2132</f>
        <v>6000</v>
      </c>
      <c r="F369" s="267">
        <f>Products!I2132</f>
        <v>4940</v>
      </c>
      <c r="G369" s="268">
        <f>Products!K2132</f>
        <v>6920</v>
      </c>
      <c r="H369" s="267">
        <f>Products!M2132</f>
        <v>5090</v>
      </c>
      <c r="I369" s="267">
        <f>Products!O2132</f>
        <v>7120.0000000000009</v>
      </c>
      <c r="J369" s="398">
        <f>Products!Q2132</f>
        <v>5420</v>
      </c>
      <c r="K369" s="399">
        <f>Products!S2132</f>
        <v>7570</v>
      </c>
      <c r="L369" s="398">
        <f>Products!U2132</f>
        <v>5770.0000000000009</v>
      </c>
      <c r="M369" s="399">
        <f>Products!W2132</f>
        <v>8070</v>
      </c>
    </row>
    <row r="370" spans="1:13" s="149" customFormat="1">
      <c r="A370" s="31"/>
      <c r="B370" s="23" t="str">
        <f>Products!B2133</f>
        <v>I (240 - 260 мм)</v>
      </c>
      <c r="C370" s="186"/>
      <c r="D370" s="269">
        <f>Products!E2133</f>
        <v>4490</v>
      </c>
      <c r="E370" s="270">
        <f>Products!G2133</f>
        <v>6290</v>
      </c>
      <c r="F370" s="269">
        <f>Products!I2133</f>
        <v>5170.0000000000009</v>
      </c>
      <c r="G370" s="270">
        <f>Products!K2133</f>
        <v>7240.0000000000009</v>
      </c>
      <c r="H370" s="269">
        <f>Products!M2133</f>
        <v>5300</v>
      </c>
      <c r="I370" s="269">
        <f>Products!O2133</f>
        <v>7430</v>
      </c>
      <c r="J370" s="391">
        <f>Products!Q2133</f>
        <v>5640</v>
      </c>
      <c r="K370" s="392">
        <f>Products!S2133</f>
        <v>7900</v>
      </c>
      <c r="L370" s="391">
        <f>Products!U2133</f>
        <v>6020</v>
      </c>
      <c r="M370" s="392">
        <f>Products!W2133</f>
        <v>8420</v>
      </c>
    </row>
    <row r="371" spans="1:13">
      <c r="A371" s="149"/>
      <c r="B371" s="55" t="str">
        <f>Products!B2134</f>
        <v>ПЛАНКИ РЕГУЛЮВАЛЬНІ</v>
      </c>
      <c r="C371" s="56"/>
      <c r="D371" s="488" t="str">
        <f>Products!E2134</f>
        <v>Для Дверних Коробок Verto-FIT, Verto-FIT  Plus</v>
      </c>
      <c r="E371" s="488"/>
      <c r="F371" s="488"/>
      <c r="G371" s="488"/>
      <c r="H371" s="208"/>
      <c r="I371" s="208"/>
      <c r="J371" s="208"/>
      <c r="K371" s="208"/>
      <c r="L371" s="400"/>
      <c r="M371" s="400"/>
    </row>
    <row r="372" spans="1:13">
      <c r="A372" s="31"/>
      <c r="B372" s="13" t="str">
        <f>Products!B2135</f>
        <v>Планка (1 к-т) 80 мм</v>
      </c>
      <c r="C372" s="185"/>
      <c r="D372" s="265">
        <f>Products!E2135</f>
        <v>1060</v>
      </c>
      <c r="E372" s="266">
        <f>Products!G2135</f>
        <v>1380</v>
      </c>
      <c r="F372" s="265">
        <f>Products!I2135</f>
        <v>1230</v>
      </c>
      <c r="G372" s="313">
        <f>Products!K2135</f>
        <v>1610</v>
      </c>
      <c r="H372" s="265">
        <f>Products!M2135</f>
        <v>1290</v>
      </c>
      <c r="I372" s="265">
        <f>Products!O2135</f>
        <v>1690.0000000000002</v>
      </c>
      <c r="J372" s="389">
        <f>Products!Q2135</f>
        <v>1400</v>
      </c>
      <c r="K372" s="390">
        <f>Products!S2135</f>
        <v>1820</v>
      </c>
      <c r="L372" s="389">
        <f>Products!U2135</f>
        <v>1470</v>
      </c>
      <c r="M372" s="390">
        <f>Products!W2135</f>
        <v>1910</v>
      </c>
    </row>
    <row r="373" spans="1:13">
      <c r="A373" s="31"/>
      <c r="B373" s="16" t="str">
        <f>Products!B2136</f>
        <v>Планка (1 к-т) 160 мм</v>
      </c>
      <c r="C373" s="188"/>
      <c r="D373" s="274">
        <f>Products!E2136</f>
        <v>1810.0000000000002</v>
      </c>
      <c r="E373" s="194">
        <f>Products!G2136</f>
        <v>2350</v>
      </c>
      <c r="F373" s="312">
        <f>Products!I2136</f>
        <v>2090</v>
      </c>
      <c r="G373" s="268">
        <f>Products!K2136</f>
        <v>2730</v>
      </c>
      <c r="H373" s="315">
        <f>Products!M2136</f>
        <v>2230</v>
      </c>
      <c r="I373" s="315">
        <f>Products!O2136</f>
        <v>2890</v>
      </c>
      <c r="J373" s="395">
        <f>Products!Q2136</f>
        <v>2360</v>
      </c>
      <c r="K373" s="396">
        <f>Products!S2136</f>
        <v>3090</v>
      </c>
      <c r="L373" s="395">
        <f>Products!U2136</f>
        <v>2560</v>
      </c>
      <c r="M373" s="396">
        <f>Products!W2136</f>
        <v>3310</v>
      </c>
    </row>
    <row r="374" spans="1:13">
      <c r="A374" s="31"/>
      <c r="B374" s="23" t="str">
        <f>Products!B2137</f>
        <v>Планка (1 к-т) 200 мм</v>
      </c>
      <c r="C374" s="297"/>
      <c r="D374" s="269">
        <f>Products!E2137</f>
        <v>2200</v>
      </c>
      <c r="E374" s="270">
        <f>Products!G2137</f>
        <v>2860</v>
      </c>
      <c r="F374" s="269">
        <f>Products!I2137</f>
        <v>2540.0000000000005</v>
      </c>
      <c r="G374" s="314">
        <f>Products!K2137</f>
        <v>3300</v>
      </c>
      <c r="H374" s="269">
        <f>Products!M2137</f>
        <v>2730</v>
      </c>
      <c r="I374" s="269">
        <f>Products!O2137</f>
        <v>3540</v>
      </c>
      <c r="J374" s="391">
        <f>Products!Q2137</f>
        <v>2870.0000000000005</v>
      </c>
      <c r="K374" s="392">
        <f>Products!S2137</f>
        <v>3730</v>
      </c>
      <c r="L374" s="391">
        <f>Products!U2137</f>
        <v>3120</v>
      </c>
      <c r="M374" s="392">
        <f>Products!W2137</f>
        <v>4060</v>
      </c>
    </row>
    <row r="375" spans="1:13">
      <c r="C375" s="34"/>
      <c r="D375" s="241"/>
      <c r="E375" s="241"/>
      <c r="F375" s="242"/>
      <c r="G375" s="242"/>
      <c r="H375" s="243"/>
      <c r="I375" s="243"/>
      <c r="J375" s="401"/>
      <c r="K375" s="401"/>
      <c r="L375" s="402"/>
      <c r="M375" s="402"/>
    </row>
    <row r="376" spans="1:13">
      <c r="B376" s="234"/>
      <c r="C376" s="240" t="str">
        <f>Products!B2141</f>
        <v>третя завіса</v>
      </c>
      <c r="D376" s="203">
        <f>Products!E2141</f>
        <v>80</v>
      </c>
      <c r="E376" s="34"/>
      <c r="H376" s="149"/>
      <c r="I376" s="149"/>
      <c r="J376" s="397"/>
      <c r="K376" s="397"/>
      <c r="L376" s="367"/>
      <c r="M376" s="367"/>
    </row>
    <row r="377" spans="1:13" s="31" customFormat="1">
      <c r="A377" s="33"/>
      <c r="B377" s="33"/>
      <c r="C377" s="34"/>
      <c r="D377" s="34"/>
      <c r="E377" s="34"/>
      <c r="F377" s="33"/>
      <c r="G377" s="33"/>
      <c r="H377" s="149"/>
      <c r="I377" s="149"/>
      <c r="J377" s="397"/>
      <c r="K377" s="397"/>
      <c r="L377" s="367"/>
      <c r="M377" s="367"/>
    </row>
    <row r="378" spans="1:13">
      <c r="A378" s="31"/>
      <c r="B378" s="470" t="str">
        <f>TITLE!$C$42</f>
        <v>Дверна коробка Verto-FIT Plus</v>
      </c>
      <c r="C378" s="471"/>
      <c r="D378" s="471"/>
      <c r="E378" s="471"/>
      <c r="F378" s="307" t="str">
        <f>Products!E2192</f>
        <v>Для Дверних Полотен с Фальцем</v>
      </c>
      <c r="G378" s="178"/>
      <c r="H378" s="178"/>
      <c r="I378" s="178"/>
      <c r="J378" s="357"/>
      <c r="K378" s="357"/>
      <c r="L378" s="370"/>
      <c r="M378" s="371"/>
    </row>
    <row r="379" spans="1:13" ht="27" customHeight="1">
      <c r="A379" s="31"/>
      <c r="B379" s="472" t="str">
        <f>Products!B2194</f>
        <v>модель</v>
      </c>
      <c r="C379" s="164" t="str">
        <f>Products!C2194</f>
        <v>покриття:</v>
      </c>
      <c r="D379" s="431" t="str">
        <f>Products!D2194</f>
        <v>SIMPLEX / VERTO-CELL</v>
      </c>
      <c r="E379" s="432"/>
      <c r="F379" s="431" t="str">
        <f>Products!H2194</f>
        <v>UNI-MAT</v>
      </c>
      <c r="G379" s="432"/>
      <c r="H379" s="431" t="str">
        <f>Products!L2194</f>
        <v>RESIST</v>
      </c>
      <c r="I379" s="432"/>
      <c r="J379" s="431" t="str">
        <f>Products!P2194</f>
        <v>Verto LINE-3D</v>
      </c>
      <c r="K379" s="432"/>
      <c r="L379" s="431" t="str">
        <f>Products!T2194</f>
        <v>ЕКО Шпон / LOFT</v>
      </c>
      <c r="M379" s="432"/>
    </row>
    <row r="380" spans="1:13">
      <c r="A380" s="31"/>
      <c r="B380" s="473"/>
      <c r="C380" s="166" t="str">
        <f>Products!C2195</f>
        <v>виконання:</v>
      </c>
      <c r="D380" s="264" t="str">
        <f>Products!D2195</f>
        <v>одностулкове</v>
      </c>
      <c r="E380" s="272" t="str">
        <f>Products!F2195</f>
        <v>двостулкові</v>
      </c>
      <c r="F380" s="264" t="str">
        <f>Products!H2195</f>
        <v>одностулкове</v>
      </c>
      <c r="G380" s="272" t="str">
        <f>Products!J2195</f>
        <v>двостулкові</v>
      </c>
      <c r="H380" s="264" t="str">
        <f>Products!L2195</f>
        <v>одностулкове</v>
      </c>
      <c r="I380" s="264" t="str">
        <f>Products!N2195</f>
        <v>двостулкові</v>
      </c>
      <c r="J380" s="264" t="str">
        <f>Products!P2195</f>
        <v>одностулкове</v>
      </c>
      <c r="K380" s="272" t="str">
        <f>Products!R2195</f>
        <v>двостулкові</v>
      </c>
      <c r="L380" s="264" t="str">
        <f>Products!T2195</f>
        <v>одностулкове</v>
      </c>
      <c r="M380" s="272" t="str">
        <f>Products!V2195</f>
        <v>двостулкові</v>
      </c>
    </row>
    <row r="381" spans="1:13">
      <c r="A381" s="31"/>
      <c r="B381" s="13" t="str">
        <f>Products!B2196</f>
        <v>A (75 - 95 мм)</v>
      </c>
      <c r="C381" s="187"/>
      <c r="D381" s="265">
        <f>Products!E2196</f>
        <v>3320.0000000000005</v>
      </c>
      <c r="E381" s="266">
        <f>Products!G2196</f>
        <v>4660</v>
      </c>
      <c r="F381" s="265">
        <f>Products!I2196</f>
        <v>3820</v>
      </c>
      <c r="G381" s="266">
        <f>Products!K2196</f>
        <v>5350.0000000000009</v>
      </c>
      <c r="H381" s="265">
        <f>Products!M2196</f>
        <v>4060</v>
      </c>
      <c r="I381" s="265">
        <f>Products!O2196</f>
        <v>5690</v>
      </c>
      <c r="J381" s="389">
        <f>Products!Q2196</f>
        <v>4340</v>
      </c>
      <c r="K381" s="390">
        <f>Products!S2196</f>
        <v>6080</v>
      </c>
      <c r="L381" s="389">
        <f>Products!U2196</f>
        <v>4660</v>
      </c>
      <c r="M381" s="390">
        <f>Products!W2196</f>
        <v>6520.0000000000009</v>
      </c>
    </row>
    <row r="382" spans="1:13">
      <c r="A382" s="31"/>
      <c r="B382" s="16" t="str">
        <f>Products!B2197</f>
        <v>B (95 - 115 мм)</v>
      </c>
      <c r="C382" s="188"/>
      <c r="D382" s="267">
        <f>Products!E2197</f>
        <v>3500.0000000000005</v>
      </c>
      <c r="E382" s="268">
        <f>Products!G2197</f>
        <v>4900</v>
      </c>
      <c r="F382" s="267">
        <f>Products!I2197</f>
        <v>4040</v>
      </c>
      <c r="G382" s="268">
        <f>Products!K2197</f>
        <v>5650.0000000000009</v>
      </c>
      <c r="H382" s="267">
        <f>Products!M2197</f>
        <v>4270</v>
      </c>
      <c r="I382" s="267">
        <f>Products!O2197</f>
        <v>5980.0000000000009</v>
      </c>
      <c r="J382" s="398">
        <f>Products!Q2197</f>
        <v>4580</v>
      </c>
      <c r="K382" s="399">
        <f>Products!S2197</f>
        <v>6410</v>
      </c>
      <c r="L382" s="398">
        <f>Products!U2197</f>
        <v>4890</v>
      </c>
      <c r="M382" s="399">
        <f>Products!W2197</f>
        <v>6850.0000000000009</v>
      </c>
    </row>
    <row r="383" spans="1:13">
      <c r="A383" s="31"/>
      <c r="B383" s="16" t="str">
        <f>Products!B2198</f>
        <v>B+ (100 - 120 мм)</v>
      </c>
      <c r="C383" s="188"/>
      <c r="D383" s="267">
        <f>Products!E2198</f>
        <v>3600</v>
      </c>
      <c r="E383" s="268">
        <f>Products!G2198</f>
        <v>5050.0000000000009</v>
      </c>
      <c r="F383" s="267">
        <f>Products!I2198</f>
        <v>4150</v>
      </c>
      <c r="G383" s="268">
        <f>Products!K2198</f>
        <v>5810</v>
      </c>
      <c r="H383" s="267">
        <f>Products!M2198</f>
        <v>4390</v>
      </c>
      <c r="I383" s="267">
        <f>Products!O2198</f>
        <v>6140</v>
      </c>
      <c r="J383" s="398">
        <f>Products!Q2198</f>
        <v>4680</v>
      </c>
      <c r="K383" s="399">
        <f>Products!S2198</f>
        <v>6540</v>
      </c>
      <c r="L383" s="398">
        <f>Products!U2198</f>
        <v>5020.0000000000009</v>
      </c>
      <c r="M383" s="399">
        <f>Products!W2198</f>
        <v>7030.0000000000009</v>
      </c>
    </row>
    <row r="384" spans="1:13">
      <c r="A384" s="31"/>
      <c r="B384" s="16" t="str">
        <f>Products!B2199</f>
        <v>C (120 - 140 мм)</v>
      </c>
      <c r="C384" s="188"/>
      <c r="D384" s="267">
        <f>Products!E2199</f>
        <v>3690</v>
      </c>
      <c r="E384" s="268">
        <f>Products!G2199</f>
        <v>5150</v>
      </c>
      <c r="F384" s="267">
        <f>Products!I2199</f>
        <v>4240</v>
      </c>
      <c r="G384" s="268">
        <f>Products!K2199</f>
        <v>5940</v>
      </c>
      <c r="H384" s="267">
        <f>Products!M2199</f>
        <v>4490</v>
      </c>
      <c r="I384" s="267">
        <f>Products!O2199</f>
        <v>6290</v>
      </c>
      <c r="J384" s="398">
        <f>Products!Q2199</f>
        <v>4800</v>
      </c>
      <c r="K384" s="399">
        <f>Products!S2199</f>
        <v>6720</v>
      </c>
      <c r="L384" s="398">
        <f>Products!U2199</f>
        <v>5150</v>
      </c>
      <c r="M384" s="399">
        <f>Products!W2199</f>
        <v>7210.0000000000009</v>
      </c>
    </row>
    <row r="385" spans="1:13">
      <c r="A385" s="31"/>
      <c r="B385" s="16" t="str">
        <f>Products!B2200</f>
        <v>D (140 - 160 мм)</v>
      </c>
      <c r="C385" s="188"/>
      <c r="D385" s="267">
        <f>Products!E2200</f>
        <v>3890</v>
      </c>
      <c r="E385" s="268">
        <f>Products!G2200</f>
        <v>5450</v>
      </c>
      <c r="F385" s="267">
        <f>Products!I2200</f>
        <v>4480</v>
      </c>
      <c r="G385" s="268">
        <f>Products!K2200</f>
        <v>6260</v>
      </c>
      <c r="H385" s="267">
        <f>Products!M2200</f>
        <v>4690</v>
      </c>
      <c r="I385" s="267">
        <f>Products!O2200</f>
        <v>6670.0000000000009</v>
      </c>
      <c r="J385" s="398">
        <f>Products!Q2200</f>
        <v>5020.0000000000009</v>
      </c>
      <c r="K385" s="399">
        <f>Products!S2200</f>
        <v>7030.0000000000009</v>
      </c>
      <c r="L385" s="398">
        <f>Products!U2200</f>
        <v>5400</v>
      </c>
      <c r="M385" s="399">
        <f>Products!W2200</f>
        <v>7560</v>
      </c>
    </row>
    <row r="386" spans="1:13">
      <c r="A386" s="31"/>
      <c r="B386" s="16" t="str">
        <f>Products!B2201</f>
        <v>E (160 - 180 мм)</v>
      </c>
      <c r="C386" s="188"/>
      <c r="D386" s="267">
        <f>Products!E2201</f>
        <v>4060</v>
      </c>
      <c r="E386" s="268">
        <f>Products!G2201</f>
        <v>5670</v>
      </c>
      <c r="F386" s="267">
        <f>Products!I2201</f>
        <v>4670</v>
      </c>
      <c r="G386" s="268">
        <f>Products!K2201</f>
        <v>6530</v>
      </c>
      <c r="H386" s="267">
        <f>Products!M2201</f>
        <v>4900</v>
      </c>
      <c r="I386" s="267">
        <f>Products!O2201</f>
        <v>6870</v>
      </c>
      <c r="J386" s="398">
        <f>Products!Q2201</f>
        <v>5240</v>
      </c>
      <c r="K386" s="399">
        <f>Products!S2201</f>
        <v>7330.0000000000009</v>
      </c>
      <c r="L386" s="398">
        <f>Products!U2201</f>
        <v>5660</v>
      </c>
      <c r="M386" s="399">
        <f>Products!W2201</f>
        <v>7921</v>
      </c>
    </row>
    <row r="387" spans="1:13">
      <c r="A387" s="31"/>
      <c r="B387" s="16" t="str">
        <f>Products!B2202</f>
        <v>F (180 - 200 мм)</v>
      </c>
      <c r="C387" s="188"/>
      <c r="D387" s="267">
        <f>Products!E2202</f>
        <v>4260</v>
      </c>
      <c r="E387" s="268">
        <f>Products!G2202</f>
        <v>5950.0000000000009</v>
      </c>
      <c r="F387" s="267">
        <f>Products!I2202</f>
        <v>4890</v>
      </c>
      <c r="G387" s="268">
        <f>Products!K2202</f>
        <v>6840</v>
      </c>
      <c r="H387" s="267">
        <f>Products!M2202</f>
        <v>5130</v>
      </c>
      <c r="I387" s="267">
        <f>Products!O2202</f>
        <v>7190</v>
      </c>
      <c r="J387" s="398">
        <f>Products!Q2202</f>
        <v>5480</v>
      </c>
      <c r="K387" s="399">
        <f>Products!S2202</f>
        <v>7670</v>
      </c>
      <c r="L387" s="398">
        <f>Products!U2202</f>
        <v>5910</v>
      </c>
      <c r="M387" s="399">
        <f>Products!W2202</f>
        <v>8270</v>
      </c>
    </row>
    <row r="388" spans="1:13">
      <c r="A388" s="31"/>
      <c r="B388" s="16" t="str">
        <f>Products!B2203</f>
        <v>G (200 - 220 мм)</v>
      </c>
      <c r="C388" s="188"/>
      <c r="D388" s="267">
        <f>Products!E2203</f>
        <v>4430</v>
      </c>
      <c r="E388" s="268">
        <f>Products!G2203</f>
        <v>6200</v>
      </c>
      <c r="F388" s="267">
        <f>Products!I2203</f>
        <v>5100</v>
      </c>
      <c r="G388" s="268">
        <f>Products!K2203</f>
        <v>7130</v>
      </c>
      <c r="H388" s="267">
        <f>Products!M2203</f>
        <v>5340</v>
      </c>
      <c r="I388" s="267">
        <f>Products!O2203</f>
        <v>7470</v>
      </c>
      <c r="J388" s="398">
        <f>Products!Q2203</f>
        <v>5710.0000000000009</v>
      </c>
      <c r="K388" s="399">
        <f>Products!S2203</f>
        <v>7990</v>
      </c>
      <c r="L388" s="398">
        <f>Products!U2203</f>
        <v>6170</v>
      </c>
      <c r="M388" s="399">
        <f>Products!W2203</f>
        <v>8630</v>
      </c>
    </row>
    <row r="389" spans="1:13">
      <c r="A389" s="31"/>
      <c r="B389" s="16" t="str">
        <f>Products!B2204</f>
        <v>H (220 - 240 мм)</v>
      </c>
      <c r="C389" s="188"/>
      <c r="D389" s="267">
        <f>Products!E2204</f>
        <v>4610</v>
      </c>
      <c r="E389" s="268">
        <f>Products!G2204</f>
        <v>6450</v>
      </c>
      <c r="F389" s="267">
        <f>Products!I2204</f>
        <v>5300</v>
      </c>
      <c r="G389" s="268">
        <f>Products!K2204</f>
        <v>7430</v>
      </c>
      <c r="H389" s="267">
        <f>Products!M2204</f>
        <v>5550</v>
      </c>
      <c r="I389" s="267">
        <f>Products!O2204</f>
        <v>7770</v>
      </c>
      <c r="J389" s="398">
        <f>Products!Q2204</f>
        <v>5920.0000000000009</v>
      </c>
      <c r="K389" s="399">
        <f>Products!S2204</f>
        <v>8290</v>
      </c>
      <c r="L389" s="398">
        <f>Products!U2204</f>
        <v>6420</v>
      </c>
      <c r="M389" s="399">
        <f>Products!W2204</f>
        <v>8980</v>
      </c>
    </row>
    <row r="390" spans="1:13">
      <c r="A390" s="31"/>
      <c r="B390" s="23" t="str">
        <f>Products!B2205</f>
        <v>I (240 - 260 мм)</v>
      </c>
      <c r="C390" s="186"/>
      <c r="D390" s="269">
        <f>Products!E2205</f>
        <v>4800</v>
      </c>
      <c r="E390" s="270">
        <f>Products!G2205</f>
        <v>6730.0000000000009</v>
      </c>
      <c r="F390" s="269">
        <f>Products!I2205</f>
        <v>5530.0000000000009</v>
      </c>
      <c r="G390" s="270">
        <f>Products!K2205</f>
        <v>7740</v>
      </c>
      <c r="H390" s="269">
        <f>Products!M2205</f>
        <v>5750</v>
      </c>
      <c r="I390" s="269">
        <f>Products!O2205</f>
        <v>8060</v>
      </c>
      <c r="J390" s="391">
        <f>Products!Q2205</f>
        <v>6160.0000000000009</v>
      </c>
      <c r="K390" s="392">
        <f>Products!S2205</f>
        <v>8620</v>
      </c>
      <c r="L390" s="391">
        <f>Products!U2205</f>
        <v>6680</v>
      </c>
      <c r="M390" s="392">
        <f>Products!W2205</f>
        <v>9350</v>
      </c>
    </row>
    <row r="391" spans="1:13">
      <c r="C391" s="34"/>
      <c r="D391" s="241"/>
      <c r="E391" s="241"/>
      <c r="F391" s="242"/>
      <c r="G391" s="242"/>
      <c r="H391" s="243"/>
      <c r="I391" s="243"/>
      <c r="J391" s="401"/>
      <c r="K391" s="401"/>
      <c r="L391" s="402"/>
      <c r="M391" s="402"/>
    </row>
    <row r="392" spans="1:13" s="31" customFormat="1">
      <c r="A392" s="33"/>
      <c r="B392" s="234"/>
      <c r="C392" s="240" t="str">
        <f>Products!B2209</f>
        <v>третя завіса</v>
      </c>
      <c r="D392" s="203">
        <f>Products!E2209</f>
        <v>80</v>
      </c>
      <c r="E392" s="34"/>
      <c r="F392" s="33"/>
      <c r="G392" s="33"/>
      <c r="H392" s="149"/>
      <c r="I392" s="149"/>
      <c r="J392" s="397"/>
      <c r="K392" s="397"/>
      <c r="L392" s="367"/>
      <c r="M392" s="367"/>
    </row>
    <row r="393" spans="1:13">
      <c r="C393" s="34"/>
      <c r="D393" s="34"/>
      <c r="E393" s="34"/>
      <c r="H393" s="149"/>
      <c r="I393" s="149"/>
      <c r="J393" s="397"/>
      <c r="K393" s="397"/>
      <c r="L393" s="367"/>
      <c r="M393" s="367"/>
    </row>
    <row r="394" spans="1:13" ht="12.75" customHeight="1">
      <c r="A394" s="31"/>
      <c r="B394" s="470" t="str">
        <f>TITLE!$C$43</f>
        <v>Дверна коробка Verto-FIT Comfort</v>
      </c>
      <c r="C394" s="471"/>
      <c r="D394" s="471"/>
      <c r="E394" s="471"/>
      <c r="F394" s="307" t="str">
        <f>Products!E2260</f>
        <v>Для Дверних Полотен без Фальця</v>
      </c>
      <c r="G394" s="178"/>
      <c r="H394" s="178"/>
      <c r="I394" s="178"/>
      <c r="J394" s="357"/>
      <c r="K394" s="357"/>
      <c r="L394" s="370"/>
      <c r="M394" s="371"/>
    </row>
    <row r="395" spans="1:13" ht="24.75" customHeight="1">
      <c r="A395" s="31"/>
      <c r="B395" s="472" t="str">
        <f>Products!B2262</f>
        <v>модель</v>
      </c>
      <c r="C395" s="164" t="str">
        <f>Products!C2262</f>
        <v>покриття:</v>
      </c>
      <c r="D395" s="431" t="str">
        <f>Products!D2262</f>
        <v xml:space="preserve">SIMPLEX / VERTO-CELL </v>
      </c>
      <c r="E395" s="432"/>
      <c r="F395" s="431" t="str">
        <f>Products!H2262</f>
        <v>UNI-MAT</v>
      </c>
      <c r="G395" s="432"/>
      <c r="H395" s="431" t="str">
        <f>Products!L2262</f>
        <v>RESIST</v>
      </c>
      <c r="I395" s="432"/>
      <c r="J395" s="431" t="str">
        <f>Products!P2262</f>
        <v>Verto LINE-3D</v>
      </c>
      <c r="K395" s="432"/>
      <c r="L395" s="431" t="str">
        <f>Products!T2262</f>
        <v>ЕКО Шпон / LOFT</v>
      </c>
      <c r="M395" s="432"/>
    </row>
    <row r="396" spans="1:13">
      <c r="A396" s="31"/>
      <c r="B396" s="473"/>
      <c r="C396" s="166" t="str">
        <f>Products!C2263</f>
        <v>виконання:</v>
      </c>
      <c r="D396" s="264" t="str">
        <f>Products!D2263</f>
        <v>одностулкове</v>
      </c>
      <c r="E396" s="272"/>
      <c r="F396" s="264" t="str">
        <f>Products!H2263</f>
        <v>одностулкове</v>
      </c>
      <c r="G396" s="272"/>
      <c r="H396" s="264" t="str">
        <f>Products!L2263</f>
        <v>одностулкове</v>
      </c>
      <c r="I396" s="264"/>
      <c r="J396" s="264" t="str">
        <f>Products!P2263</f>
        <v>одностулкове</v>
      </c>
      <c r="K396" s="272"/>
      <c r="L396" s="264" t="str">
        <f>Products!T2263</f>
        <v>одностулкове</v>
      </c>
      <c r="M396" s="272"/>
    </row>
    <row r="397" spans="1:13">
      <c r="A397" s="31"/>
      <c r="B397" s="13" t="str">
        <f>Products!B2264</f>
        <v>A (75 - 95 мм)</v>
      </c>
      <c r="C397" s="187"/>
      <c r="D397" s="265">
        <f>Products!E2264</f>
        <v>3570</v>
      </c>
      <c r="E397" s="266"/>
      <c r="F397" s="265">
        <f>Products!I2264</f>
        <v>4101</v>
      </c>
      <c r="G397" s="266"/>
      <c r="H397" s="265">
        <f>Products!M2264</f>
        <v>4320</v>
      </c>
      <c r="I397" s="265"/>
      <c r="J397" s="389">
        <f>Products!Q2264</f>
        <v>4610</v>
      </c>
      <c r="K397" s="390"/>
      <c r="L397" s="389">
        <f>Products!U2264</f>
        <v>4930.0000000000009</v>
      </c>
      <c r="M397" s="390"/>
    </row>
    <row r="398" spans="1:13">
      <c r="A398" s="31"/>
      <c r="B398" s="16" t="str">
        <f>Products!B2265</f>
        <v>B (95 - 115 мм)</v>
      </c>
      <c r="C398" s="188"/>
      <c r="D398" s="267">
        <f>Products!E2265</f>
        <v>3740</v>
      </c>
      <c r="E398" s="268"/>
      <c r="F398" s="267">
        <f>Products!I2265</f>
        <v>4310</v>
      </c>
      <c r="G398" s="268"/>
      <c r="H398" s="267">
        <f>Products!M2265</f>
        <v>4520</v>
      </c>
      <c r="I398" s="267"/>
      <c r="J398" s="398">
        <f>Products!Q2265</f>
        <v>4840</v>
      </c>
      <c r="K398" s="399"/>
      <c r="L398" s="398">
        <f>Products!U2265</f>
        <v>6170</v>
      </c>
      <c r="M398" s="399"/>
    </row>
    <row r="399" spans="1:13">
      <c r="A399" s="31"/>
      <c r="B399" s="16" t="str">
        <f>Products!B2266</f>
        <v>B+ (115 - 135 мм)</v>
      </c>
      <c r="C399" s="188"/>
      <c r="D399" s="267">
        <f>Products!E2266</f>
        <v>3820</v>
      </c>
      <c r="E399" s="268"/>
      <c r="F399" s="267">
        <f>Products!I2266</f>
        <v>4400</v>
      </c>
      <c r="G399" s="268"/>
      <c r="H399" s="267">
        <f>Products!M2266</f>
        <v>4630</v>
      </c>
      <c r="I399" s="267"/>
      <c r="J399" s="398">
        <f>Products!Q2266</f>
        <v>4950</v>
      </c>
      <c r="K399" s="399"/>
      <c r="L399" s="398">
        <f>Products!U2266</f>
        <v>5280</v>
      </c>
      <c r="M399" s="399"/>
    </row>
    <row r="400" spans="1:13">
      <c r="A400" s="31"/>
      <c r="B400" s="16" t="str">
        <f>Products!B2267</f>
        <v>C (120 - 140 мм)</v>
      </c>
      <c r="C400" s="188"/>
      <c r="D400" s="267">
        <f>Products!E2267</f>
        <v>3910</v>
      </c>
      <c r="E400" s="268"/>
      <c r="F400" s="267">
        <f>Products!I2267</f>
        <v>4400</v>
      </c>
      <c r="G400" s="268"/>
      <c r="H400" s="267">
        <f>Products!M2267</f>
        <v>4710</v>
      </c>
      <c r="I400" s="267"/>
      <c r="J400" s="398">
        <f>Products!Q2267</f>
        <v>5060</v>
      </c>
      <c r="K400" s="399"/>
      <c r="L400" s="398">
        <f>Products!U2267</f>
        <v>5400</v>
      </c>
      <c r="M400" s="399"/>
    </row>
    <row r="401" spans="1:13">
      <c r="A401" s="31"/>
      <c r="B401" s="16" t="str">
        <f>Products!B2268</f>
        <v>D (140 - 160 мм)</v>
      </c>
      <c r="C401" s="188"/>
      <c r="D401" s="267">
        <f>Products!E2268</f>
        <v>4080</v>
      </c>
      <c r="E401" s="268"/>
      <c r="F401" s="267">
        <f>Products!I2268</f>
        <v>4690</v>
      </c>
      <c r="G401" s="268"/>
      <c r="H401" s="267">
        <f>Products!M2268</f>
        <v>4930.0000000000009</v>
      </c>
      <c r="I401" s="267"/>
      <c r="J401" s="398">
        <f>Products!Q2268</f>
        <v>5290.0000000000009</v>
      </c>
      <c r="K401" s="399"/>
      <c r="L401" s="398">
        <f>Products!U2268</f>
        <v>5650.0000000000009</v>
      </c>
      <c r="M401" s="399"/>
    </row>
    <row r="402" spans="1:13">
      <c r="A402" s="31"/>
      <c r="B402" s="16" t="str">
        <f>Products!B2269</f>
        <v>E (160 - 180 мм)</v>
      </c>
      <c r="C402" s="188"/>
      <c r="D402" s="267">
        <f>Products!E2269</f>
        <v>4250</v>
      </c>
      <c r="E402" s="268"/>
      <c r="F402" s="267">
        <f>Products!I2269</f>
        <v>4880</v>
      </c>
      <c r="G402" s="268"/>
      <c r="H402" s="267">
        <f>Products!M2269</f>
        <v>5140.0000000000009</v>
      </c>
      <c r="I402" s="267"/>
      <c r="J402" s="398">
        <f>Products!Q2269</f>
        <v>5520</v>
      </c>
      <c r="K402" s="399"/>
      <c r="L402" s="398">
        <f>Products!U2269</f>
        <v>5890.0000000000009</v>
      </c>
      <c r="M402" s="399"/>
    </row>
    <row r="403" spans="1:13">
      <c r="A403" s="31"/>
      <c r="B403" s="16" t="str">
        <f>Products!B2270</f>
        <v>F (180 - 200 мм)</v>
      </c>
      <c r="C403" s="188"/>
      <c r="D403" s="267">
        <f>Products!E2270</f>
        <v>4420</v>
      </c>
      <c r="E403" s="268"/>
      <c r="F403" s="267">
        <f>Products!I2270</f>
        <v>5090</v>
      </c>
      <c r="G403" s="268"/>
      <c r="H403" s="267">
        <f>Products!M2270</f>
        <v>5350.0000000000009</v>
      </c>
      <c r="I403" s="267"/>
      <c r="J403" s="398">
        <f>Products!Q2270</f>
        <v>5740.0000000000009</v>
      </c>
      <c r="K403" s="399"/>
      <c r="L403" s="398">
        <f>Products!U2270</f>
        <v>6140</v>
      </c>
      <c r="M403" s="399"/>
    </row>
    <row r="404" spans="1:13">
      <c r="A404" s="31"/>
      <c r="B404" s="16" t="str">
        <f>Products!B2271</f>
        <v>G (200 - 220 мм)</v>
      </c>
      <c r="C404" s="188"/>
      <c r="D404" s="267">
        <f>Products!E2271</f>
        <v>4590</v>
      </c>
      <c r="E404" s="268"/>
      <c r="F404" s="267">
        <f>Products!I2271</f>
        <v>5280</v>
      </c>
      <c r="G404" s="268"/>
      <c r="H404" s="267">
        <f>Products!M2271</f>
        <v>5560.0000000000009</v>
      </c>
      <c r="I404" s="267"/>
      <c r="J404" s="398">
        <f>Products!Q2271</f>
        <v>5970</v>
      </c>
      <c r="K404" s="399"/>
      <c r="L404" s="398">
        <f>Products!U2271</f>
        <v>6370.0000000000009</v>
      </c>
      <c r="M404" s="399"/>
    </row>
    <row r="405" spans="1:13">
      <c r="A405" s="31"/>
      <c r="B405" s="16" t="str">
        <f>Products!B2272</f>
        <v>H (220 - 240 мм)</v>
      </c>
      <c r="C405" s="188"/>
      <c r="D405" s="267">
        <f>Products!E2272</f>
        <v>4760</v>
      </c>
      <c r="E405" s="268"/>
      <c r="F405" s="267">
        <f>Products!I2272</f>
        <v>5470.0000000000009</v>
      </c>
      <c r="G405" s="268"/>
      <c r="H405" s="267">
        <f>Products!M2272</f>
        <v>5760</v>
      </c>
      <c r="I405" s="267"/>
      <c r="J405" s="398">
        <f>Products!Q2272</f>
        <v>6190.0000000000009</v>
      </c>
      <c r="K405" s="399"/>
      <c r="L405" s="398">
        <f>Products!U2272</f>
        <v>6600</v>
      </c>
      <c r="M405" s="399"/>
    </row>
    <row r="406" spans="1:13">
      <c r="A406" s="31"/>
      <c r="B406" s="23" t="str">
        <f>Products!B2273</f>
        <v>I (240 - 260 мм)</v>
      </c>
      <c r="C406" s="186"/>
      <c r="D406" s="269">
        <f>Products!E2273</f>
        <v>4930.0000000000009</v>
      </c>
      <c r="E406" s="270"/>
      <c r="F406" s="269">
        <f>Products!I2273</f>
        <v>5660</v>
      </c>
      <c r="G406" s="270"/>
      <c r="H406" s="269">
        <f>Products!M2273</f>
        <v>5990</v>
      </c>
      <c r="I406" s="269"/>
      <c r="J406" s="391">
        <f>Products!Q2273</f>
        <v>6420</v>
      </c>
      <c r="K406" s="392"/>
      <c r="L406" s="391">
        <f>Products!U2273</f>
        <v>6850.0000000000009</v>
      </c>
      <c r="M406" s="392"/>
    </row>
    <row r="407" spans="1:13">
      <c r="A407" s="149"/>
      <c r="B407" s="55" t="str">
        <f>Products!B2274</f>
        <v>ПЛАНКИ РЕГУЛЮВАЛЬНІ</v>
      </c>
      <c r="C407" s="56"/>
      <c r="D407" s="488" t="str">
        <f>Products!E2274</f>
        <v>Для Дверних Коробок Verto-FIT  Comfort</v>
      </c>
      <c r="E407" s="488"/>
      <c r="F407" s="488"/>
      <c r="G407" s="488"/>
      <c r="H407" s="208"/>
      <c r="I407" s="208"/>
      <c r="J407" s="208"/>
      <c r="K407" s="208"/>
      <c r="L407" s="400"/>
      <c r="M407" s="400"/>
    </row>
    <row r="408" spans="1:13">
      <c r="A408" s="31"/>
      <c r="B408" s="13" t="str">
        <f>Products!B2275</f>
        <v>Планка (1 к-т) 80 мм</v>
      </c>
      <c r="C408" s="185"/>
      <c r="D408" s="265">
        <f>Products!E2275</f>
        <v>1190</v>
      </c>
      <c r="E408" s="266"/>
      <c r="F408" s="265">
        <f>Products!I2275</f>
        <v>1310</v>
      </c>
      <c r="G408" s="313"/>
      <c r="H408" s="265">
        <f>Products!M2275</f>
        <v>1390.0000000000002</v>
      </c>
      <c r="I408" s="265"/>
      <c r="J408" s="389">
        <f>Products!Q2275</f>
        <v>1470</v>
      </c>
      <c r="K408" s="390"/>
      <c r="L408" s="389">
        <f>Products!U2275</f>
        <v>1550</v>
      </c>
      <c r="M408" s="390"/>
    </row>
    <row r="409" spans="1:13">
      <c r="A409" s="31"/>
      <c r="B409" s="16" t="str">
        <f>Products!B2276</f>
        <v>Планка (1 к-т) 160 мм</v>
      </c>
      <c r="C409" s="188"/>
      <c r="D409" s="274">
        <f>Products!E2276</f>
        <v>1980</v>
      </c>
      <c r="E409" s="194"/>
      <c r="F409" s="312">
        <f>Products!I2276</f>
        <v>2250</v>
      </c>
      <c r="G409" s="268"/>
      <c r="H409" s="315">
        <f>Products!M2276</f>
        <v>2390</v>
      </c>
      <c r="I409" s="315"/>
      <c r="J409" s="395">
        <f>Products!Q2276</f>
        <v>2540.0000000000005</v>
      </c>
      <c r="K409" s="396"/>
      <c r="L409" s="395">
        <f>Products!U2276</f>
        <v>2690.0000000000005</v>
      </c>
      <c r="M409" s="396"/>
    </row>
    <row r="410" spans="1:13">
      <c r="A410" s="31"/>
      <c r="B410" s="23" t="str">
        <f>Products!B2277</f>
        <v>Планка (1 к-т) 200 мм</v>
      </c>
      <c r="C410" s="297"/>
      <c r="D410" s="269">
        <f>Products!E2277</f>
        <v>2360</v>
      </c>
      <c r="E410" s="270"/>
      <c r="F410" s="269">
        <f>Products!I2277</f>
        <v>2690.0000000000005</v>
      </c>
      <c r="G410" s="314"/>
      <c r="H410" s="269">
        <f>Products!M2277</f>
        <v>2870.0000000000005</v>
      </c>
      <c r="I410" s="269"/>
      <c r="J410" s="391">
        <f>Products!Q2277</f>
        <v>3030</v>
      </c>
      <c r="K410" s="392"/>
      <c r="L410" s="391">
        <f>Products!U2277</f>
        <v>3210</v>
      </c>
      <c r="M410" s="392"/>
    </row>
    <row r="411" spans="1:13">
      <c r="C411" s="34"/>
      <c r="D411" s="241"/>
      <c r="E411" s="241"/>
      <c r="F411" s="242"/>
      <c r="G411" s="242"/>
      <c r="H411" s="243"/>
      <c r="I411" s="243"/>
      <c r="J411" s="401"/>
      <c r="K411" s="401"/>
      <c r="L411" s="402"/>
      <c r="M411" s="402"/>
    </row>
    <row r="412" spans="1:13" s="31" customFormat="1">
      <c r="A412" s="33"/>
      <c r="B412" s="234"/>
      <c r="C412" s="240" t="str">
        <f>Products!B2281</f>
        <v>прихована 3D завіса</v>
      </c>
      <c r="D412" s="203">
        <f>Products!E2281</f>
        <v>890.00000000000011</v>
      </c>
      <c r="E412" s="34"/>
      <c r="F412" s="33"/>
      <c r="G412" s="33"/>
      <c r="H412" s="149"/>
      <c r="I412" s="149"/>
      <c r="J412" s="397"/>
      <c r="K412" s="397"/>
      <c r="L412" s="367"/>
      <c r="M412" s="367"/>
    </row>
    <row r="413" spans="1:13" ht="12.75" customHeight="1">
      <c r="C413" s="34"/>
      <c r="D413" s="34"/>
      <c r="E413" s="34"/>
      <c r="H413" s="149"/>
      <c r="I413" s="149"/>
      <c r="J413" s="397"/>
      <c r="K413" s="397"/>
      <c r="L413" s="367"/>
      <c r="M413" s="367"/>
    </row>
    <row r="414" spans="1:13" s="31" customFormat="1">
      <c r="B414" s="470" t="str">
        <f>Products!B2332</f>
        <v>Плінтуси</v>
      </c>
      <c r="C414" s="471"/>
      <c r="D414" s="471"/>
      <c r="E414" s="471"/>
      <c r="F414" s="178"/>
      <c r="G414" s="178"/>
      <c r="H414" s="178"/>
      <c r="I414" s="178"/>
      <c r="J414" s="357"/>
      <c r="K414" s="357"/>
      <c r="L414" s="370"/>
      <c r="M414" s="371"/>
    </row>
    <row r="415" spans="1:13" s="31" customFormat="1">
      <c r="B415" s="483" t="str">
        <f>Products!B2334</f>
        <v>модель</v>
      </c>
      <c r="C415" s="180" t="str">
        <f>Products!C2334</f>
        <v>покриття:</v>
      </c>
      <c r="D415" s="175" t="str">
        <f>Products!D2334</f>
        <v>SIMPL / V-CELL</v>
      </c>
      <c r="E415" s="175" t="str">
        <f>Products!F2334</f>
        <v>UNI-MAT</v>
      </c>
      <c r="F415" s="175" t="str">
        <f>Products!H2334</f>
        <v>RESIST</v>
      </c>
      <c r="G415" s="175" t="str">
        <f>Products!J2334</f>
        <v>Verto LINE-3D</v>
      </c>
      <c r="H415" s="175" t="str">
        <f>Products!L2334</f>
        <v>ЕКО Шпон / LOFT</v>
      </c>
      <c r="I415" s="47"/>
      <c r="J415" s="354"/>
      <c r="K415" s="489" t="str">
        <f>Products!B2339</f>
        <v>Замовлення на Плінтус приймаються в кількості від 8 шт.</v>
      </c>
      <c r="L415" s="489">
        <f>Products!C2404</f>
        <v>0</v>
      </c>
      <c r="M415" s="489">
        <f>Products!E2404</f>
        <v>1490</v>
      </c>
    </row>
    <row r="416" spans="1:13" s="31" customFormat="1">
      <c r="B416" s="473"/>
      <c r="C416" s="130" t="str">
        <f>Products!C2335</f>
        <v>виконання:</v>
      </c>
      <c r="D416" s="169" t="str">
        <f>Products!D2335</f>
        <v>за 1 шт.</v>
      </c>
      <c r="E416" s="169" t="str">
        <f>Products!F2335</f>
        <v>за 1 шт.</v>
      </c>
      <c r="F416" s="169" t="str">
        <f>Products!H2335</f>
        <v>за 1 шт.</v>
      </c>
      <c r="G416" s="169" t="str">
        <f>Products!J2335</f>
        <v>за 1 шт.</v>
      </c>
      <c r="H416" s="169" t="str">
        <f>Products!L2335</f>
        <v>за 1 шт.</v>
      </c>
      <c r="I416" s="47"/>
      <c r="J416" s="47"/>
      <c r="K416" s="403"/>
      <c r="L416" s="403"/>
      <c r="M416" s="209"/>
    </row>
    <row r="417" spans="1:13" s="31" customFormat="1">
      <c r="B417" s="13" t="str">
        <f>Products!B2336</f>
        <v>Плінтус 60 мм</v>
      </c>
      <c r="C417" s="187"/>
      <c r="D417" s="332">
        <f>Products!E2336</f>
        <v>320</v>
      </c>
      <c r="E417" s="332">
        <f>Products!G2336</f>
        <v>350</v>
      </c>
      <c r="F417" s="332">
        <f>Products!I2336</f>
        <v>410</v>
      </c>
      <c r="G417" s="332">
        <f>Products!K2336</f>
        <v>430.00000000000006</v>
      </c>
      <c r="H417" s="332">
        <f>Products!M2336</f>
        <v>450</v>
      </c>
      <c r="I417" s="29"/>
      <c r="J417" s="29"/>
      <c r="K417" s="29"/>
      <c r="L417" s="403"/>
      <c r="M417" s="209"/>
    </row>
    <row r="418" spans="1:13" s="31" customFormat="1">
      <c r="B418" s="23" t="str">
        <f>Products!B2337</f>
        <v>Плінтус 80 мм</v>
      </c>
      <c r="C418" s="186"/>
      <c r="D418" s="333">
        <f>Products!E2337</f>
        <v>360</v>
      </c>
      <c r="E418" s="333">
        <f>Products!G2337</f>
        <v>430.00000000000006</v>
      </c>
      <c r="F418" s="333">
        <f>Products!I2337</f>
        <v>450</v>
      </c>
      <c r="G418" s="333">
        <f>Products!K2337</f>
        <v>510</v>
      </c>
      <c r="H418" s="333">
        <f>Products!M2337</f>
        <v>570</v>
      </c>
      <c r="I418" s="208"/>
      <c r="J418" s="208"/>
      <c r="K418" s="29"/>
      <c r="L418" s="403"/>
      <c r="M418" s="209"/>
    </row>
    <row r="419" spans="1:13" ht="12.75" customHeight="1">
      <c r="C419" s="34"/>
      <c r="D419" s="34"/>
      <c r="E419" s="34"/>
      <c r="H419" s="149"/>
      <c r="I419" s="149"/>
      <c r="J419" s="397"/>
      <c r="K419" s="397"/>
      <c r="L419" s="367"/>
      <c r="M419" s="367"/>
    </row>
    <row r="420" spans="1:13" ht="12.75" customHeight="1">
      <c r="A420" s="31"/>
      <c r="B420" s="470" t="str">
        <f>TITLE!$C$45</f>
        <v>Фрамуги</v>
      </c>
      <c r="C420" s="471"/>
      <c r="D420" s="471"/>
      <c r="E420" s="471"/>
      <c r="F420" s="178"/>
      <c r="G420" s="178"/>
      <c r="H420" s="178"/>
      <c r="I420" s="178"/>
      <c r="J420" s="357"/>
      <c r="K420" s="357"/>
      <c r="L420" s="370"/>
      <c r="M420" s="371"/>
    </row>
    <row r="421" spans="1:13" s="149" customFormat="1" ht="24.75" customHeight="1">
      <c r="A421" s="31"/>
      <c r="B421" s="483" t="str">
        <f>Products!B2392</f>
        <v>модель</v>
      </c>
      <c r="C421" s="180" t="str">
        <f>Products!C2392</f>
        <v>покриття:</v>
      </c>
      <c r="D421" s="175" t="str">
        <f>Products!D2392</f>
        <v>SIMPL / V-CELL / V-C Plus</v>
      </c>
      <c r="E421" s="175" t="str">
        <f>Products!F2392</f>
        <v>UNI-MAT</v>
      </c>
      <c r="F421" s="175" t="str">
        <f>Products!H2392</f>
        <v>RESIST</v>
      </c>
      <c r="G421" s="175" t="str">
        <f>Products!J2392</f>
        <v>Verto LINE-3D</v>
      </c>
      <c r="H421" s="175" t="str">
        <f>Products!L2392</f>
        <v>ЕКО Шпон / LOFT</v>
      </c>
      <c r="I421" s="47"/>
      <c r="J421" s="47"/>
      <c r="K421" s="404" t="str">
        <f>Products!B2410</f>
        <v>Вид скління:</v>
      </c>
      <c r="L421" s="356" t="str">
        <f>Products!C2410</f>
        <v>Фільонка</v>
      </c>
      <c r="M421" s="373">
        <f>Products!E2410</f>
        <v>1220</v>
      </c>
    </row>
    <row r="422" spans="1:13">
      <c r="A422" s="31"/>
      <c r="B422" s="473"/>
      <c r="C422" s="130" t="str">
        <f>Products!C2393</f>
        <v>виконання:</v>
      </c>
      <c r="D422" s="169" t="str">
        <f>Products!D2393</f>
        <v>за 1 пг.м</v>
      </c>
      <c r="E422" s="169" t="str">
        <f>Products!F2393</f>
        <v>за 1 пг.м</v>
      </c>
      <c r="F422" s="169" t="str">
        <f>Products!H2393</f>
        <v>за 1 пг.м</v>
      </c>
      <c r="G422" s="169" t="str">
        <f>Products!J2393</f>
        <v>за 1 пг.м</v>
      </c>
      <c r="H422" s="169" t="str">
        <f>Products!L2393</f>
        <v>за 1 пг.м</v>
      </c>
      <c r="I422" s="47"/>
      <c r="J422" s="47"/>
      <c r="K422" s="375" t="str">
        <f>Products!B2411</f>
        <v>Ціна за 1 кв.м</v>
      </c>
      <c r="L422" s="356" t="str">
        <f>Products!C2411</f>
        <v>Кризет</v>
      </c>
      <c r="M422" s="363">
        <f>Products!E2411</f>
        <v>910</v>
      </c>
    </row>
    <row r="423" spans="1:13" s="149" customFormat="1">
      <c r="B423" s="55" t="str">
        <f>Products!B2394</f>
        <v>ФРАМУГА STANDART</v>
      </c>
      <c r="C423" s="56"/>
      <c r="D423" s="29"/>
      <c r="E423" s="29"/>
      <c r="F423" s="29"/>
      <c r="G423" s="29"/>
      <c r="H423" s="29"/>
      <c r="I423" s="29"/>
      <c r="J423" s="29"/>
      <c r="K423" s="189"/>
      <c r="L423" s="356" t="str">
        <f>Products!C2412</f>
        <v>Сатин</v>
      </c>
      <c r="M423" s="363">
        <f>Products!E2412</f>
        <v>1120</v>
      </c>
    </row>
    <row r="424" spans="1:13">
      <c r="A424" s="31"/>
      <c r="B424" s="49" t="str">
        <f>Products!B2395</f>
        <v>Фрамуга дерево 80 мм</v>
      </c>
      <c r="C424" s="50"/>
      <c r="D424" s="206">
        <f>Products!E2395</f>
        <v>750</v>
      </c>
      <c r="E424" s="206">
        <f>Products!G2395</f>
        <v>840</v>
      </c>
      <c r="F424" s="206">
        <f>Products!I2395</f>
        <v>880</v>
      </c>
      <c r="G424" s="206">
        <f>Products!K2395</f>
        <v>960</v>
      </c>
      <c r="H424" s="206">
        <f>Products!M2395</f>
        <v>1060</v>
      </c>
      <c r="I424" s="208"/>
      <c r="J424" s="208"/>
      <c r="K424" s="189"/>
      <c r="L424" s="356" t="str">
        <f>Products!C2413</f>
        <v>Жалюзі</v>
      </c>
      <c r="M424" s="363">
        <f>Products!E2413</f>
        <v>910</v>
      </c>
    </row>
    <row r="425" spans="1:13">
      <c r="A425" s="149"/>
      <c r="B425" s="55" t="str">
        <f>Products!B2396</f>
        <v>ФРАМУГА VERTO-FIT</v>
      </c>
      <c r="C425" s="56"/>
      <c r="D425" s="207"/>
      <c r="E425" s="207"/>
      <c r="F425" s="207"/>
      <c r="G425" s="207"/>
      <c r="H425" s="207"/>
      <c r="I425" s="208"/>
      <c r="J425" s="208"/>
      <c r="K425" s="189"/>
      <c r="L425" s="356" t="str">
        <f>Products!C2414</f>
        <v>Графіт</v>
      </c>
      <c r="M425" s="363">
        <f>Products!E2414</f>
        <v>1530</v>
      </c>
    </row>
    <row r="426" spans="1:13">
      <c r="A426" s="31"/>
      <c r="B426" s="13" t="str">
        <f>Products!B2397</f>
        <v>A (75 - 95 мм)</v>
      </c>
      <c r="C426" s="187"/>
      <c r="D426" s="192">
        <f>Products!E2397</f>
        <v>980</v>
      </c>
      <c r="E426" s="192">
        <f>Products!G2397</f>
        <v>1130</v>
      </c>
      <c r="F426" s="192">
        <f>Products!I2397</f>
        <v>1190</v>
      </c>
      <c r="G426" s="192">
        <f>Products!K2397</f>
        <v>1260</v>
      </c>
      <c r="H426" s="192">
        <f>Products!M2397</f>
        <v>1350</v>
      </c>
      <c r="I426" s="209"/>
      <c r="J426" s="209"/>
      <c r="K426" s="189"/>
      <c r="L426" s="356" t="str">
        <f>Products!C2415</f>
        <v>Бронза</v>
      </c>
      <c r="M426" s="363">
        <f>Products!E2415</f>
        <v>1530</v>
      </c>
    </row>
    <row r="427" spans="1:13">
      <c r="A427" s="31"/>
      <c r="B427" s="16" t="str">
        <f>Products!B2398</f>
        <v>B (95 - 115 мм)</v>
      </c>
      <c r="C427" s="188"/>
      <c r="D427" s="194">
        <f>Products!E2398</f>
        <v>1060</v>
      </c>
      <c r="E427" s="194">
        <f>Products!G2398</f>
        <v>1220</v>
      </c>
      <c r="F427" s="194">
        <f>Products!I2398</f>
        <v>1310</v>
      </c>
      <c r="G427" s="194">
        <f>Products!K2398</f>
        <v>1370</v>
      </c>
      <c r="H427" s="194">
        <f>Products!M2398</f>
        <v>1480.0000000000002</v>
      </c>
      <c r="I427" s="209"/>
      <c r="J427" s="209"/>
      <c r="K427" s="189"/>
      <c r="L427" s="356" t="str">
        <f>Products!C2416</f>
        <v>Малюнок</v>
      </c>
      <c r="M427" s="363">
        <f>Products!E2416</f>
        <v>1360.0000000000002</v>
      </c>
    </row>
    <row r="428" spans="1:13">
      <c r="A428" s="31"/>
      <c r="B428" s="16" t="str">
        <f>Products!B2399</f>
        <v>B+ (100 - 120 мм)</v>
      </c>
      <c r="C428" s="188"/>
      <c r="D428" s="194">
        <f>Products!E2399</f>
        <v>1100</v>
      </c>
      <c r="E428" s="194">
        <f>Products!G2399</f>
        <v>1270.0000000000002</v>
      </c>
      <c r="F428" s="194">
        <f>Products!I2399</f>
        <v>1360.0000000000002</v>
      </c>
      <c r="G428" s="194">
        <f>Products!K2399</f>
        <v>1430</v>
      </c>
      <c r="H428" s="194">
        <f>Products!M2399</f>
        <v>1550</v>
      </c>
      <c r="I428" s="209"/>
      <c r="J428" s="209"/>
      <c r="K428" s="189"/>
      <c r="L428" s="356" t="str">
        <f>Products!C2417</f>
        <v>Дзеркало</v>
      </c>
      <c r="M428" s="369">
        <f>Products!E2417</f>
        <v>1640</v>
      </c>
    </row>
    <row r="429" spans="1:13">
      <c r="A429" s="31"/>
      <c r="B429" s="16" t="str">
        <f>Products!B2400</f>
        <v>C (120 - 140 мм)</v>
      </c>
      <c r="C429" s="188"/>
      <c r="D429" s="194">
        <f>Products!E2400</f>
        <v>1150</v>
      </c>
      <c r="E429" s="194">
        <f>Products!G2400</f>
        <v>1320</v>
      </c>
      <c r="F429" s="194">
        <f>Products!I2400</f>
        <v>1410</v>
      </c>
      <c r="G429" s="194">
        <f>Products!K2400</f>
        <v>1490</v>
      </c>
      <c r="H429" s="194">
        <f>Products!M2400</f>
        <v>1590</v>
      </c>
      <c r="I429" s="209"/>
      <c r="J429" s="209"/>
      <c r="K429" s="29"/>
      <c r="L429" s="403"/>
      <c r="M429" s="209"/>
    </row>
    <row r="430" spans="1:13">
      <c r="A430" s="31"/>
      <c r="B430" s="16" t="str">
        <f>Products!B2401</f>
        <v>D (140 - 160 мм)</v>
      </c>
      <c r="C430" s="188"/>
      <c r="D430" s="194">
        <f>Products!E2401</f>
        <v>1230</v>
      </c>
      <c r="E430" s="194">
        <f>Products!G2401</f>
        <v>1410</v>
      </c>
      <c r="F430" s="194">
        <f>Products!I2401</f>
        <v>1530</v>
      </c>
      <c r="G430" s="194">
        <f>Products!K2401</f>
        <v>1610</v>
      </c>
      <c r="H430" s="194">
        <f>Products!M2401</f>
        <v>1730</v>
      </c>
      <c r="I430" s="209"/>
      <c r="J430" s="209"/>
      <c r="K430" s="367"/>
      <c r="L430" s="367"/>
      <c r="M430" s="367"/>
    </row>
    <row r="431" spans="1:13">
      <c r="A431" s="31"/>
      <c r="B431" s="16" t="str">
        <f>Products!B2402</f>
        <v>E (160 - 180 мм)</v>
      </c>
      <c r="C431" s="188"/>
      <c r="D431" s="194">
        <f>Products!E2402</f>
        <v>1320</v>
      </c>
      <c r="E431" s="194">
        <f>Products!G2402</f>
        <v>1530</v>
      </c>
      <c r="F431" s="194">
        <f>Products!I2402</f>
        <v>1650</v>
      </c>
      <c r="G431" s="194">
        <f>Products!K2402</f>
        <v>1720.0000000000002</v>
      </c>
      <c r="H431" s="194">
        <f>Products!M2402</f>
        <v>1850</v>
      </c>
      <c r="I431" s="209"/>
      <c r="J431" s="209"/>
      <c r="K431" s="29"/>
      <c r="L431" s="386"/>
      <c r="M431" s="386"/>
    </row>
    <row r="432" spans="1:13">
      <c r="A432" s="31"/>
      <c r="B432" s="16" t="str">
        <f>Products!B2403</f>
        <v>F (180 - 200 мм)</v>
      </c>
      <c r="C432" s="188"/>
      <c r="D432" s="194">
        <f>Products!E2403</f>
        <v>1400</v>
      </c>
      <c r="E432" s="194">
        <f>Products!G2403</f>
        <v>1630.0000000000002</v>
      </c>
      <c r="F432" s="194">
        <f>Products!I2403</f>
        <v>1750.0000000000002</v>
      </c>
      <c r="G432" s="194">
        <f>Products!K2403</f>
        <v>1830</v>
      </c>
      <c r="H432" s="194">
        <f>Products!M2403</f>
        <v>1980</v>
      </c>
      <c r="I432" s="209"/>
      <c r="J432" s="209"/>
      <c r="K432" s="29"/>
      <c r="L432" s="386"/>
      <c r="M432" s="386"/>
    </row>
    <row r="433" spans="1:13">
      <c r="A433" s="31"/>
      <c r="B433" s="16" t="str">
        <f>Products!B2404</f>
        <v>G (200 - 220 мм)</v>
      </c>
      <c r="C433" s="188"/>
      <c r="D433" s="194">
        <f>Products!E2404</f>
        <v>1490</v>
      </c>
      <c r="E433" s="194">
        <f>Products!G2404</f>
        <v>1720.0000000000002</v>
      </c>
      <c r="F433" s="194">
        <f>Products!I2404</f>
        <v>1880</v>
      </c>
      <c r="G433" s="194">
        <f>Products!K2404</f>
        <v>1940</v>
      </c>
      <c r="H433" s="194">
        <f>Products!M2404</f>
        <v>2100</v>
      </c>
      <c r="I433" s="209"/>
      <c r="J433" s="209"/>
      <c r="K433" s="367"/>
      <c r="L433" s="386"/>
      <c r="M433" s="386"/>
    </row>
    <row r="434" spans="1:13">
      <c r="A434" s="31"/>
      <c r="B434" s="16" t="str">
        <f>Products!B2405</f>
        <v>H (220 - 240 мм)</v>
      </c>
      <c r="C434" s="188"/>
      <c r="D434" s="194">
        <f>Products!E2405</f>
        <v>1570.0000000000002</v>
      </c>
      <c r="E434" s="194">
        <f>Products!G2405</f>
        <v>1810.0000000000002</v>
      </c>
      <c r="F434" s="194">
        <f>Products!I2405</f>
        <v>1980</v>
      </c>
      <c r="G434" s="194">
        <f>Products!K2405</f>
        <v>2060</v>
      </c>
      <c r="H434" s="194">
        <f>Products!M2405</f>
        <v>2240</v>
      </c>
      <c r="I434" s="209"/>
      <c r="J434" s="209"/>
      <c r="K434" s="367"/>
      <c r="L434" s="386"/>
      <c r="M434" s="386"/>
    </row>
    <row r="435" spans="1:13" s="31" customFormat="1">
      <c r="B435" s="23" t="str">
        <f>Products!B2406</f>
        <v>I (240 - 260 мм)</v>
      </c>
      <c r="C435" s="186"/>
      <c r="D435" s="196">
        <f>Products!E2406</f>
        <v>1660.0000000000002</v>
      </c>
      <c r="E435" s="196">
        <f>Products!G2406</f>
        <v>1910</v>
      </c>
      <c r="F435" s="196">
        <f>Products!I2406</f>
        <v>2090</v>
      </c>
      <c r="G435" s="196">
        <f>Products!K2406</f>
        <v>2170</v>
      </c>
      <c r="H435" s="196">
        <f>Products!M2406</f>
        <v>2361</v>
      </c>
      <c r="I435" s="209"/>
      <c r="J435" s="209"/>
      <c r="K435" s="29"/>
      <c r="L435" s="386"/>
      <c r="M435" s="386"/>
    </row>
    <row r="436" spans="1:13" s="31" customFormat="1">
      <c r="B436" s="183"/>
      <c r="C436" s="329"/>
      <c r="D436" s="207"/>
      <c r="E436" s="207"/>
      <c r="F436" s="207"/>
      <c r="G436" s="207"/>
      <c r="H436" s="209"/>
      <c r="I436" s="209"/>
      <c r="J436" s="209"/>
      <c r="K436" s="29"/>
      <c r="L436" s="386"/>
      <c r="M436" s="386"/>
    </row>
    <row r="437" spans="1:13">
      <c r="A437" s="31"/>
      <c r="B437" s="470" t="str">
        <f>Products!B2468</f>
        <v>Дверні Ручки</v>
      </c>
      <c r="C437" s="471"/>
      <c r="D437" s="471"/>
      <c r="E437" s="471"/>
      <c r="F437" s="178"/>
      <c r="G437" s="178"/>
      <c r="H437" s="178"/>
      <c r="I437" s="178"/>
      <c r="J437" s="357"/>
      <c r="K437" s="357"/>
      <c r="L437" s="370"/>
      <c r="M437" s="371"/>
    </row>
    <row r="438" spans="1:13">
      <c r="A438" s="31"/>
      <c r="B438" s="64" t="str">
        <f>Products!B2470</f>
        <v>модель</v>
      </c>
      <c r="C438" s="12"/>
      <c r="D438" s="12" t="str">
        <f>Products!D2470</f>
        <v>див. каталог</v>
      </c>
      <c r="E438" s="62"/>
      <c r="F438" s="62"/>
      <c r="G438" s="47"/>
      <c r="H438" s="47"/>
      <c r="I438" s="47"/>
      <c r="J438" s="47"/>
      <c r="K438" s="47"/>
      <c r="L438" s="367"/>
      <c r="M438" s="367"/>
    </row>
    <row r="439" spans="1:13">
      <c r="A439" s="31"/>
      <c r="B439" s="13" t="str">
        <f>Products!B2471</f>
        <v>Ручка VERONA</v>
      </c>
      <c r="C439" s="102"/>
      <c r="D439" s="192">
        <f>Products!E2471</f>
        <v>3200.0000000000005</v>
      </c>
      <c r="E439" s="62"/>
      <c r="F439" s="62"/>
      <c r="G439" s="209"/>
      <c r="H439" s="62"/>
      <c r="I439" s="62"/>
      <c r="J439" s="62"/>
      <c r="K439" s="29"/>
      <c r="L439" s="386"/>
      <c r="M439" s="387"/>
    </row>
    <row r="440" spans="1:13">
      <c r="A440" s="31"/>
      <c r="B440" s="16" t="str">
        <f>Products!B2472</f>
        <v>Ручка MILANO</v>
      </c>
      <c r="C440" s="66"/>
      <c r="D440" s="194">
        <f>Products!E2472</f>
        <v>3200.0000000000005</v>
      </c>
      <c r="E440" s="62"/>
      <c r="F440" s="62"/>
      <c r="G440" s="209"/>
      <c r="H440" s="62"/>
      <c r="I440" s="62"/>
      <c r="J440" s="62"/>
      <c r="K440" s="29"/>
      <c r="L440" s="386"/>
      <c r="M440" s="386"/>
    </row>
    <row r="441" spans="1:13">
      <c r="A441" s="31"/>
      <c r="B441" s="16" t="str">
        <f>Products!B2473</f>
        <v>Ручка HANDY</v>
      </c>
      <c r="C441" s="66"/>
      <c r="D441" s="194">
        <f>Products!E2473</f>
        <v>1560</v>
      </c>
      <c r="E441" s="62"/>
      <c r="F441" s="62"/>
      <c r="G441" s="209"/>
      <c r="H441" s="62"/>
      <c r="I441" s="62"/>
      <c r="J441" s="62"/>
      <c r="K441" s="29"/>
      <c r="L441" s="386"/>
      <c r="M441" s="386"/>
    </row>
    <row r="442" spans="1:13">
      <c r="A442" s="31"/>
      <c r="B442" s="16" t="str">
        <f>Products!B2474</f>
        <v>Ручка PRIUS</v>
      </c>
      <c r="C442" s="66"/>
      <c r="D442" s="194">
        <f>Products!E2474</f>
        <v>1560</v>
      </c>
      <c r="E442" s="62"/>
      <c r="F442" s="62"/>
      <c r="G442" s="209"/>
      <c r="H442" s="62"/>
      <c r="I442" s="62"/>
      <c r="J442" s="62"/>
      <c r="K442" s="29"/>
      <c r="L442" s="386"/>
      <c r="M442" s="386"/>
    </row>
    <row r="443" spans="1:13" s="31" customFormat="1">
      <c r="B443" s="23" t="str">
        <f>Products!B2475</f>
        <v>Ручка OFFICE</v>
      </c>
      <c r="C443" s="70"/>
      <c r="D443" s="196">
        <f>Products!E2475</f>
        <v>750</v>
      </c>
      <c r="E443" s="62"/>
      <c r="F443" s="62"/>
      <c r="G443" s="209"/>
      <c r="H443" s="62"/>
      <c r="I443" s="62"/>
      <c r="J443" s="62"/>
      <c r="K443" s="29"/>
      <c r="L443" s="386"/>
      <c r="M443" s="386"/>
    </row>
    <row r="444" spans="1:13">
      <c r="C444" s="34"/>
      <c r="D444" s="34"/>
      <c r="E444" s="62"/>
      <c r="F444" s="62"/>
      <c r="J444" s="367"/>
      <c r="K444" s="367"/>
      <c r="L444" s="367"/>
      <c r="M444" s="367"/>
    </row>
    <row r="445" spans="1:13">
      <c r="A445" s="31"/>
      <c r="B445" s="470" t="str">
        <f>TITLE!$C$49</f>
        <v>Інші Аксесуари</v>
      </c>
      <c r="C445" s="471"/>
      <c r="D445" s="471"/>
      <c r="E445" s="471"/>
      <c r="F445" s="178"/>
      <c r="G445" s="178"/>
      <c r="H445" s="178"/>
      <c r="I445" s="178"/>
      <c r="J445" s="357"/>
      <c r="K445" s="357"/>
      <c r="L445" s="370"/>
      <c r="M445" s="371"/>
    </row>
    <row r="446" spans="1:13">
      <c r="A446" s="31"/>
      <c r="B446" s="64" t="str">
        <f>Products!B2528</f>
        <v>модель</v>
      </c>
      <c r="C446" s="12"/>
      <c r="D446" s="12" t="str">
        <f>Products!D2528</f>
        <v>Ціна</v>
      </c>
      <c r="E446" s="47"/>
      <c r="F446" s="47"/>
      <c r="G446" s="47"/>
      <c r="H446" s="47"/>
      <c r="I446" s="47"/>
      <c r="J446" s="47"/>
      <c r="K446" s="47"/>
      <c r="L446" s="367"/>
      <c r="M446" s="367"/>
    </row>
    <row r="447" spans="1:13">
      <c r="A447" s="31"/>
      <c r="B447" s="13" t="str">
        <f>Products!B2529</f>
        <v>Замок STANDARD</v>
      </c>
      <c r="C447" s="102"/>
      <c r="D447" s="192">
        <f>Products!E2529</f>
        <v>400.00000000000006</v>
      </c>
      <c r="E447" s="29"/>
      <c r="F447" s="29"/>
      <c r="G447" s="29"/>
      <c r="H447" s="62"/>
      <c r="I447" s="62"/>
      <c r="J447" s="62"/>
      <c r="K447" s="29"/>
      <c r="L447" s="386"/>
      <c r="M447" s="387"/>
    </row>
    <row r="448" spans="1:13">
      <c r="A448" s="31"/>
      <c r="B448" s="16" t="str">
        <f>Products!B2530</f>
        <v>завіса штирьова</v>
      </c>
      <c r="C448" s="66"/>
      <c r="D448" s="194">
        <f>Products!E2530</f>
        <v>120</v>
      </c>
      <c r="E448" s="29"/>
      <c r="F448" s="62"/>
      <c r="G448" s="29"/>
      <c r="H448" s="62"/>
      <c r="I448" s="62"/>
      <c r="J448" s="62"/>
      <c r="K448" s="29"/>
      <c r="L448" s="386"/>
      <c r="M448" s="386"/>
    </row>
    <row r="449" spans="1:13">
      <c r="A449" s="31"/>
      <c r="B449" s="16"/>
      <c r="C449" s="66"/>
      <c r="D449" s="194"/>
      <c r="E449" s="29"/>
      <c r="F449" s="62"/>
      <c r="G449" s="29"/>
      <c r="H449" s="62"/>
      <c r="I449" s="62"/>
      <c r="J449" s="62"/>
      <c r="K449" s="29"/>
      <c r="L449" s="386"/>
      <c r="M449" s="386"/>
    </row>
    <row r="450" spans="1:13">
      <c r="A450" s="31"/>
      <c r="B450" s="16" t="str">
        <f>Products!B2531</f>
        <v>відповідна планка</v>
      </c>
      <c r="C450" s="66"/>
      <c r="D450" s="194">
        <f>Products!E2531</f>
        <v>120</v>
      </c>
      <c r="E450" s="62"/>
      <c r="F450" s="62"/>
      <c r="G450" s="29"/>
      <c r="H450" s="62"/>
      <c r="I450" s="62"/>
      <c r="J450" s="62"/>
      <c r="K450" s="29"/>
      <c r="L450" s="386"/>
      <c r="M450" s="386"/>
    </row>
    <row r="451" spans="1:13">
      <c r="A451" s="31"/>
      <c r="B451" s="16"/>
      <c r="C451" s="66"/>
      <c r="D451" s="194"/>
      <c r="E451" s="29"/>
      <c r="F451" s="62"/>
      <c r="G451" s="29"/>
      <c r="H451" s="62"/>
      <c r="I451" s="62"/>
      <c r="J451" s="62"/>
      <c r="K451" s="29"/>
      <c r="L451" s="386"/>
      <c r="M451" s="386"/>
    </row>
    <row r="452" spans="1:13">
      <c r="A452" s="31"/>
      <c r="B452" s="23" t="str">
        <f>Products!B2532</f>
        <v>Шпінгалет</v>
      </c>
      <c r="C452" s="70"/>
      <c r="D452" s="196">
        <f>Products!E2532</f>
        <v>200.00000000000003</v>
      </c>
      <c r="E452" s="29"/>
      <c r="F452" s="62"/>
      <c r="G452" s="29"/>
      <c r="H452" s="62"/>
      <c r="I452" s="62"/>
      <c r="J452" s="62"/>
      <c r="K452" s="29"/>
      <c r="L452" s="386"/>
      <c r="M452" s="386"/>
    </row>
    <row r="453" spans="1:13">
      <c r="C453" s="34"/>
      <c r="D453" s="34"/>
      <c r="E453" s="34"/>
    </row>
    <row r="454" spans="1:13">
      <c r="C454" s="34"/>
      <c r="D454" s="34"/>
      <c r="E454" s="34"/>
    </row>
    <row r="455" spans="1:13">
      <c r="C455" s="34"/>
      <c r="D455" s="34"/>
      <c r="E455" s="34"/>
    </row>
    <row r="456" spans="1:13">
      <c r="C456" s="34"/>
      <c r="D456" s="34"/>
    </row>
  </sheetData>
  <sheetProtection password="DB76" sheet="1" objects="1" scenarios="1" selectLockedCells="1" selectUnlockedCells="1"/>
  <mergeCells count="100">
    <mergeCell ref="B66:E66"/>
    <mergeCell ref="B67:B69"/>
    <mergeCell ref="B261:B263"/>
    <mergeCell ref="B199:E199"/>
    <mergeCell ref="B200:B202"/>
    <mergeCell ref="B211:E211"/>
    <mergeCell ref="B249:B251"/>
    <mergeCell ref="B128:B130"/>
    <mergeCell ref="B139:E139"/>
    <mergeCell ref="B91:E91"/>
    <mergeCell ref="B152:B154"/>
    <mergeCell ref="B320:B322"/>
    <mergeCell ref="B224:B226"/>
    <mergeCell ref="B260:E260"/>
    <mergeCell ref="H343:I343"/>
    <mergeCell ref="B319:E319"/>
    <mergeCell ref="D275:F275"/>
    <mergeCell ref="D343:E343"/>
    <mergeCell ref="B330:B332"/>
    <mergeCell ref="B342:E342"/>
    <mergeCell ref="B338:B339"/>
    <mergeCell ref="K415:M415"/>
    <mergeCell ref="B37:B39"/>
    <mergeCell ref="B298:B300"/>
    <mergeCell ref="B309:E309"/>
    <mergeCell ref="B337:E337"/>
    <mergeCell ref="B378:E378"/>
    <mergeCell ref="B116:B118"/>
    <mergeCell ref="B140:B142"/>
    <mergeCell ref="B212:B214"/>
    <mergeCell ref="B103:E103"/>
    <mergeCell ref="B343:B344"/>
    <mergeCell ref="B297:E297"/>
    <mergeCell ref="D274:F274"/>
    <mergeCell ref="B165:B167"/>
    <mergeCell ref="B175:E175"/>
    <mergeCell ref="B176:B178"/>
    <mergeCell ref="L379:M379"/>
    <mergeCell ref="L343:M343"/>
    <mergeCell ref="F343:G343"/>
    <mergeCell ref="J343:K343"/>
    <mergeCell ref="L359:M359"/>
    <mergeCell ref="F359:G359"/>
    <mergeCell ref="J359:K359"/>
    <mergeCell ref="H359:I359"/>
    <mergeCell ref="J379:K379"/>
    <mergeCell ref="H379:I379"/>
    <mergeCell ref="B445:E445"/>
    <mergeCell ref="B420:E420"/>
    <mergeCell ref="D359:E359"/>
    <mergeCell ref="B359:B360"/>
    <mergeCell ref="B358:E358"/>
    <mergeCell ref="B421:B422"/>
    <mergeCell ref="B437:E437"/>
    <mergeCell ref="B379:B380"/>
    <mergeCell ref="D379:E379"/>
    <mergeCell ref="D407:G407"/>
    <mergeCell ref="D371:G371"/>
    <mergeCell ref="B414:E414"/>
    <mergeCell ref="B415:B416"/>
    <mergeCell ref="F379:G379"/>
    <mergeCell ref="L329:M329"/>
    <mergeCell ref="B52:E52"/>
    <mergeCell ref="B274:B276"/>
    <mergeCell ref="B329:E329"/>
    <mergeCell ref="B223:E223"/>
    <mergeCell ref="B273:E273"/>
    <mergeCell ref="B248:E248"/>
    <mergeCell ref="B235:E235"/>
    <mergeCell ref="B127:E127"/>
    <mergeCell ref="B53:B55"/>
    <mergeCell ref="B310:B312"/>
    <mergeCell ref="B115:E115"/>
    <mergeCell ref="B80:B82"/>
    <mergeCell ref="B187:E187"/>
    <mergeCell ref="B188:B190"/>
    <mergeCell ref="B236:B238"/>
    <mergeCell ref="D3:G3"/>
    <mergeCell ref="B286:B288"/>
    <mergeCell ref="B285:E285"/>
    <mergeCell ref="B79:E79"/>
    <mergeCell ref="B151:E151"/>
    <mergeCell ref="B164:E164"/>
    <mergeCell ref="B25:B27"/>
    <mergeCell ref="B36:E36"/>
    <mergeCell ref="D4:G4"/>
    <mergeCell ref="B6:C6"/>
    <mergeCell ref="B9:B11"/>
    <mergeCell ref="D6:M6"/>
    <mergeCell ref="B8:E8"/>
    <mergeCell ref="B24:E24"/>
    <mergeCell ref="B104:B106"/>
    <mergeCell ref="B92:B94"/>
    <mergeCell ref="L395:M395"/>
    <mergeCell ref="B394:E394"/>
    <mergeCell ref="B395:B396"/>
    <mergeCell ref="D395:E395"/>
    <mergeCell ref="F395:G395"/>
    <mergeCell ref="H395:I395"/>
    <mergeCell ref="J395:K395"/>
  </mergeCells>
  <phoneticPr fontId="5" type="noConversion"/>
  <printOptions horizontalCentered="1"/>
  <pageMargins left="0.23622047244094491" right="0.27559055118110237" top="0.27" bottom="0.3" header="0.27559055118110237" footer="0.31496062992125984"/>
  <pageSetup paperSize="9" scale="56" fitToHeight="10" orientation="portrait" r:id="rId1"/>
  <headerFooter alignWithMargins="0"/>
  <rowBreaks count="4" manualBreakCount="4">
    <brk id="65" max="16383" man="1"/>
    <brk id="163" max="16383" man="1"/>
    <brk id="259" max="16383" man="1"/>
    <brk id="35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39</vt:i4>
      </vt:variant>
    </vt:vector>
  </HeadingPairs>
  <TitlesOfParts>
    <vt:vector size="42" baseType="lpstr">
      <vt:lpstr>TITLE</vt:lpstr>
      <vt:lpstr>Products</vt:lpstr>
      <vt:lpstr>print page</vt:lpstr>
      <vt:lpstr>Door_Dobor</vt:lpstr>
      <vt:lpstr>Door_Dobor_Lada</vt:lpstr>
      <vt:lpstr>Door_Elegant</vt:lpstr>
      <vt:lpstr>Door_Eva</vt:lpstr>
      <vt:lpstr>Door_Geometry</vt:lpstr>
      <vt:lpstr>Door_Glasford</vt:lpstr>
      <vt:lpstr>Door_Gordana</vt:lpstr>
      <vt:lpstr>Door_Idea</vt:lpstr>
      <vt:lpstr>Door_IdeaLoft</vt:lpstr>
      <vt:lpstr>Door_Kupava</vt:lpstr>
      <vt:lpstr>Door_LadaA</vt:lpstr>
      <vt:lpstr>Door_LadaB</vt:lpstr>
      <vt:lpstr>Door_LadaC</vt:lpstr>
      <vt:lpstr>Door_LadaD</vt:lpstr>
      <vt:lpstr>Door_LadaK</vt:lpstr>
      <vt:lpstr>Door_LadaL</vt:lpstr>
      <vt:lpstr>Door_LadaN</vt:lpstr>
      <vt:lpstr>Door_Linda</vt:lpstr>
      <vt:lpstr>Door_Line</vt:lpstr>
      <vt:lpstr>Door_Lineya</vt:lpstr>
      <vt:lpstr>Door_Lisa</vt:lpstr>
      <vt:lpstr>Door_Mira</vt:lpstr>
      <vt:lpstr>Door_Modern</vt:lpstr>
      <vt:lpstr>Door_Nika</vt:lpstr>
      <vt:lpstr>Door_Pollo</vt:lpstr>
      <vt:lpstr>Door_Standard</vt:lpstr>
      <vt:lpstr>Door_Tiana</vt:lpstr>
      <vt:lpstr>Door_Trend</vt:lpstr>
      <vt:lpstr>DoorHandles</vt:lpstr>
      <vt:lpstr>Frame_Stand</vt:lpstr>
      <vt:lpstr>Frame_VFit</vt:lpstr>
      <vt:lpstr>Frame_VFitComfort</vt:lpstr>
      <vt:lpstr>Frame_VFitPlus</vt:lpstr>
      <vt:lpstr>Framugi</vt:lpstr>
      <vt:lpstr>Furniture</vt:lpstr>
      <vt:lpstr>MENU</vt:lpstr>
      <vt:lpstr>Plinths</vt:lpstr>
      <vt:lpstr>vat</vt:lpstr>
      <vt:lpstr>Verto_Slide</vt:lpstr>
    </vt:vector>
  </TitlesOfParts>
  <Company>pgs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 Doors</dc:creator>
  <cp:lastModifiedBy>galina007</cp:lastModifiedBy>
  <cp:lastPrinted>2022-06-20T06:54:42Z</cp:lastPrinted>
  <dcterms:created xsi:type="dcterms:W3CDTF">2011-03-01T10:54:25Z</dcterms:created>
  <dcterms:modified xsi:type="dcterms:W3CDTF">2022-08-11T19:02:29Z</dcterms:modified>
</cp:coreProperties>
</file>