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496" windowHeight="7668" tabRatio="548"/>
  </bookViews>
  <sheets>
    <sheet name="form" sheetId="1" r:id="rId1"/>
    <sheet name="ORDER" sheetId="5" r:id="rId2"/>
    <sheet name="Код ДП" sheetId="6" r:id="rId3"/>
    <sheet name="Код КД" sheetId="7" r:id="rId4"/>
    <sheet name="Код ФР" sheetId="9" r:id="rId5"/>
    <sheet name="Код ПГ" sheetId="10" r:id="rId6"/>
    <sheet name="Лист1" sheetId="4" state="veryHidden" r:id="rId7"/>
  </sheets>
  <definedNames>
    <definedName name="color">OFFSET(Лист1!$BO$12,MATCH(form!$H1,Лист1!$BO:$BO,0)-12,1,COUNTIF(Лист1!$BO:$BO,form!$H1),1)</definedName>
    <definedName name="decor">OFFSET(Лист1!$BK$12,MATCH(form!$C1,Лист1!$BK:$BK,0)-12,1,COUNTIF(Лист1!$BK:$BK,form!$C1),1)</definedName>
    <definedName name="dimentions">OFFSET(Лист1!$BG$12,MATCH(form!$F1,Лист1!$BG:$BG,0)-12,1,COUNTIF(Лист1!$BG:$BG,form!$F1),1)</definedName>
    <definedName name="door_frame">OFFSET(Лист1!$CM$12,MATCH(form!$Z1,Лист1!$CM:$CM,0)-12,1,COUNTIF(Лист1!$CM:$CM,form!$Z1),1)</definedName>
    <definedName name="filling">OFFSET(Лист1!$BS$12,MATCH(form!$A1,Лист1!$BS:$BS,0)-12,1,COUNTIF(Лист1!$BS:$BS,form!$A1),1)</definedName>
    <definedName name="frame_model">OFFSET(Лист1!$CQ$12,MATCH(form!$O1,Лист1!$CQ:$CQ,0)-12,1,COUNTIF(Лист1!$CQ:$CQ,form!$O1),1)</definedName>
    <definedName name="frame_nalichnik">OFFSET(Лист1!$CU$12,MATCH(form!$O1,Лист1!$CU:$CU,0)-12,1,COUNTIF(Лист1!$CU:$CU,form!$O1),1)</definedName>
    <definedName name="furniture">OFFSET(Лист1!$CA$12,MATCH(form!$Y1,Лист1!$CA:$CA,0)-12,1,COUNTIF(Лист1!$CA:$CA,form!$Y1),1)</definedName>
    <definedName name="glass">OFFSET(Лист1!$BW$12,MATCH(form!$A1,Лист1!$BW:$BW,0)-12,1,COUNTIF(Лист1!$BW:$BW,form!$A1),1)</definedName>
    <definedName name="models">OFFSET(Лист1!$AU$12,MATCH(form!$C1,Лист1!$AU:$AU,0)-12,1,COUNTIF(Лист1!$AU:$AU,form!$C1),1)</definedName>
    <definedName name="seriya_DF">Лист1!$C$45:$C$52</definedName>
    <definedName name="seriya_DL">Лист1!$C$13:$C$42</definedName>
    <definedName name="seriya_FR">Лист1!$C$55:$C$56</definedName>
    <definedName name="seriya3">Лист1!$C$59:$C$75</definedName>
    <definedName name="seriya4">Лист1!$C$78:$C$130</definedName>
    <definedName name="sides">OFFSET(Лист1!$CI$12,MATCH(form!$L1,Лист1!$CI:$CI,0)-12,1,COUNTIF(Лист1!$CI:$CI,form!$L1),1)</definedName>
    <definedName name="type">OFFSET(Лист1!$AY$12,MATCH(form!$A1,Лист1!$AY:$AY,0)-12,1,COUNTIF(Лист1!$AY:$AY,form!$A1),1)</definedName>
    <definedName name="type_2">OFFSET(Лист1!$BC$12,MATCH(form!$E1,Лист1!$BC:$BC,0)-12,1,COUNTIF(Лист1!$BC:$BC,form!$E1),1)</definedName>
    <definedName name="vat_yesno">form!$X$4:$X$5</definedName>
    <definedName name="vent">OFFSET(Лист1!$CE$12,MATCH(form!$Y1,Лист1!$CE:$CE,0)-12,1,COUNTIF(Лист1!$CE:$CE,form!$Y1),1)</definedName>
    <definedName name="_xlnm.Print_Area" localSheetId="0">form!$A$1:$U$99</definedName>
  </definedNames>
  <calcPr calcId="125725" fullCalcOnLoad="1"/>
</workbook>
</file>

<file path=xl/calcChain.xml><?xml version="1.0" encoding="utf-8"?>
<calcChain xmlns="http://schemas.openxmlformats.org/spreadsheetml/2006/main">
  <c r="BQ28" i="4"/>
  <c r="BQ29"/>
  <c r="BQ40"/>
  <c r="CK27"/>
  <c r="CK28"/>
  <c r="CK29"/>
  <c r="CK30"/>
  <c r="CK46"/>
  <c r="CK47"/>
  <c r="CK48"/>
  <c r="CK49"/>
  <c r="CK55"/>
  <c r="CK56"/>
  <c r="CK57"/>
  <c r="CK58"/>
  <c r="CK67"/>
  <c r="CK68"/>
  <c r="CK69"/>
  <c r="CK70"/>
  <c r="CK71"/>
  <c r="CK72"/>
  <c r="CK73"/>
  <c r="CK74"/>
  <c r="CK93"/>
  <c r="CK94"/>
  <c r="CK101"/>
  <c r="CK102"/>
  <c r="CK121"/>
  <c r="CK122"/>
  <c r="CK123"/>
  <c r="CK124"/>
  <c r="CK54"/>
  <c r="CK53"/>
  <c r="CK52"/>
  <c r="CK51"/>
  <c r="CC1002"/>
  <c r="CC1001"/>
  <c r="CC983"/>
  <c r="CC982"/>
  <c r="CC968"/>
  <c r="CC967"/>
  <c r="CC953"/>
  <c r="CC952"/>
  <c r="CC942"/>
  <c r="CC936"/>
  <c r="CC935"/>
  <c r="CC913"/>
  <c r="CC908"/>
  <c r="CC907"/>
  <c r="CC893"/>
  <c r="CC888"/>
  <c r="CC887"/>
  <c r="CC873"/>
  <c r="CC868"/>
  <c r="CC863"/>
  <c r="CC862"/>
  <c r="CC849"/>
  <c r="CC848"/>
  <c r="CC830"/>
  <c r="CC829"/>
  <c r="CC827"/>
  <c r="CC826"/>
  <c r="CC824"/>
  <c r="CC823"/>
  <c r="CC820"/>
  <c r="CC815"/>
  <c r="CC814"/>
  <c r="CC796"/>
  <c r="CC795"/>
  <c r="CC793"/>
  <c r="CC792"/>
  <c r="CC790"/>
  <c r="CC789"/>
  <c r="CC786"/>
  <c r="CC781"/>
  <c r="CC780"/>
  <c r="CC762"/>
  <c r="CC761"/>
  <c r="CC759"/>
  <c r="CC758"/>
  <c r="CC756"/>
  <c r="CC755"/>
  <c r="CC752"/>
  <c r="CC747"/>
  <c r="CC746"/>
  <c r="CC728"/>
  <c r="CC727"/>
  <c r="CC725"/>
  <c r="CC724"/>
  <c r="CC722"/>
  <c r="CC721"/>
  <c r="CC718"/>
  <c r="CC713"/>
  <c r="CC712"/>
  <c r="CC694"/>
  <c r="CC693"/>
  <c r="CC691"/>
  <c r="CC690"/>
  <c r="CC688"/>
  <c r="CC687"/>
  <c r="CC684"/>
  <c r="CC679"/>
  <c r="CC678"/>
  <c r="CC660"/>
  <c r="CC659"/>
  <c r="CC657"/>
  <c r="CC656"/>
  <c r="CC650"/>
  <c r="CC645"/>
  <c r="CC644"/>
  <c r="CC623"/>
  <c r="CC622"/>
  <c r="CC620"/>
  <c r="CC619"/>
  <c r="CC616"/>
  <c r="CC611"/>
  <c r="CC610"/>
  <c r="CC592"/>
  <c r="CC591"/>
  <c r="CC589"/>
  <c r="CC588"/>
  <c r="CC586"/>
  <c r="CC585"/>
  <c r="CC582"/>
  <c r="CC577"/>
  <c r="CC576"/>
  <c r="CC509"/>
  <c r="CC508"/>
  <c r="CC558"/>
  <c r="CC557"/>
  <c r="CC555"/>
  <c r="CC554"/>
  <c r="CC552"/>
  <c r="CC551"/>
  <c r="CC548"/>
  <c r="CC543"/>
  <c r="CC542"/>
  <c r="CC524"/>
  <c r="CC523"/>
  <c r="CC521"/>
  <c r="CC520"/>
  <c r="CC518"/>
  <c r="CC517"/>
  <c r="CC514"/>
  <c r="CC490"/>
  <c r="CC489"/>
  <c r="CC487"/>
  <c r="CC486"/>
  <c r="CC480"/>
  <c r="CC475"/>
  <c r="CC474"/>
  <c r="CC456"/>
  <c r="CC455"/>
  <c r="CC453"/>
  <c r="CC452"/>
  <c r="CC450"/>
  <c r="CC449"/>
  <c r="CC446"/>
  <c r="CC441"/>
  <c r="CC440"/>
  <c r="CC422"/>
  <c r="CC421"/>
  <c r="CC419"/>
  <c r="CC418"/>
  <c r="CC416"/>
  <c r="CC415"/>
  <c r="CC407"/>
  <c r="CC406"/>
  <c r="CC388"/>
  <c r="CC387"/>
  <c r="CC385"/>
  <c r="CC384"/>
  <c r="CC382"/>
  <c r="CC381"/>
  <c r="CC378"/>
  <c r="CC373"/>
  <c r="CC372"/>
  <c r="CC354"/>
  <c r="CC353"/>
  <c r="CC351"/>
  <c r="CC350"/>
  <c r="CC348"/>
  <c r="CC347"/>
  <c r="CC344"/>
  <c r="CC320"/>
  <c r="CC319"/>
  <c r="CC334"/>
  <c r="CC333"/>
  <c r="CC301"/>
  <c r="CC300"/>
  <c r="CC298"/>
  <c r="CC297"/>
  <c r="CC295"/>
  <c r="CC294"/>
  <c r="CC291"/>
  <c r="CC286"/>
  <c r="CC285"/>
  <c r="CC267"/>
  <c r="CC266"/>
  <c r="CC264"/>
  <c r="CC263"/>
  <c r="CC261"/>
  <c r="CC260"/>
  <c r="CC257"/>
  <c r="CC256"/>
  <c r="CC247"/>
  <c r="CC246"/>
  <c r="CC244"/>
  <c r="CC243"/>
  <c r="CC215"/>
  <c r="CC214"/>
  <c r="CC212"/>
  <c r="CC211"/>
  <c r="CC209"/>
  <c r="CC208"/>
  <c r="CC205"/>
  <c r="CC204"/>
  <c r="CC195"/>
  <c r="CC194"/>
  <c r="CC192"/>
  <c r="CC191"/>
  <c r="CC163"/>
  <c r="CC162"/>
  <c r="CC160"/>
  <c r="CC159"/>
  <c r="CC153"/>
  <c r="CC152"/>
  <c r="CC143"/>
  <c r="CC142"/>
  <c r="CC140"/>
  <c r="CC139"/>
  <c r="CC110"/>
  <c r="CC109"/>
  <c r="CC107"/>
  <c r="CC106"/>
  <c r="CC104"/>
  <c r="CC103"/>
  <c r="CC100"/>
  <c r="CC99"/>
  <c r="CC90"/>
  <c r="CC89"/>
  <c r="CC87"/>
  <c r="CC86"/>
  <c r="CK117"/>
  <c r="CK116"/>
  <c r="CK115"/>
  <c r="CK114"/>
  <c r="CK113"/>
  <c r="CK112"/>
  <c r="CK100"/>
  <c r="CK99"/>
  <c r="CK92"/>
  <c r="CK91"/>
  <c r="CK26"/>
  <c r="CK25"/>
  <c r="CK24"/>
  <c r="CK23"/>
  <c r="CK45"/>
  <c r="CK44"/>
  <c r="CK43"/>
  <c r="CK42"/>
  <c r="CC58"/>
  <c r="CC57"/>
  <c r="CC55"/>
  <c r="CC54"/>
  <c r="CC52"/>
  <c r="CC51"/>
  <c r="CC48"/>
  <c r="CC47"/>
  <c r="CC38"/>
  <c r="CC37"/>
  <c r="CC35"/>
  <c r="CC34"/>
  <c r="CK66"/>
  <c r="CK65"/>
  <c r="CK64"/>
  <c r="CK63"/>
  <c r="CK62"/>
  <c r="CK61"/>
  <c r="CK60"/>
  <c r="CK59"/>
  <c r="CC59"/>
  <c r="CC61"/>
  <c r="BQ37"/>
  <c r="BY368"/>
  <c r="BY361"/>
  <c r="BY354"/>
  <c r="BY330"/>
  <c r="BY325"/>
  <c r="BY321"/>
  <c r="BY317"/>
  <c r="BY313"/>
  <c r="BY309"/>
  <c r="BY305"/>
  <c r="BY301"/>
  <c r="BY297"/>
  <c r="BY293"/>
  <c r="BY289"/>
  <c r="BY285"/>
  <c r="BY281"/>
  <c r="BY280"/>
  <c r="BY447"/>
  <c r="BY443"/>
  <c r="BY439"/>
  <c r="BY435"/>
  <c r="BY431"/>
  <c r="BY427"/>
  <c r="BY423"/>
  <c r="BY419"/>
  <c r="BY415"/>
  <c r="BY394"/>
  <c r="BY390"/>
  <c r="BY386"/>
  <c r="BY788"/>
  <c r="BY783"/>
  <c r="BY778"/>
  <c r="BY773"/>
  <c r="BY769"/>
  <c r="BY764"/>
  <c r="BY537"/>
  <c r="BY508"/>
  <c r="BY474"/>
  <c r="BY467"/>
  <c r="BY460"/>
  <c r="BY268"/>
  <c r="BY190"/>
  <c r="BY182"/>
  <c r="BY171"/>
  <c r="CK85"/>
  <c r="CK84"/>
  <c r="CC898"/>
  <c r="CC899"/>
  <c r="CC900"/>
  <c r="CC901"/>
  <c r="CC902"/>
  <c r="CC878"/>
  <c r="CC879"/>
  <c r="CC880"/>
  <c r="CC881"/>
  <c r="CC882"/>
  <c r="CC853"/>
  <c r="CC854"/>
  <c r="CC855"/>
  <c r="CC856"/>
  <c r="CC857"/>
  <c r="CC839"/>
  <c r="CC840"/>
  <c r="CC841"/>
  <c r="CC842"/>
  <c r="CC843"/>
  <c r="CC805"/>
  <c r="CC806"/>
  <c r="CC807"/>
  <c r="CC808"/>
  <c r="CC809"/>
  <c r="CC771"/>
  <c r="CC772"/>
  <c r="CC773"/>
  <c r="CC774"/>
  <c r="CC775"/>
  <c r="CC737"/>
  <c r="CC738"/>
  <c r="CC739"/>
  <c r="CC740"/>
  <c r="CC741"/>
  <c r="CC703"/>
  <c r="CC704"/>
  <c r="CC705"/>
  <c r="CC706"/>
  <c r="CC707"/>
  <c r="CC669"/>
  <c r="CC670"/>
  <c r="CC671"/>
  <c r="CC672"/>
  <c r="CC673"/>
  <c r="CC635"/>
  <c r="CC636"/>
  <c r="CC637"/>
  <c r="CC638"/>
  <c r="CC639"/>
  <c r="CC601"/>
  <c r="CC602"/>
  <c r="CC603"/>
  <c r="CC604"/>
  <c r="CC605"/>
  <c r="CC567"/>
  <c r="CC568"/>
  <c r="CC569"/>
  <c r="CC570"/>
  <c r="CC571"/>
  <c r="CC533"/>
  <c r="CC534"/>
  <c r="CC535"/>
  <c r="CC536"/>
  <c r="CC537"/>
  <c r="CC499"/>
  <c r="CC500"/>
  <c r="CC501"/>
  <c r="CC502"/>
  <c r="CC503"/>
  <c r="CC465"/>
  <c r="CC466"/>
  <c r="CC467"/>
  <c r="CC468"/>
  <c r="CC469"/>
  <c r="CC431"/>
  <c r="CC432"/>
  <c r="CC433"/>
  <c r="CC434"/>
  <c r="CC435"/>
  <c r="CC397"/>
  <c r="CC398"/>
  <c r="CC399"/>
  <c r="CC400"/>
  <c r="CC401"/>
  <c r="CC363"/>
  <c r="CC364"/>
  <c r="CC365"/>
  <c r="CC366"/>
  <c r="CC367"/>
  <c r="CC324"/>
  <c r="CC325"/>
  <c r="CC326"/>
  <c r="CC327"/>
  <c r="CC328"/>
  <c r="CC310"/>
  <c r="CC311"/>
  <c r="CC312"/>
  <c r="CC313"/>
  <c r="CC314"/>
  <c r="CC276"/>
  <c r="CC277"/>
  <c r="CC278"/>
  <c r="CC279"/>
  <c r="CC280"/>
  <c r="CC224"/>
  <c r="CC225"/>
  <c r="CC226"/>
  <c r="CC227"/>
  <c r="CC228"/>
  <c r="CC230"/>
  <c r="CC231"/>
  <c r="CC232"/>
  <c r="CC233"/>
  <c r="CC234"/>
  <c r="CC235"/>
  <c r="CC179"/>
  <c r="CC180"/>
  <c r="CC181"/>
  <c r="CC182"/>
  <c r="CC183"/>
  <c r="CC172"/>
  <c r="CC173"/>
  <c r="CC174"/>
  <c r="CC175"/>
  <c r="CC176"/>
  <c r="CC127"/>
  <c r="CC128"/>
  <c r="CC129"/>
  <c r="CC130"/>
  <c r="CC131"/>
  <c r="CC126"/>
  <c r="CC78"/>
  <c r="CC77"/>
  <c r="CC76"/>
  <c r="CC75"/>
  <c r="CC74"/>
  <c r="CC73"/>
  <c r="CC22"/>
  <c r="CC23"/>
  <c r="CC24"/>
  <c r="CC25"/>
  <c r="CC26"/>
  <c r="CC120"/>
  <c r="CC121"/>
  <c r="CC122"/>
  <c r="CC123"/>
  <c r="CC124"/>
  <c r="CC67"/>
  <c r="CC68"/>
  <c r="CC69"/>
  <c r="CC70"/>
  <c r="CC71"/>
  <c r="CC19"/>
  <c r="CC17"/>
  <c r="CC15"/>
  <c r="CC922"/>
  <c r="CC923"/>
  <c r="CC924"/>
  <c r="O5" i="1"/>
  <c r="D2" i="5"/>
  <c r="D1"/>
  <c r="DE3" i="4"/>
  <c r="BQ44"/>
  <c r="BQ25"/>
  <c r="BM65"/>
  <c r="BQ53"/>
  <c r="BQ52"/>
  <c r="BQ51"/>
  <c r="BQ50"/>
  <c r="BQ49"/>
  <c r="CO213"/>
  <c r="BQ67"/>
  <c r="BQ68"/>
  <c r="BM135"/>
  <c r="BQ66"/>
  <c r="BQ65"/>
  <c r="BQ64"/>
  <c r="BQ63"/>
  <c r="BQ62"/>
  <c r="BQ61"/>
  <c r="BQ60"/>
  <c r="BM14"/>
  <c r="BQ57"/>
  <c r="BQ58"/>
  <c r="BM123"/>
  <c r="BY888"/>
  <c r="BY879"/>
  <c r="BY870"/>
  <c r="BY861"/>
  <c r="BY852"/>
  <c r="BY843"/>
  <c r="BY834"/>
  <c r="BY825"/>
  <c r="BY816"/>
  <c r="BY807"/>
  <c r="BY797"/>
  <c r="BM264"/>
  <c r="BM312"/>
  <c r="BM304"/>
  <c r="BM296"/>
  <c r="BM288"/>
  <c r="BM280"/>
  <c r="BM272"/>
  <c r="BM254"/>
  <c r="BM246"/>
  <c r="BM238"/>
  <c r="BM230"/>
  <c r="BM222"/>
  <c r="BM214"/>
  <c r="BM206"/>
  <c r="BM198"/>
  <c r="BM190"/>
  <c r="BM182"/>
  <c r="BM174"/>
  <c r="BM166"/>
  <c r="BM158"/>
  <c r="BM150"/>
  <c r="BM143"/>
  <c r="BM138"/>
  <c r="BM67"/>
  <c r="BM120"/>
  <c r="BM114"/>
  <c r="BM109"/>
  <c r="BM103"/>
  <c r="BM97"/>
  <c r="BM91"/>
  <c r="BM85"/>
  <c r="BM79"/>
  <c r="BM73"/>
  <c r="BM61"/>
  <c r="BM55"/>
  <c r="BM49"/>
  <c r="BM43"/>
  <c r="BM37"/>
  <c r="BM31"/>
  <c r="BM25"/>
  <c r="BM21"/>
  <c r="BM17"/>
  <c r="BM13"/>
  <c r="BQ36"/>
  <c r="BQ35"/>
  <c r="BQ34"/>
  <c r="BQ33"/>
  <c r="BQ32"/>
  <c r="BQ31"/>
  <c r="BQ30"/>
  <c r="BQ15"/>
  <c r="BY138"/>
  <c r="CO74"/>
  <c r="CO73"/>
  <c r="CO72"/>
  <c r="CO71"/>
  <c r="CO70"/>
  <c r="CO69"/>
  <c r="CO68"/>
  <c r="CG67"/>
  <c r="CG66"/>
  <c r="CG65"/>
  <c r="CG64"/>
  <c r="CG63"/>
  <c r="CG62"/>
  <c r="CG61"/>
  <c r="CG60"/>
  <c r="CG59"/>
  <c r="CG58"/>
  <c r="CG57"/>
  <c r="CC271"/>
  <c r="CC270"/>
  <c r="CC268"/>
  <c r="CC258"/>
  <c r="CC254"/>
  <c r="CC253"/>
  <c r="CC251"/>
  <c r="CC250"/>
  <c r="CC248"/>
  <c r="CC241"/>
  <c r="CC240"/>
  <c r="CC238"/>
  <c r="CC237"/>
  <c r="CC223"/>
  <c r="CC221"/>
  <c r="BU101"/>
  <c r="BU100"/>
  <c r="BQ59"/>
  <c r="BM315"/>
  <c r="BM307"/>
  <c r="BM299"/>
  <c r="BM291"/>
  <c r="BM283"/>
  <c r="BM275"/>
  <c r="BM267"/>
  <c r="BM258"/>
  <c r="BM250"/>
  <c r="BM242"/>
  <c r="BM234"/>
  <c r="BM226"/>
  <c r="BM218"/>
  <c r="BM210"/>
  <c r="BM202"/>
  <c r="BM194"/>
  <c r="BM186"/>
  <c r="BM178"/>
  <c r="BM170"/>
  <c r="BM162"/>
  <c r="BM154"/>
  <c r="BM27"/>
  <c r="BA125"/>
  <c r="BA124"/>
  <c r="BA123"/>
  <c r="AW49"/>
  <c r="BQ27"/>
  <c r="BQ26"/>
  <c r="BQ24"/>
  <c r="BY134"/>
  <c r="BY129"/>
  <c r="BY124"/>
  <c r="BY120"/>
  <c r="BY116"/>
  <c r="BY112"/>
  <c r="BY107"/>
  <c r="BY103"/>
  <c r="BY99"/>
  <c r="BY114"/>
  <c r="BY113"/>
  <c r="BY118"/>
  <c r="BY117"/>
  <c r="BY122"/>
  <c r="BY121"/>
  <c r="BY126"/>
  <c r="BY125"/>
  <c r="BY131"/>
  <c r="BY130"/>
  <c r="BY136"/>
  <c r="BY135"/>
  <c r="BY109"/>
  <c r="BY108"/>
  <c r="BY105"/>
  <c r="BY104"/>
  <c r="BY101"/>
  <c r="BY100"/>
  <c r="BY91"/>
  <c r="BY85"/>
  <c r="BY79"/>
  <c r="BY73"/>
  <c r="BY67"/>
  <c r="BY60"/>
  <c r="BY55"/>
  <c r="BY50"/>
  <c r="BY45"/>
  <c r="BY39"/>
  <c r="BY35"/>
  <c r="BY30"/>
  <c r="BY25"/>
  <c r="BY21"/>
  <c r="BY17"/>
  <c r="BY13"/>
  <c r="E4" i="10"/>
  <c r="E4" i="9"/>
  <c r="E4" i="7"/>
  <c r="AH85" i="5"/>
  <c r="AH84"/>
  <c r="AH83"/>
  <c r="AH82"/>
  <c r="AH81"/>
  <c r="AH80"/>
  <c r="AH79"/>
  <c r="AH78"/>
  <c r="AH77"/>
  <c r="AH76"/>
  <c r="AH75"/>
  <c r="AH74"/>
  <c r="AH73"/>
  <c r="AH72"/>
  <c r="Y85"/>
  <c r="Y84"/>
  <c r="Y83"/>
  <c r="Y82"/>
  <c r="Y81"/>
  <c r="Y80"/>
  <c r="Y79"/>
  <c r="Y78"/>
  <c r="Y77"/>
  <c r="Y76"/>
  <c r="Y75"/>
  <c r="Y74"/>
  <c r="Y73"/>
  <c r="Y72"/>
  <c r="AH71"/>
  <c r="Y71"/>
  <c r="AH69"/>
  <c r="AH68"/>
  <c r="AH67"/>
  <c r="AH66"/>
  <c r="AH65"/>
  <c r="AH64"/>
  <c r="AH63"/>
  <c r="AH62"/>
  <c r="AH61"/>
  <c r="AH60"/>
  <c r="AH59"/>
  <c r="AH58"/>
  <c r="AH57"/>
  <c r="AH56"/>
  <c r="AH55"/>
  <c r="AH51"/>
  <c r="AH48"/>
  <c r="AH45"/>
  <c r="AH42"/>
  <c r="AH39"/>
  <c r="AH36"/>
  <c r="AH33"/>
  <c r="AH30"/>
  <c r="AH27"/>
  <c r="AH24"/>
  <c r="AH21"/>
  <c r="AH18"/>
  <c r="AH15"/>
  <c r="AH12"/>
  <c r="AH9"/>
  <c r="Y69"/>
  <c r="Y68"/>
  <c r="Y67"/>
  <c r="Y66"/>
  <c r="Y65"/>
  <c r="Y64"/>
  <c r="Y63"/>
  <c r="Y62"/>
  <c r="Y61"/>
  <c r="Y60"/>
  <c r="Y59"/>
  <c r="Y58"/>
  <c r="Y57"/>
  <c r="Y56"/>
  <c r="Y55"/>
  <c r="Y51"/>
  <c r="Y48"/>
  <c r="Y45"/>
  <c r="Y42"/>
  <c r="Y39"/>
  <c r="Y36"/>
  <c r="Y33"/>
  <c r="Y30"/>
  <c r="Y27"/>
  <c r="Y24"/>
  <c r="Y21"/>
  <c r="Y18"/>
  <c r="Y15"/>
  <c r="Y12"/>
  <c r="Y9"/>
  <c r="AG85"/>
  <c r="AG84"/>
  <c r="AG83"/>
  <c r="AG82"/>
  <c r="AG81"/>
  <c r="AG80"/>
  <c r="AG79"/>
  <c r="AG78"/>
  <c r="AG77"/>
  <c r="AG76"/>
  <c r="AG75"/>
  <c r="AG74"/>
  <c r="AG73"/>
  <c r="AG72"/>
  <c r="AG71"/>
  <c r="X85"/>
  <c r="X84"/>
  <c r="X83"/>
  <c r="X82"/>
  <c r="X81"/>
  <c r="X80"/>
  <c r="X79"/>
  <c r="X78"/>
  <c r="X77"/>
  <c r="X76"/>
  <c r="X75"/>
  <c r="X74"/>
  <c r="X73"/>
  <c r="X72"/>
  <c r="X71"/>
  <c r="AG69"/>
  <c r="AG68"/>
  <c r="AG67"/>
  <c r="AG66"/>
  <c r="AG65"/>
  <c r="AG64"/>
  <c r="AG63"/>
  <c r="AG62"/>
  <c r="AG61"/>
  <c r="AG60"/>
  <c r="AG59"/>
  <c r="AG58"/>
  <c r="AG57"/>
  <c r="AG56"/>
  <c r="AG55"/>
  <c r="AG51"/>
  <c r="AG48"/>
  <c r="AG45"/>
  <c r="AG42"/>
  <c r="AG39"/>
  <c r="AG36"/>
  <c r="AG33"/>
  <c r="AG30"/>
  <c r="AG27"/>
  <c r="AG24"/>
  <c r="AG21"/>
  <c r="AG18"/>
  <c r="AG15"/>
  <c r="AG12"/>
  <c r="AG9"/>
  <c r="X69"/>
  <c r="X68"/>
  <c r="X67"/>
  <c r="X66"/>
  <c r="X65"/>
  <c r="X64"/>
  <c r="X63"/>
  <c r="X62"/>
  <c r="X61"/>
  <c r="X60"/>
  <c r="X59"/>
  <c r="X58"/>
  <c r="X57"/>
  <c r="X56"/>
  <c r="X55"/>
  <c r="X51"/>
  <c r="X48"/>
  <c r="X45"/>
  <c r="X42"/>
  <c r="X39"/>
  <c r="X36"/>
  <c r="X33"/>
  <c r="X30"/>
  <c r="X27"/>
  <c r="X24"/>
  <c r="X21"/>
  <c r="X18"/>
  <c r="X15"/>
  <c r="X12"/>
  <c r="X9"/>
  <c r="CG15" i="4"/>
  <c r="CG16"/>
  <c r="CG17"/>
  <c r="CG26"/>
  <c r="CG27"/>
  <c r="CG35"/>
  <c r="CG36"/>
  <c r="CG37"/>
  <c r="CG48"/>
  <c r="CG49"/>
  <c r="CG50"/>
  <c r="CG72"/>
  <c r="CG73"/>
  <c r="CG74"/>
  <c r="CG84"/>
  <c r="CG85"/>
  <c r="CG86"/>
  <c r="CG87"/>
  <c r="CG88"/>
  <c r="CG89"/>
  <c r="CG114"/>
  <c r="CG115"/>
  <c r="CG116"/>
  <c r="CG102"/>
  <c r="CG103"/>
  <c r="CG104"/>
  <c r="CG126"/>
  <c r="CG127"/>
  <c r="CG128"/>
  <c r="CG138"/>
  <c r="CG139"/>
  <c r="CG140"/>
  <c r="CG150"/>
  <c r="CG151"/>
  <c r="CG152"/>
  <c r="CG162"/>
  <c r="CG163"/>
  <c r="CG164"/>
  <c r="CG174"/>
  <c r="CG175"/>
  <c r="CG176"/>
  <c r="CG186"/>
  <c r="CG187"/>
  <c r="CG188"/>
  <c r="CG198"/>
  <c r="CG199"/>
  <c r="CG200"/>
  <c r="CG210"/>
  <c r="CG211"/>
  <c r="CG212"/>
  <c r="CG222"/>
  <c r="CG223"/>
  <c r="CG224"/>
  <c r="CG246"/>
  <c r="CG247"/>
  <c r="CG248"/>
  <c r="CG234"/>
  <c r="CG235"/>
  <c r="CG236"/>
  <c r="CG258"/>
  <c r="CG259"/>
  <c r="CG260"/>
  <c r="CG268"/>
  <c r="CG269"/>
  <c r="CG273"/>
  <c r="CG276"/>
  <c r="BW11" i="1"/>
  <c r="BW12"/>
  <c r="BW13"/>
  <c r="BW14"/>
  <c r="BW15"/>
  <c r="BW16"/>
  <c r="BW17"/>
  <c r="BW18"/>
  <c r="BW19"/>
  <c r="BW20"/>
  <c r="BW21"/>
  <c r="BW22"/>
  <c r="BW23"/>
  <c r="BW24"/>
  <c r="BW25"/>
  <c r="BW29"/>
  <c r="BW30"/>
  <c r="BW31"/>
  <c r="BW32"/>
  <c r="BW33"/>
  <c r="BW34"/>
  <c r="BW35"/>
  <c r="BW36"/>
  <c r="BW37"/>
  <c r="BW38"/>
  <c r="BW39"/>
  <c r="BW40"/>
  <c r="BW41"/>
  <c r="BW42"/>
  <c r="BW43"/>
  <c r="AR9" i="5"/>
  <c r="AQ9" s="1"/>
  <c r="BA742" i="4"/>
  <c r="BA741"/>
  <c r="BA739"/>
  <c r="BA738"/>
  <c r="BA737"/>
  <c r="BA735"/>
  <c r="BA734"/>
  <c r="T58" i="5"/>
  <c r="CY13" i="1"/>
  <c r="DH13"/>
  <c r="CX13"/>
  <c r="AC85" i="5"/>
  <c r="AC84"/>
  <c r="AC83"/>
  <c r="AC82"/>
  <c r="AC81"/>
  <c r="AC80"/>
  <c r="AC79"/>
  <c r="AC78"/>
  <c r="AC77"/>
  <c r="AC76"/>
  <c r="AC75"/>
  <c r="AC74"/>
  <c r="AC73"/>
  <c r="AC72"/>
  <c r="AC71"/>
  <c r="T85"/>
  <c r="T84"/>
  <c r="T83"/>
  <c r="T82"/>
  <c r="T81"/>
  <c r="T80"/>
  <c r="T79"/>
  <c r="T78"/>
  <c r="T77"/>
  <c r="T76"/>
  <c r="T75"/>
  <c r="T74"/>
  <c r="T73"/>
  <c r="T72"/>
  <c r="T71"/>
  <c r="AC69"/>
  <c r="AC68"/>
  <c r="AC67"/>
  <c r="AC66"/>
  <c r="AC65"/>
  <c r="AC64"/>
  <c r="AC63"/>
  <c r="AC62"/>
  <c r="AC61"/>
  <c r="AC60"/>
  <c r="AC59"/>
  <c r="AC58"/>
  <c r="AC57"/>
  <c r="AC56"/>
  <c r="AC55"/>
  <c r="AC51"/>
  <c r="AC48"/>
  <c r="AC45"/>
  <c r="AC42"/>
  <c r="AC39"/>
  <c r="AC36"/>
  <c r="AC33"/>
  <c r="AC30"/>
  <c r="AC27"/>
  <c r="AC24"/>
  <c r="AC21"/>
  <c r="AC18"/>
  <c r="AC15"/>
  <c r="AC12"/>
  <c r="AC9"/>
  <c r="T69"/>
  <c r="T68"/>
  <c r="T67"/>
  <c r="T66"/>
  <c r="T65"/>
  <c r="T64"/>
  <c r="T63"/>
  <c r="T62"/>
  <c r="T61"/>
  <c r="T60"/>
  <c r="T59"/>
  <c r="T57"/>
  <c r="T56"/>
  <c r="T55"/>
  <c r="T51"/>
  <c r="T48"/>
  <c r="T45"/>
  <c r="T42"/>
  <c r="T39"/>
  <c r="T36"/>
  <c r="T33"/>
  <c r="T30"/>
  <c r="T27"/>
  <c r="T24"/>
  <c r="T21"/>
  <c r="T18"/>
  <c r="T9"/>
  <c r="T12"/>
  <c r="T15"/>
  <c r="DE25" i="1"/>
  <c r="J52" i="5" s="1"/>
  <c r="DE24" i="1"/>
  <c r="DE23"/>
  <c r="DE22"/>
  <c r="J43" i="5" s="1"/>
  <c r="DE21" i="1"/>
  <c r="J40" i="5" s="1"/>
  <c r="G40" s="1"/>
  <c r="DE20" i="1"/>
  <c r="DE19"/>
  <c r="DE18"/>
  <c r="J31" i="5" s="1"/>
  <c r="G31" s="1"/>
  <c r="DE17" i="1"/>
  <c r="DE16"/>
  <c r="J25" i="5" s="1"/>
  <c r="DE15" i="1"/>
  <c r="DE14"/>
  <c r="J19" i="5" s="1"/>
  <c r="DE13" i="1"/>
  <c r="J16" i="5" s="1"/>
  <c r="DE12" i="1"/>
  <c r="J13" i="5" s="1"/>
  <c r="DE11" i="1"/>
  <c r="J10" i="5" s="1"/>
  <c r="CZ13" i="1"/>
  <c r="DI13" s="1"/>
  <c r="CW13"/>
  <c r="CV13"/>
  <c r="CO236" i="4"/>
  <c r="CO230"/>
  <c r="CO224"/>
  <c r="CO218"/>
  <c r="CO217"/>
  <c r="CO207"/>
  <c r="CO206"/>
  <c r="CO205"/>
  <c r="CO204"/>
  <c r="CO203"/>
  <c r="CO202"/>
  <c r="CO201"/>
  <c r="CO199"/>
  <c r="CO198"/>
  <c r="CO197"/>
  <c r="CO196"/>
  <c r="CO195"/>
  <c r="CO194"/>
  <c r="CO193"/>
  <c r="CO191"/>
  <c r="CO190"/>
  <c r="CO189"/>
  <c r="CO188"/>
  <c r="CO187"/>
  <c r="CO186"/>
  <c r="CO185"/>
  <c r="CO183"/>
  <c r="CO182"/>
  <c r="CO181"/>
  <c r="CO180"/>
  <c r="CO179"/>
  <c r="CO178"/>
  <c r="CO177"/>
  <c r="CO175"/>
  <c r="CO174"/>
  <c r="CO173"/>
  <c r="CO172"/>
  <c r="CO171"/>
  <c r="CO170"/>
  <c r="CO169"/>
  <c r="CO167"/>
  <c r="CO166"/>
  <c r="CO165"/>
  <c r="CO164"/>
  <c r="CO163"/>
  <c r="CO162"/>
  <c r="CO161"/>
  <c r="CO159"/>
  <c r="CO158"/>
  <c r="CO157"/>
  <c r="CO156"/>
  <c r="CO155"/>
  <c r="CO154"/>
  <c r="CO153"/>
  <c r="CO151"/>
  <c r="CO150"/>
  <c r="CO149"/>
  <c r="CO148"/>
  <c r="CO147"/>
  <c r="CO146"/>
  <c r="CO145"/>
  <c r="CO143"/>
  <c r="CO142"/>
  <c r="CO141"/>
  <c r="CO140"/>
  <c r="CO139"/>
  <c r="CO138"/>
  <c r="CO137"/>
  <c r="CO135"/>
  <c r="CO134"/>
  <c r="CO133"/>
  <c r="CO132"/>
  <c r="CO131"/>
  <c r="CO130"/>
  <c r="CO129"/>
  <c r="CO127"/>
  <c r="CO126"/>
  <c r="CO125"/>
  <c r="CO124"/>
  <c r="CO123"/>
  <c r="CO122"/>
  <c r="CO121"/>
  <c r="CO119"/>
  <c r="CO118"/>
  <c r="CO117"/>
  <c r="CO116"/>
  <c r="CO115"/>
  <c r="CO114"/>
  <c r="CO113"/>
  <c r="CO234"/>
  <c r="CO232"/>
  <c r="CO229"/>
  <c r="CO228"/>
  <c r="CO227"/>
  <c r="CO226"/>
  <c r="CO223"/>
  <c r="CO222"/>
  <c r="CO221"/>
  <c r="CO220"/>
  <c r="CO216"/>
  <c r="CO215"/>
  <c r="CO214"/>
  <c r="CO212"/>
  <c r="CO211"/>
  <c r="CO210"/>
  <c r="CO209"/>
  <c r="CO109"/>
  <c r="CO101"/>
  <c r="CO93"/>
  <c r="CO92"/>
  <c r="CO80"/>
  <c r="CO64"/>
  <c r="CO56"/>
  <c r="CO48"/>
  <c r="CO40"/>
  <c r="CO32"/>
  <c r="CO24"/>
  <c r="CO16"/>
  <c r="CO91"/>
  <c r="CO90"/>
  <c r="CO89"/>
  <c r="CO88"/>
  <c r="CO111"/>
  <c r="CO110"/>
  <c r="CO108"/>
  <c r="CO107"/>
  <c r="CO106"/>
  <c r="CO105"/>
  <c r="CO103"/>
  <c r="CO102"/>
  <c r="CO100"/>
  <c r="CO99"/>
  <c r="CO98"/>
  <c r="CO97"/>
  <c r="CO95"/>
  <c r="CO94"/>
  <c r="CO87"/>
  <c r="CO86"/>
  <c r="CO85"/>
  <c r="CO84"/>
  <c r="CO82"/>
  <c r="CO81"/>
  <c r="CO79"/>
  <c r="CO78"/>
  <c r="CO77"/>
  <c r="CO76"/>
  <c r="CG25" i="1"/>
  <c r="CG24"/>
  <c r="CG23"/>
  <c r="CG22"/>
  <c r="CG21"/>
  <c r="CG20"/>
  <c r="CG19"/>
  <c r="CG18"/>
  <c r="CG17"/>
  <c r="CG16"/>
  <c r="CG15"/>
  <c r="CG14"/>
  <c r="CG13"/>
  <c r="CG12"/>
  <c r="CG11"/>
  <c r="Z25"/>
  <c r="Z24"/>
  <c r="Z23"/>
  <c r="Z22"/>
  <c r="Z21"/>
  <c r="Z20"/>
  <c r="Z19"/>
  <c r="Z18"/>
  <c r="Z17"/>
  <c r="Z16"/>
  <c r="Z15"/>
  <c r="Z13"/>
  <c r="Z12"/>
  <c r="Z11"/>
  <c r="Z14"/>
  <c r="AD13"/>
  <c r="CV11"/>
  <c r="CO66" i="4"/>
  <c r="CO65"/>
  <c r="CO63"/>
  <c r="CO62"/>
  <c r="CO61"/>
  <c r="CO60"/>
  <c r="CO58"/>
  <c r="CO57"/>
  <c r="CO55"/>
  <c r="CO54"/>
  <c r="CO53"/>
  <c r="CO52"/>
  <c r="CO50"/>
  <c r="CO49"/>
  <c r="CO47"/>
  <c r="CO46"/>
  <c r="CO45"/>
  <c r="CO44"/>
  <c r="CO42"/>
  <c r="CO41"/>
  <c r="CO39"/>
  <c r="CO38"/>
  <c r="CO37"/>
  <c r="CO36"/>
  <c r="CO34"/>
  <c r="CO33"/>
  <c r="CO31"/>
  <c r="CO30"/>
  <c r="CO29"/>
  <c r="CO28"/>
  <c r="CO26"/>
  <c r="CO25"/>
  <c r="CO23"/>
  <c r="CO22"/>
  <c r="CO21"/>
  <c r="CO20"/>
  <c r="CO18"/>
  <c r="CO17"/>
  <c r="CO15"/>
  <c r="CO14"/>
  <c r="CO13"/>
  <c r="CO12"/>
  <c r="CG282"/>
  <c r="CG280"/>
  <c r="CG278"/>
  <c r="CG275"/>
  <c r="CG272"/>
  <c r="CG270"/>
  <c r="CG267"/>
  <c r="CG265"/>
  <c r="CG264"/>
  <c r="CG263"/>
  <c r="CG262"/>
  <c r="CG261"/>
  <c r="CG257"/>
  <c r="CG256"/>
  <c r="CG255"/>
  <c r="CG253"/>
  <c r="CG252"/>
  <c r="CG251"/>
  <c r="CG250"/>
  <c r="CG249"/>
  <c r="CG245"/>
  <c r="CG244"/>
  <c r="CG243"/>
  <c r="CG241"/>
  <c r="CG240"/>
  <c r="CG239"/>
  <c r="CG238"/>
  <c r="CG237"/>
  <c r="CG233"/>
  <c r="CG232"/>
  <c r="CG231"/>
  <c r="CG229"/>
  <c r="CG228"/>
  <c r="CG227"/>
  <c r="CG226"/>
  <c r="CG225"/>
  <c r="CG221"/>
  <c r="CG220"/>
  <c r="CG219"/>
  <c r="CG121"/>
  <c r="CG120"/>
  <c r="CG119"/>
  <c r="CG118"/>
  <c r="CG117"/>
  <c r="CG113"/>
  <c r="CG112"/>
  <c r="CG111"/>
  <c r="CG109"/>
  <c r="CG108"/>
  <c r="CG107"/>
  <c r="CG106"/>
  <c r="CG105"/>
  <c r="CG101"/>
  <c r="CG100"/>
  <c r="CG97"/>
  <c r="CG96"/>
  <c r="CG95"/>
  <c r="CG94"/>
  <c r="CG93"/>
  <c r="CG92"/>
  <c r="CG91"/>
  <c r="CG90"/>
  <c r="CG83"/>
  <c r="CG82"/>
  <c r="CG81"/>
  <c r="CG55"/>
  <c r="CG54"/>
  <c r="CG53"/>
  <c r="CG52"/>
  <c r="CG51"/>
  <c r="CG47"/>
  <c r="CG45"/>
  <c r="CG79"/>
  <c r="CG78"/>
  <c r="CG77"/>
  <c r="CG76"/>
  <c r="CG75"/>
  <c r="CG71"/>
  <c r="CG70"/>
  <c r="CG69"/>
  <c r="CG217"/>
  <c r="CG216"/>
  <c r="CG215"/>
  <c r="CG214"/>
  <c r="CG213"/>
  <c r="CG209"/>
  <c r="CG208"/>
  <c r="CG207"/>
  <c r="CG205"/>
  <c r="CG204"/>
  <c r="CG203"/>
  <c r="CG202"/>
  <c r="CG201"/>
  <c r="CG197"/>
  <c r="CG196"/>
  <c r="CG195"/>
  <c r="CG193"/>
  <c r="CG192"/>
  <c r="CG191"/>
  <c r="CG190"/>
  <c r="CG189"/>
  <c r="CG185"/>
  <c r="CG184"/>
  <c r="CG183"/>
  <c r="CG181"/>
  <c r="CG180"/>
  <c r="CG179"/>
  <c r="CG178"/>
  <c r="CG177"/>
  <c r="CG173"/>
  <c r="CG172"/>
  <c r="CG171"/>
  <c r="CG169"/>
  <c r="CG168"/>
  <c r="CG167"/>
  <c r="CG166"/>
  <c r="CG165"/>
  <c r="CG161"/>
  <c r="CG160"/>
  <c r="CG159"/>
  <c r="CG157"/>
  <c r="CG156"/>
  <c r="CG155"/>
  <c r="CG154"/>
  <c r="CG153"/>
  <c r="CG149"/>
  <c r="CG148"/>
  <c r="CG147"/>
  <c r="CG145"/>
  <c r="CG144"/>
  <c r="CG143"/>
  <c r="CG142"/>
  <c r="CG141"/>
  <c r="CG137"/>
  <c r="CG136"/>
  <c r="CG135"/>
  <c r="CG133"/>
  <c r="CG132"/>
  <c r="CG131"/>
  <c r="CG130"/>
  <c r="CG129"/>
  <c r="CG125"/>
  <c r="CG124"/>
  <c r="CG123"/>
  <c r="CG99"/>
  <c r="CG46"/>
  <c r="CG42"/>
  <c r="CG41"/>
  <c r="CG40"/>
  <c r="CG39"/>
  <c r="CG38"/>
  <c r="CG34"/>
  <c r="CG33"/>
  <c r="CG32"/>
  <c r="CG30"/>
  <c r="CG29"/>
  <c r="CG28"/>
  <c r="CG25"/>
  <c r="CG24"/>
  <c r="CG22"/>
  <c r="CG21"/>
  <c r="CG20"/>
  <c r="CG19"/>
  <c r="CG18"/>
  <c r="CG14"/>
  <c r="CG13"/>
  <c r="CG12"/>
  <c r="CC941"/>
  <c r="CC940"/>
  <c r="CC938"/>
  <c r="CC933"/>
  <c r="CC932"/>
  <c r="CC930"/>
  <c r="CC929"/>
  <c r="CC927"/>
  <c r="CC872"/>
  <c r="CC871"/>
  <c r="CC869"/>
  <c r="CC860"/>
  <c r="CC859"/>
  <c r="CC852"/>
  <c r="CC850"/>
  <c r="CC921"/>
  <c r="CC919"/>
  <c r="CC918"/>
  <c r="CC916"/>
  <c r="CC915"/>
  <c r="CC912"/>
  <c r="CC911"/>
  <c r="CC909"/>
  <c r="CC905"/>
  <c r="CC904"/>
  <c r="CC897"/>
  <c r="CC895"/>
  <c r="CC892"/>
  <c r="CC891"/>
  <c r="CC889"/>
  <c r="CC885"/>
  <c r="CC884"/>
  <c r="CC877"/>
  <c r="CC875"/>
  <c r="CC867"/>
  <c r="CC866"/>
  <c r="CC864"/>
  <c r="CC846"/>
  <c r="CC845"/>
  <c r="CC838"/>
  <c r="CC836"/>
  <c r="CC834"/>
  <c r="CC833"/>
  <c r="CC831"/>
  <c r="CC821"/>
  <c r="CC819"/>
  <c r="CC818"/>
  <c r="CC816"/>
  <c r="CC812"/>
  <c r="CC811"/>
  <c r="CC804"/>
  <c r="CC802"/>
  <c r="CC800"/>
  <c r="CC799"/>
  <c r="CC797"/>
  <c r="CC787"/>
  <c r="CC785"/>
  <c r="CC784"/>
  <c r="CC782"/>
  <c r="CC778"/>
  <c r="CC777"/>
  <c r="CC770"/>
  <c r="CC768"/>
  <c r="CC766"/>
  <c r="CC765"/>
  <c r="CC763"/>
  <c r="CC753"/>
  <c r="CC751"/>
  <c r="CC750"/>
  <c r="CC748"/>
  <c r="CC744"/>
  <c r="CC743"/>
  <c r="CC736"/>
  <c r="CC734"/>
  <c r="CC732"/>
  <c r="CC731"/>
  <c r="CC729"/>
  <c r="CC719"/>
  <c r="CC717"/>
  <c r="CC716"/>
  <c r="CC714"/>
  <c r="CC710"/>
  <c r="CC709"/>
  <c r="CC702"/>
  <c r="CC700"/>
  <c r="CC698"/>
  <c r="CC697"/>
  <c r="CC695"/>
  <c r="CC685"/>
  <c r="CC683"/>
  <c r="CC682"/>
  <c r="CC680"/>
  <c r="CC676"/>
  <c r="CC675"/>
  <c r="CC668"/>
  <c r="CC666"/>
  <c r="CC664"/>
  <c r="CC663"/>
  <c r="CC661"/>
  <c r="CC654"/>
  <c r="CC653"/>
  <c r="CC651"/>
  <c r="CC649"/>
  <c r="CC648"/>
  <c r="CC646"/>
  <c r="CC642"/>
  <c r="CC641"/>
  <c r="CC634"/>
  <c r="CC632"/>
  <c r="CC630"/>
  <c r="CC629"/>
  <c r="CC627"/>
  <c r="CC626"/>
  <c r="CC625"/>
  <c r="CC617"/>
  <c r="CC615"/>
  <c r="CC614"/>
  <c r="CC612"/>
  <c r="CC608"/>
  <c r="CC607"/>
  <c r="CC600"/>
  <c r="CC598"/>
  <c r="CC596"/>
  <c r="CC595"/>
  <c r="CC593"/>
  <c r="CC583"/>
  <c r="CC581"/>
  <c r="CC580"/>
  <c r="CC578"/>
  <c r="CC574"/>
  <c r="CC573"/>
  <c r="CC566"/>
  <c r="CC564"/>
  <c r="CC562"/>
  <c r="CC561"/>
  <c r="CC559"/>
  <c r="CC549"/>
  <c r="CC547"/>
  <c r="CC546"/>
  <c r="CC544"/>
  <c r="CC540"/>
  <c r="CC539"/>
  <c r="CC532"/>
  <c r="CC530"/>
  <c r="CC528"/>
  <c r="CC527"/>
  <c r="CC525"/>
  <c r="CC515"/>
  <c r="CC513"/>
  <c r="CC512"/>
  <c r="CC510"/>
  <c r="CC506"/>
  <c r="CC505"/>
  <c r="CC498"/>
  <c r="CC496"/>
  <c r="CC494"/>
  <c r="CC493"/>
  <c r="CC491"/>
  <c r="CC484"/>
  <c r="CC483"/>
  <c r="CC481"/>
  <c r="CC479"/>
  <c r="CC478"/>
  <c r="CC476"/>
  <c r="CC472"/>
  <c r="CC471"/>
  <c r="CC464"/>
  <c r="CC462"/>
  <c r="CC460"/>
  <c r="CC459"/>
  <c r="CC457"/>
  <c r="CC447"/>
  <c r="CC445"/>
  <c r="CC444"/>
  <c r="CC442"/>
  <c r="CC438"/>
  <c r="CC437"/>
  <c r="CC430"/>
  <c r="CC428"/>
  <c r="CC331"/>
  <c r="CC330"/>
  <c r="CC323"/>
  <c r="CC321"/>
  <c r="CC343"/>
  <c r="CC342"/>
  <c r="CC340"/>
  <c r="CC198"/>
  <c r="CC201"/>
  <c r="CC426"/>
  <c r="CC425"/>
  <c r="CC423"/>
  <c r="CC413"/>
  <c r="CC412"/>
  <c r="CC411"/>
  <c r="CC410"/>
  <c r="CC408"/>
  <c r="CC404"/>
  <c r="CC403"/>
  <c r="CC396"/>
  <c r="CC394"/>
  <c r="CC392"/>
  <c r="CC391"/>
  <c r="CC389"/>
  <c r="CC379"/>
  <c r="CC377"/>
  <c r="CC376"/>
  <c r="CC374"/>
  <c r="CC370"/>
  <c r="CC369"/>
  <c r="CC362"/>
  <c r="CC360"/>
  <c r="CC358"/>
  <c r="CC357"/>
  <c r="CC355"/>
  <c r="CC345"/>
  <c r="CC339"/>
  <c r="CC338"/>
  <c r="CC337"/>
  <c r="CC335"/>
  <c r="CC317"/>
  <c r="CC316"/>
  <c r="CC309"/>
  <c r="CC307"/>
  <c r="CC305"/>
  <c r="CC304"/>
  <c r="CC302"/>
  <c r="CC292"/>
  <c r="CC290"/>
  <c r="CC289"/>
  <c r="CC287"/>
  <c r="CC283"/>
  <c r="CC282"/>
  <c r="CC275"/>
  <c r="CC273"/>
  <c r="CC202"/>
  <c r="CC199"/>
  <c r="CC196"/>
  <c r="CC150"/>
  <c r="CC149"/>
  <c r="CC147"/>
  <c r="CC146"/>
  <c r="CC144"/>
  <c r="CC97"/>
  <c r="CC96"/>
  <c r="CC94"/>
  <c r="CC93"/>
  <c r="CC91"/>
  <c r="CC219"/>
  <c r="CC218"/>
  <c r="CC216"/>
  <c r="CC206"/>
  <c r="CC189"/>
  <c r="CC188"/>
  <c r="CC186"/>
  <c r="CC185"/>
  <c r="CC178"/>
  <c r="CC171"/>
  <c r="CC169"/>
  <c r="CC167"/>
  <c r="CC166"/>
  <c r="CC164"/>
  <c r="CC157"/>
  <c r="CC156"/>
  <c r="CC154"/>
  <c r="CC137"/>
  <c r="CC136"/>
  <c r="CC134"/>
  <c r="CC133"/>
  <c r="CC119"/>
  <c r="CC117"/>
  <c r="CC114"/>
  <c r="CC113"/>
  <c r="CC111"/>
  <c r="CC101"/>
  <c r="CC84"/>
  <c r="CC83"/>
  <c r="CC81"/>
  <c r="CC80"/>
  <c r="CC66"/>
  <c r="CC64"/>
  <c r="CC45"/>
  <c r="CC44"/>
  <c r="CC12"/>
  <c r="CC62"/>
  <c r="CC49"/>
  <c r="CC42"/>
  <c r="CC41"/>
  <c r="CC39"/>
  <c r="CC32"/>
  <c r="CC31"/>
  <c r="CC29"/>
  <c r="CC28"/>
  <c r="CC21"/>
  <c r="CC18"/>
  <c r="CC16"/>
  <c r="CC14"/>
  <c r="BY787"/>
  <c r="BY786"/>
  <c r="BY785"/>
  <c r="BY784"/>
  <c r="BY782"/>
  <c r="BY781"/>
  <c r="BY780"/>
  <c r="BY779"/>
  <c r="BY777"/>
  <c r="BY776"/>
  <c r="BY775"/>
  <c r="BY774"/>
  <c r="BY772"/>
  <c r="BY771"/>
  <c r="BY770"/>
  <c r="BY768"/>
  <c r="BY767"/>
  <c r="BY766"/>
  <c r="BY765"/>
  <c r="BY763"/>
  <c r="BY762"/>
  <c r="BY761"/>
  <c r="BY760"/>
  <c r="BY758"/>
  <c r="BY757"/>
  <c r="BY756"/>
  <c r="BY755"/>
  <c r="BY754"/>
  <c r="BY753"/>
  <c r="BY751"/>
  <c r="BY750"/>
  <c r="BY749"/>
  <c r="BY748"/>
  <c r="BY747"/>
  <c r="BY746"/>
  <c r="BY745"/>
  <c r="BY744"/>
  <c r="BY743"/>
  <c r="BY742"/>
  <c r="BY741"/>
  <c r="BY740"/>
  <c r="BY739"/>
  <c r="BY738"/>
  <c r="BY737"/>
  <c r="BY736"/>
  <c r="BY735"/>
  <c r="BY734"/>
  <c r="BY733"/>
  <c r="BY732"/>
  <c r="BY731"/>
  <c r="BY730"/>
  <c r="BY729"/>
  <c r="BY728"/>
  <c r="BY727"/>
  <c r="BY726"/>
  <c r="BY725"/>
  <c r="BY724"/>
  <c r="BY723"/>
  <c r="BY722"/>
  <c r="BY720"/>
  <c r="BY719"/>
  <c r="BY718"/>
  <c r="BY717"/>
  <c r="BY716"/>
  <c r="BY715"/>
  <c r="BY714"/>
  <c r="BY713"/>
  <c r="BY712"/>
  <c r="BY711"/>
  <c r="BY710"/>
  <c r="BY709"/>
  <c r="BY708"/>
  <c r="BY707"/>
  <c r="BY706"/>
  <c r="BY705"/>
  <c r="BY704"/>
  <c r="BY703"/>
  <c r="BY702"/>
  <c r="BY701"/>
  <c r="BY700"/>
  <c r="BY699"/>
  <c r="BY698"/>
  <c r="BY697"/>
  <c r="BY696"/>
  <c r="BY695"/>
  <c r="BY694"/>
  <c r="BY693"/>
  <c r="BY692"/>
  <c r="BY691"/>
  <c r="BY690"/>
  <c r="BY689"/>
  <c r="BY688"/>
  <c r="BY687"/>
  <c r="BY686"/>
  <c r="BY684"/>
  <c r="BY683"/>
  <c r="BY682"/>
  <c r="BY681"/>
  <c r="BY680"/>
  <c r="BY679"/>
  <c r="BY678"/>
  <c r="BY677"/>
  <c r="BY676"/>
  <c r="BY675"/>
  <c r="BY674"/>
  <c r="BY673"/>
  <c r="BY672"/>
  <c r="BY671"/>
  <c r="BY670"/>
  <c r="BY669"/>
  <c r="BY668"/>
  <c r="BY667"/>
  <c r="BY666"/>
  <c r="BY665"/>
  <c r="BY664"/>
  <c r="BY663"/>
  <c r="BY662"/>
  <c r="BY661"/>
  <c r="BY660"/>
  <c r="BY659"/>
  <c r="BY658"/>
  <c r="BY657"/>
  <c r="BY656"/>
  <c r="BY655"/>
  <c r="BY654"/>
  <c r="BY653"/>
  <c r="BY652"/>
  <c r="BY651"/>
  <c r="BY650"/>
  <c r="BY648"/>
  <c r="BY647"/>
  <c r="BY646"/>
  <c r="BY645"/>
  <c r="BY644"/>
  <c r="BY643"/>
  <c r="BY642"/>
  <c r="BY641"/>
  <c r="BY640"/>
  <c r="BY639"/>
  <c r="BY638"/>
  <c r="BY637"/>
  <c r="BY636"/>
  <c r="BY635"/>
  <c r="BY634"/>
  <c r="BY632"/>
  <c r="BY631"/>
  <c r="BY630"/>
  <c r="BY629"/>
  <c r="BY628"/>
  <c r="BY627"/>
  <c r="BY626"/>
  <c r="BY625"/>
  <c r="BY624"/>
  <c r="BY623"/>
  <c r="BY622"/>
  <c r="BY621"/>
  <c r="BY620"/>
  <c r="BY619"/>
  <c r="BY618"/>
  <c r="BY617"/>
  <c r="BY616"/>
  <c r="BY615"/>
  <c r="BY614"/>
  <c r="BY612"/>
  <c r="BY611"/>
  <c r="BY610"/>
  <c r="BY609"/>
  <c r="BY608"/>
  <c r="BY607"/>
  <c r="BY606"/>
  <c r="BY605"/>
  <c r="BY604"/>
  <c r="BY603"/>
  <c r="BY602"/>
  <c r="BY601"/>
  <c r="BY600"/>
  <c r="BY599"/>
  <c r="BY598"/>
  <c r="BY597"/>
  <c r="BY596"/>
  <c r="BY595"/>
  <c r="BY594"/>
  <c r="BY593"/>
  <c r="BY591"/>
  <c r="BY590"/>
  <c r="BY589"/>
  <c r="BY588"/>
  <c r="BY587"/>
  <c r="BY586"/>
  <c r="BY585"/>
  <c r="BY584"/>
  <c r="BY583"/>
  <c r="BY582"/>
  <c r="BY581"/>
  <c r="BY580"/>
  <c r="BY579"/>
  <c r="BY578"/>
  <c r="BY577"/>
  <c r="BY576"/>
  <c r="BY575"/>
  <c r="BY574"/>
  <c r="BY573"/>
  <c r="BY572"/>
  <c r="BY571"/>
  <c r="BY570"/>
  <c r="BY569"/>
  <c r="BY568"/>
  <c r="BY567"/>
  <c r="BY566"/>
  <c r="BY565"/>
  <c r="BY564"/>
  <c r="BY562"/>
  <c r="BY561"/>
  <c r="BY560"/>
  <c r="BY559"/>
  <c r="BY558"/>
  <c r="BY557"/>
  <c r="BY556"/>
  <c r="BY555"/>
  <c r="BY554"/>
  <c r="BY553"/>
  <c r="BY552"/>
  <c r="BY551"/>
  <c r="BY550"/>
  <c r="BY549"/>
  <c r="BY548"/>
  <c r="BY547"/>
  <c r="BY546"/>
  <c r="BY545"/>
  <c r="BY544"/>
  <c r="BY543"/>
  <c r="BY542"/>
  <c r="BY541"/>
  <c r="BY540"/>
  <c r="BY539"/>
  <c r="BY538"/>
  <c r="BY536"/>
  <c r="BY535"/>
  <c r="BY534"/>
  <c r="BY532"/>
  <c r="BY531"/>
  <c r="BY530"/>
  <c r="BY529"/>
  <c r="BY528"/>
  <c r="BY527"/>
  <c r="BY526"/>
  <c r="BY525"/>
  <c r="BY524"/>
  <c r="BY523"/>
  <c r="BY522"/>
  <c r="BY521"/>
  <c r="BY520"/>
  <c r="BY519"/>
  <c r="BY518"/>
  <c r="BY517"/>
  <c r="BY516"/>
  <c r="BY515"/>
  <c r="BY514"/>
  <c r="BY513"/>
  <c r="BY512"/>
  <c r="BY511"/>
  <c r="BY510"/>
  <c r="BY509"/>
  <c r="BY507"/>
  <c r="BY506"/>
  <c r="BY505"/>
  <c r="BY503"/>
  <c r="BY502"/>
  <c r="BY501"/>
  <c r="BY500"/>
  <c r="BY499"/>
  <c r="BY498"/>
  <c r="BY497"/>
  <c r="BY496"/>
  <c r="BY495"/>
  <c r="BY494"/>
  <c r="BY493"/>
  <c r="BY492"/>
  <c r="BY491"/>
  <c r="BY490"/>
  <c r="BY489"/>
  <c r="BY488"/>
  <c r="BY487"/>
  <c r="BY486"/>
  <c r="BY485"/>
  <c r="BY484"/>
  <c r="BY483"/>
  <c r="BY482"/>
  <c r="BY481"/>
  <c r="BY480"/>
  <c r="BY479"/>
  <c r="BY477"/>
  <c r="BY476"/>
  <c r="BY475"/>
  <c r="BY473"/>
  <c r="BY472"/>
  <c r="BY471"/>
  <c r="BY470"/>
  <c r="BY469"/>
  <c r="BY468"/>
  <c r="BY466"/>
  <c r="BY465"/>
  <c r="BY464"/>
  <c r="BY463"/>
  <c r="BY462"/>
  <c r="BY461"/>
  <c r="BY459"/>
  <c r="BY458"/>
  <c r="BY457"/>
  <c r="BY456"/>
  <c r="BY455"/>
  <c r="BY454"/>
  <c r="BY453"/>
  <c r="BY452"/>
  <c r="BY451"/>
  <c r="BY450"/>
  <c r="BY449"/>
  <c r="BY446"/>
  <c r="BY445"/>
  <c r="BY444"/>
  <c r="BY442"/>
  <c r="BY441"/>
  <c r="BY440"/>
  <c r="BY438"/>
  <c r="BY437"/>
  <c r="BY436"/>
  <c r="BY434"/>
  <c r="BY433"/>
  <c r="BY432"/>
  <c r="BY430"/>
  <c r="BY429"/>
  <c r="BY428"/>
  <c r="BY426"/>
  <c r="BY425"/>
  <c r="BY424"/>
  <c r="BY422"/>
  <c r="BY421"/>
  <c r="BY420"/>
  <c r="BY418"/>
  <c r="BY417"/>
  <c r="BY416"/>
  <c r="BY414"/>
  <c r="BY413"/>
  <c r="BY412"/>
  <c r="BY411"/>
  <c r="BY409"/>
  <c r="BY408"/>
  <c r="BY407"/>
  <c r="BY406"/>
  <c r="BY405"/>
  <c r="BY404"/>
  <c r="BY403"/>
  <c r="BY402"/>
  <c r="BY401"/>
  <c r="BY400"/>
  <c r="BY399"/>
  <c r="BY398"/>
  <c r="BY397"/>
  <c r="BY396"/>
  <c r="BY395"/>
  <c r="BY393"/>
  <c r="BY392"/>
  <c r="BY391"/>
  <c r="BY389"/>
  <c r="BY388"/>
  <c r="BY387"/>
  <c r="BY385"/>
  <c r="BY384"/>
  <c r="BY383"/>
  <c r="BY382"/>
  <c r="BY380"/>
  <c r="BY379"/>
  <c r="BY378"/>
  <c r="BY377"/>
  <c r="BY376"/>
  <c r="BY375"/>
  <c r="BY374"/>
  <c r="BY373"/>
  <c r="BY372"/>
  <c r="BY371"/>
  <c r="BY370"/>
  <c r="BY369"/>
  <c r="BY367"/>
  <c r="BY366"/>
  <c r="BY365"/>
  <c r="BY364"/>
  <c r="BY363"/>
  <c r="BY362"/>
  <c r="BY360"/>
  <c r="BY359"/>
  <c r="BY358"/>
  <c r="BY357"/>
  <c r="BY356"/>
  <c r="BY355"/>
  <c r="BY353"/>
  <c r="BY352"/>
  <c r="BY351"/>
  <c r="BY349"/>
  <c r="BY348"/>
  <c r="BY347"/>
  <c r="BY346"/>
  <c r="BY345"/>
  <c r="BY344"/>
  <c r="BY343"/>
  <c r="BY342"/>
  <c r="BY341"/>
  <c r="BY340"/>
  <c r="BY339"/>
  <c r="BY338"/>
  <c r="BY337"/>
  <c r="BY336"/>
  <c r="BY335"/>
  <c r="BY334"/>
  <c r="BY333"/>
  <c r="BY332"/>
  <c r="BY331"/>
  <c r="BY329"/>
  <c r="BY328"/>
  <c r="BY327"/>
  <c r="BY324"/>
  <c r="BY323"/>
  <c r="BY322"/>
  <c r="BY320"/>
  <c r="BY319"/>
  <c r="BY318"/>
  <c r="BY316"/>
  <c r="BY315"/>
  <c r="BY314"/>
  <c r="BY312"/>
  <c r="BY311"/>
  <c r="BY310"/>
  <c r="BY308"/>
  <c r="BY307"/>
  <c r="BY306"/>
  <c r="BY304"/>
  <c r="BY303"/>
  <c r="BY302"/>
  <c r="BY300"/>
  <c r="BY299"/>
  <c r="BY298"/>
  <c r="BY296"/>
  <c r="BY295"/>
  <c r="BY294"/>
  <c r="BY292"/>
  <c r="BY291"/>
  <c r="BY290"/>
  <c r="BY288"/>
  <c r="BY287"/>
  <c r="BY286"/>
  <c r="BY284"/>
  <c r="BY283"/>
  <c r="BY282"/>
  <c r="BY279"/>
  <c r="BY278"/>
  <c r="BY277"/>
  <c r="BY276"/>
  <c r="BY274"/>
  <c r="BY273"/>
  <c r="BY272"/>
  <c r="BY271"/>
  <c r="BY270"/>
  <c r="BY269"/>
  <c r="BY267"/>
  <c r="BY266"/>
  <c r="BY265"/>
  <c r="BY264"/>
  <c r="BY263"/>
  <c r="BY262"/>
  <c r="BY261"/>
  <c r="BY260"/>
  <c r="BY259"/>
  <c r="BY258"/>
  <c r="BY257"/>
  <c r="BY256"/>
  <c r="BY255"/>
  <c r="BY254"/>
  <c r="BY253"/>
  <c r="BY252"/>
  <c r="BY250"/>
  <c r="BY249"/>
  <c r="BY248"/>
  <c r="BY247"/>
  <c r="BY246"/>
  <c r="BY245"/>
  <c r="BY244"/>
  <c r="BY243"/>
  <c r="BY242"/>
  <c r="BY241"/>
  <c r="BY240"/>
  <c r="BY239"/>
  <c r="BY238"/>
  <c r="BY237"/>
  <c r="BY236"/>
  <c r="BY235"/>
  <c r="BY234"/>
  <c r="BY233"/>
  <c r="BY232"/>
  <c r="BY231"/>
  <c r="BY230"/>
  <c r="BY229"/>
  <c r="BY228"/>
  <c r="BY227"/>
  <c r="BY226"/>
  <c r="BY225"/>
  <c r="BY224"/>
  <c r="BY223"/>
  <c r="BY222"/>
  <c r="BY221"/>
  <c r="BY220"/>
  <c r="BY219"/>
  <c r="BY218"/>
  <c r="BY217"/>
  <c r="BY216"/>
  <c r="BY215"/>
  <c r="BY214"/>
  <c r="BY213"/>
  <c r="BY212"/>
  <c r="BY211"/>
  <c r="BY210"/>
  <c r="BY209"/>
  <c r="BY208"/>
  <c r="BY207"/>
  <c r="BY206"/>
  <c r="BY205"/>
  <c r="BY203"/>
  <c r="BY202"/>
  <c r="BY201"/>
  <c r="BY200"/>
  <c r="BY199"/>
  <c r="BY198"/>
  <c r="BY197"/>
  <c r="BY196"/>
  <c r="BY195"/>
  <c r="BY194"/>
  <c r="BY193"/>
  <c r="BY192"/>
  <c r="BY191"/>
  <c r="BY189"/>
  <c r="BY188"/>
  <c r="BY187"/>
  <c r="BY186"/>
  <c r="BY185"/>
  <c r="BY184"/>
  <c r="BY183"/>
  <c r="BY181"/>
  <c r="BY180"/>
  <c r="BY179"/>
  <c r="BY178"/>
  <c r="BY177"/>
  <c r="BY176"/>
  <c r="BY175"/>
  <c r="BY174"/>
  <c r="BY173"/>
  <c r="BY172"/>
  <c r="BY170"/>
  <c r="BY169"/>
  <c r="BY168"/>
  <c r="BY166"/>
  <c r="BY165"/>
  <c r="BY164"/>
  <c r="BY163"/>
  <c r="BY162"/>
  <c r="BY161"/>
  <c r="BY160"/>
  <c r="BY159"/>
  <c r="BY158"/>
  <c r="BY157"/>
  <c r="BY156"/>
  <c r="BY155"/>
  <c r="BY154"/>
  <c r="BY153"/>
  <c r="BY152"/>
  <c r="BY151"/>
  <c r="BY150"/>
  <c r="BY149"/>
  <c r="BY148"/>
  <c r="BY147"/>
  <c r="BY146"/>
  <c r="BY145"/>
  <c r="BY144"/>
  <c r="BY143"/>
  <c r="BY142"/>
  <c r="BY141"/>
  <c r="BY140"/>
  <c r="BY133"/>
  <c r="BY132"/>
  <c r="BY128"/>
  <c r="BY127"/>
  <c r="BY123"/>
  <c r="BY119"/>
  <c r="BY115"/>
  <c r="BY111"/>
  <c r="BY110"/>
  <c r="BY106"/>
  <c r="BY102"/>
  <c r="BY98"/>
  <c r="BY97"/>
  <c r="BY96"/>
  <c r="BY94"/>
  <c r="BY93"/>
  <c r="BY92"/>
  <c r="BY90"/>
  <c r="BY89"/>
  <c r="BY88"/>
  <c r="BY87"/>
  <c r="BY86"/>
  <c r="BY84"/>
  <c r="BY83"/>
  <c r="BY82"/>
  <c r="BY81"/>
  <c r="BY80"/>
  <c r="BY78"/>
  <c r="BY77"/>
  <c r="BY76"/>
  <c r="BY75"/>
  <c r="BY74"/>
  <c r="BY72"/>
  <c r="BY71"/>
  <c r="BY70"/>
  <c r="BY69"/>
  <c r="BY68"/>
  <c r="BY66"/>
  <c r="BY65"/>
  <c r="BY62"/>
  <c r="BY61"/>
  <c r="BY59"/>
  <c r="BY58"/>
  <c r="BY57"/>
  <c r="BY56"/>
  <c r="BY54"/>
  <c r="BY53"/>
  <c r="BY52"/>
  <c r="BY51"/>
  <c r="BY49"/>
  <c r="BY48"/>
  <c r="BY47"/>
  <c r="BY46"/>
  <c r="BY44"/>
  <c r="BY43"/>
  <c r="BY41"/>
  <c r="BY40"/>
  <c r="BY38"/>
  <c r="BY37"/>
  <c r="BY36"/>
  <c r="BY34"/>
  <c r="BY33"/>
  <c r="BY32"/>
  <c r="BY31"/>
  <c r="BY29"/>
  <c r="BY28"/>
  <c r="BY27"/>
  <c r="BY26"/>
  <c r="BY24"/>
  <c r="BY23"/>
  <c r="BY22"/>
  <c r="BY20"/>
  <c r="BY19"/>
  <c r="BY18"/>
  <c r="BY16"/>
  <c r="BY15"/>
  <c r="BY14"/>
  <c r="BY12"/>
  <c r="BU329"/>
  <c r="BU328"/>
  <c r="BU327"/>
  <c r="BU326"/>
  <c r="BU325"/>
  <c r="BU324"/>
  <c r="BU323"/>
  <c r="BU322"/>
  <c r="BU321"/>
  <c r="BU320"/>
  <c r="BU319"/>
  <c r="BU312"/>
  <c r="BU311"/>
  <c r="BU310"/>
  <c r="BU309"/>
  <c r="BU308"/>
  <c r="BU306"/>
  <c r="BU305"/>
  <c r="BU304"/>
  <c r="BU303"/>
  <c r="BU302"/>
  <c r="BU301"/>
  <c r="BU300"/>
  <c r="BU298"/>
  <c r="BU297"/>
  <c r="BU296"/>
  <c r="BU295"/>
  <c r="BU294"/>
  <c r="BU293"/>
  <c r="BU292"/>
  <c r="BU291"/>
  <c r="BU290"/>
  <c r="BU289"/>
  <c r="BU288"/>
  <c r="BU287"/>
  <c r="BU286"/>
  <c r="BU285"/>
  <c r="BU283"/>
  <c r="BU282"/>
  <c r="BU281"/>
  <c r="BU280"/>
  <c r="BU279"/>
  <c r="BU277"/>
  <c r="BU276"/>
  <c r="BU275"/>
  <c r="BU274"/>
  <c r="BU273"/>
  <c r="BU272"/>
  <c r="BU271"/>
  <c r="BU269"/>
  <c r="BU268"/>
  <c r="BU267"/>
  <c r="BU266"/>
  <c r="BU265"/>
  <c r="BU264"/>
  <c r="BU263"/>
  <c r="BU262"/>
  <c r="BU260"/>
  <c r="BU259"/>
  <c r="BU258"/>
  <c r="BU257"/>
  <c r="BU256"/>
  <c r="BU255"/>
  <c r="BU254"/>
  <c r="BU253"/>
  <c r="BU252"/>
  <c r="BU251"/>
  <c r="BU249"/>
  <c r="BU248"/>
  <c r="BU247"/>
  <c r="BU246"/>
  <c r="BU245"/>
  <c r="BU244"/>
  <c r="BU243"/>
  <c r="BU242"/>
  <c r="BU241"/>
  <c r="BU240"/>
  <c r="BU238"/>
  <c r="BU237"/>
  <c r="BU236"/>
  <c r="BU235"/>
  <c r="BU234"/>
  <c r="BU233"/>
  <c r="BU232"/>
  <c r="BU231"/>
  <c r="BU230"/>
  <c r="BU228"/>
  <c r="BU227"/>
  <c r="BU226"/>
  <c r="BU225"/>
  <c r="BU224"/>
  <c r="BU223"/>
  <c r="BU222"/>
  <c r="BU221"/>
  <c r="BU220"/>
  <c r="BU218"/>
  <c r="BU217"/>
  <c r="BU216"/>
  <c r="BU215"/>
  <c r="BU214"/>
  <c r="BU213"/>
  <c r="BU212"/>
  <c r="BU211"/>
  <c r="BU210"/>
  <c r="BU209"/>
  <c r="BU207"/>
  <c r="BU206"/>
  <c r="BU205"/>
  <c r="BU204"/>
  <c r="BU203"/>
  <c r="BU202"/>
  <c r="BU201"/>
  <c r="BU200"/>
  <c r="BU199"/>
  <c r="BU198"/>
  <c r="BU196"/>
  <c r="BU195"/>
  <c r="BU194"/>
  <c r="BU193"/>
  <c r="BU192"/>
  <c r="BU191"/>
  <c r="BU190"/>
  <c r="BU189"/>
  <c r="BU188"/>
  <c r="BU186"/>
  <c r="BU185"/>
  <c r="BU184"/>
  <c r="BU183"/>
  <c r="BU182"/>
  <c r="BU181"/>
  <c r="BU180"/>
  <c r="BU179"/>
  <c r="BU178"/>
  <c r="BU176"/>
  <c r="BU175"/>
  <c r="BU174"/>
  <c r="BU173"/>
  <c r="BU172"/>
  <c r="BU171"/>
  <c r="BU170"/>
  <c r="BU169"/>
  <c r="BU167"/>
  <c r="BU166"/>
  <c r="BU165"/>
  <c r="BU164"/>
  <c r="BU163"/>
  <c r="BU162"/>
  <c r="BU161"/>
  <c r="BU160"/>
  <c r="BU159"/>
  <c r="BU158"/>
  <c r="BU157"/>
  <c r="BU156"/>
  <c r="BU155"/>
  <c r="BU153"/>
  <c r="BU152"/>
  <c r="BU151"/>
  <c r="BU150"/>
  <c r="BU149"/>
  <c r="BU148"/>
  <c r="BU147"/>
  <c r="BU146"/>
  <c r="BU144"/>
  <c r="BU143"/>
  <c r="BU142"/>
  <c r="BU141"/>
  <c r="BU140"/>
  <c r="BU139"/>
  <c r="BU138"/>
  <c r="BU137"/>
  <c r="BU136"/>
  <c r="BU135"/>
  <c r="BU134"/>
  <c r="BU133"/>
  <c r="BU132"/>
  <c r="BU131"/>
  <c r="BU130"/>
  <c r="BU129"/>
  <c r="BU127"/>
  <c r="BU126"/>
  <c r="BU125"/>
  <c r="BU124"/>
  <c r="BU123"/>
  <c r="BU122"/>
  <c r="BU121"/>
  <c r="BU120"/>
  <c r="BU119"/>
  <c r="BU118"/>
  <c r="BU117"/>
  <c r="BU116"/>
  <c r="BU115"/>
  <c r="BU113"/>
  <c r="BU112"/>
  <c r="BU111"/>
  <c r="BU110"/>
  <c r="BU109"/>
  <c r="BU108"/>
  <c r="BU107"/>
  <c r="BU106"/>
  <c r="BU105"/>
  <c r="BU104"/>
  <c r="BU103"/>
  <c r="BU98"/>
  <c r="BU97"/>
  <c r="BU96"/>
  <c r="BU95"/>
  <c r="BU94"/>
  <c r="BU93"/>
  <c r="BU92"/>
  <c r="BU91"/>
  <c r="BU90"/>
  <c r="BU89"/>
  <c r="BU88"/>
  <c r="BU87"/>
  <c r="BU86"/>
  <c r="BU85"/>
  <c r="BU84"/>
  <c r="BU83"/>
  <c r="BU82"/>
  <c r="BU81"/>
  <c r="BU80"/>
  <c r="BU79"/>
  <c r="BU78"/>
  <c r="BU77"/>
  <c r="BU76"/>
  <c r="BU75"/>
  <c r="BU74"/>
  <c r="BU73"/>
  <c r="BU72"/>
  <c r="BU71"/>
  <c r="BU68"/>
  <c r="BU67"/>
  <c r="BU66"/>
  <c r="BU65"/>
  <c r="BU64"/>
  <c r="BU63"/>
  <c r="BU62"/>
  <c r="BU61"/>
  <c r="BU60"/>
  <c r="BU59"/>
  <c r="BU58"/>
  <c r="BU57"/>
  <c r="BU56"/>
  <c r="BU55"/>
  <c r="BU54"/>
  <c r="BU53"/>
  <c r="BU52"/>
  <c r="BU51"/>
  <c r="BU50"/>
  <c r="BU49"/>
  <c r="BU46"/>
  <c r="BU45"/>
  <c r="BU44"/>
  <c r="BU43"/>
  <c r="BU42"/>
  <c r="BU41"/>
  <c r="BU40"/>
  <c r="BU39"/>
  <c r="BU38"/>
  <c r="BU37"/>
  <c r="BU36"/>
  <c r="BU35"/>
  <c r="BU34"/>
  <c r="BU33"/>
  <c r="BU32"/>
  <c r="BU31"/>
  <c r="BU29"/>
  <c r="BU28"/>
  <c r="BU27"/>
  <c r="BU26"/>
  <c r="BU25"/>
  <c r="BU24"/>
  <c r="BU23"/>
  <c r="BU22"/>
  <c r="BU21"/>
  <c r="BU20"/>
  <c r="BU19"/>
  <c r="BU18"/>
  <c r="BU17"/>
  <c r="BU16"/>
  <c r="BU15"/>
  <c r="BU14"/>
  <c r="BU13"/>
  <c r="BU12"/>
  <c r="BM259"/>
  <c r="BM257"/>
  <c r="BM256"/>
  <c r="BM255"/>
  <c r="BM253"/>
  <c r="BM252"/>
  <c r="BM251"/>
  <c r="BM249"/>
  <c r="BM248"/>
  <c r="BM247"/>
  <c r="BM245"/>
  <c r="BM244"/>
  <c r="BM243"/>
  <c r="BM241"/>
  <c r="BM240"/>
  <c r="BM239"/>
  <c r="BM237"/>
  <c r="BM236"/>
  <c r="BM235"/>
  <c r="BM233"/>
  <c r="BM232"/>
  <c r="BM231"/>
  <c r="BM229"/>
  <c r="BM228"/>
  <c r="BM227"/>
  <c r="BM225"/>
  <c r="BM224"/>
  <c r="BM223"/>
  <c r="BM221"/>
  <c r="BM220"/>
  <c r="BM219"/>
  <c r="BM217"/>
  <c r="BM216"/>
  <c r="BM215"/>
  <c r="BM213"/>
  <c r="BM212"/>
  <c r="BM146"/>
  <c r="BM145"/>
  <c r="BM144"/>
  <c r="BM142"/>
  <c r="BM141"/>
  <c r="BM140"/>
  <c r="BM139"/>
  <c r="BM137"/>
  <c r="BM134"/>
  <c r="BM133"/>
  <c r="BM132"/>
  <c r="BM131"/>
  <c r="BM130"/>
  <c r="BM129"/>
  <c r="BM128"/>
  <c r="BM127"/>
  <c r="BM126"/>
  <c r="BM122"/>
  <c r="BM121"/>
  <c r="BM119"/>
  <c r="BM118"/>
  <c r="BM117"/>
  <c r="BM116"/>
  <c r="BM115"/>
  <c r="BM113"/>
  <c r="BM112"/>
  <c r="BM111"/>
  <c r="BM110"/>
  <c r="BM108"/>
  <c r="BM107"/>
  <c r="BM106"/>
  <c r="BM105"/>
  <c r="BM104"/>
  <c r="BM102"/>
  <c r="BM101"/>
  <c r="BM100"/>
  <c r="BM99"/>
  <c r="BM98"/>
  <c r="BM96"/>
  <c r="BM95"/>
  <c r="BM94"/>
  <c r="BM93"/>
  <c r="BM92"/>
  <c r="BM90"/>
  <c r="BM89"/>
  <c r="BM88"/>
  <c r="BM87"/>
  <c r="BM86"/>
  <c r="BM84"/>
  <c r="BM83"/>
  <c r="BM82"/>
  <c r="BM81"/>
  <c r="BM80"/>
  <c r="BM78"/>
  <c r="BM77"/>
  <c r="BM76"/>
  <c r="BM75"/>
  <c r="BM74"/>
  <c r="BM72"/>
  <c r="BM71"/>
  <c r="BM70"/>
  <c r="BM69"/>
  <c r="BM68"/>
  <c r="BM66"/>
  <c r="BM64"/>
  <c r="BM63"/>
  <c r="BM62"/>
  <c r="BM60"/>
  <c r="BM59"/>
  <c r="BM58"/>
  <c r="BM57"/>
  <c r="BM56"/>
  <c r="BM54"/>
  <c r="BM53"/>
  <c r="BM52"/>
  <c r="BM51"/>
  <c r="BM50"/>
  <c r="BM48"/>
  <c r="BM47"/>
  <c r="BM46"/>
  <c r="BM45"/>
  <c r="BM44"/>
  <c r="BM42"/>
  <c r="BM41"/>
  <c r="BM40"/>
  <c r="BM39"/>
  <c r="BM38"/>
  <c r="BM36"/>
  <c r="BM35"/>
  <c r="BM34"/>
  <c r="BM33"/>
  <c r="BM32"/>
  <c r="BM30"/>
  <c r="BM29"/>
  <c r="BM26"/>
  <c r="BM24"/>
  <c r="BM23"/>
  <c r="BM22"/>
  <c r="BM20"/>
  <c r="BM19"/>
  <c r="BM16"/>
  <c r="BM15"/>
  <c r="BM12"/>
  <c r="BE52"/>
  <c r="BI67"/>
  <c r="BE50"/>
  <c r="BE49"/>
  <c r="BI65"/>
  <c r="BI64"/>
  <c r="BA750"/>
  <c r="BA749"/>
  <c r="BA748"/>
  <c r="BE47"/>
  <c r="BE45"/>
  <c r="BE44"/>
  <c r="BA746"/>
  <c r="BA745"/>
  <c r="BA744"/>
  <c r="BI62"/>
  <c r="BI61"/>
  <c r="BI60"/>
  <c r="BI59"/>
  <c r="BE39"/>
  <c r="BE37"/>
  <c r="BI57"/>
  <c r="BI56"/>
  <c r="BI55"/>
  <c r="BI54"/>
  <c r="BI53"/>
  <c r="BI52"/>
  <c r="BI51"/>
  <c r="BI50"/>
  <c r="BI49"/>
  <c r="BI48"/>
  <c r="BI47"/>
  <c r="BI46"/>
  <c r="BI45"/>
  <c r="BI44"/>
  <c r="BE35"/>
  <c r="BE34"/>
  <c r="BE33"/>
  <c r="BE32"/>
  <c r="BA666"/>
  <c r="BA665"/>
  <c r="BA664"/>
  <c r="BA663"/>
  <c r="BA662"/>
  <c r="BA661"/>
  <c r="BA660"/>
  <c r="BA659"/>
  <c r="BA658"/>
  <c r="BA657"/>
  <c r="BA656"/>
  <c r="BE27"/>
  <c r="BI39"/>
  <c r="BA654"/>
  <c r="BA653"/>
  <c r="BE25"/>
  <c r="BA651"/>
  <c r="BA650"/>
  <c r="BA649"/>
  <c r="BA648"/>
  <c r="BA647"/>
  <c r="BA645"/>
  <c r="BA644"/>
  <c r="BA643"/>
  <c r="BA642"/>
  <c r="BA641"/>
  <c r="BA640"/>
  <c r="BA639"/>
  <c r="BA637"/>
  <c r="BA636"/>
  <c r="BA635"/>
  <c r="BA634"/>
  <c r="BA633"/>
  <c r="BA632"/>
  <c r="BA631"/>
  <c r="BA629"/>
  <c r="BA628"/>
  <c r="BA627"/>
  <c r="BA625"/>
  <c r="BA624"/>
  <c r="BA623"/>
  <c r="BA622"/>
  <c r="BA621"/>
  <c r="BA620"/>
  <c r="BA619"/>
  <c r="BA618"/>
  <c r="BA617"/>
  <c r="BA616"/>
  <c r="BA615"/>
  <c r="BA614"/>
  <c r="BA613"/>
  <c r="BA612"/>
  <c r="BA611"/>
  <c r="BA610"/>
  <c r="BA609"/>
  <c r="BA608"/>
  <c r="BA607"/>
  <c r="BA606"/>
  <c r="BA605"/>
  <c r="BA603"/>
  <c r="BA602"/>
  <c r="BA601"/>
  <c r="BA600"/>
  <c r="BA599"/>
  <c r="BA598"/>
  <c r="BA597"/>
  <c r="BA596"/>
  <c r="BA595"/>
  <c r="BA594"/>
  <c r="BA593"/>
  <c r="BA592"/>
  <c r="BA591"/>
  <c r="BA590"/>
  <c r="BA589"/>
  <c r="BA588"/>
  <c r="BA587"/>
  <c r="BA586"/>
  <c r="BA585"/>
  <c r="BA584"/>
  <c r="BA583"/>
  <c r="BA582"/>
  <c r="BA581"/>
  <c r="BA580"/>
  <c r="BA578"/>
  <c r="BA577"/>
  <c r="BA576"/>
  <c r="BA575"/>
  <c r="BA574"/>
  <c r="BA573"/>
  <c r="BA572"/>
  <c r="BA571"/>
  <c r="BA570"/>
  <c r="BA569"/>
  <c r="BA568"/>
  <c r="BA567"/>
  <c r="BA566"/>
  <c r="BA565"/>
  <c r="BA564"/>
  <c r="BA563"/>
  <c r="BA562"/>
  <c r="BA561"/>
  <c r="BA560"/>
  <c r="BA559"/>
  <c r="BA558"/>
  <c r="BA557"/>
  <c r="BA556"/>
  <c r="BA555"/>
  <c r="BA554"/>
  <c r="BA553"/>
  <c r="BA552"/>
  <c r="BA551"/>
  <c r="BA550"/>
  <c r="BA549"/>
  <c r="BA547"/>
  <c r="BA546"/>
  <c r="BA545"/>
  <c r="BA544"/>
  <c r="BA543"/>
  <c r="BA542"/>
  <c r="BA541"/>
  <c r="BA540"/>
  <c r="BA539"/>
  <c r="BA538"/>
  <c r="BA537"/>
  <c r="BA536"/>
  <c r="BA535"/>
  <c r="BA534"/>
  <c r="BA533"/>
  <c r="BA532"/>
  <c r="BA531"/>
  <c r="BA530"/>
  <c r="BA529"/>
  <c r="BA528"/>
  <c r="BA527"/>
  <c r="BA526"/>
  <c r="BA525"/>
  <c r="BA524"/>
  <c r="BA523"/>
  <c r="BA522"/>
  <c r="BA521"/>
  <c r="BA520"/>
  <c r="BA519"/>
  <c r="BA518"/>
  <c r="BA516"/>
  <c r="BA515"/>
  <c r="BA514"/>
  <c r="BA513"/>
  <c r="BA512"/>
  <c r="BA511"/>
  <c r="BA510"/>
  <c r="BA509"/>
  <c r="BA508"/>
  <c r="BA507"/>
  <c r="BA506"/>
  <c r="BA505"/>
  <c r="BA504"/>
  <c r="BA503"/>
  <c r="BA502"/>
  <c r="BA501"/>
  <c r="BA500"/>
  <c r="BA499"/>
  <c r="BA498"/>
  <c r="BA497"/>
  <c r="BA496"/>
  <c r="BA495"/>
  <c r="BA494"/>
  <c r="BA493"/>
  <c r="BA492"/>
  <c r="BA491"/>
  <c r="BA490"/>
  <c r="BA488"/>
  <c r="BA487"/>
  <c r="BA486"/>
  <c r="BA485"/>
  <c r="BA484"/>
  <c r="BA483"/>
  <c r="BA482"/>
  <c r="BA481"/>
  <c r="BA480"/>
  <c r="BA479"/>
  <c r="BA478"/>
  <c r="BA477"/>
  <c r="BA476"/>
  <c r="BA475"/>
  <c r="BA474"/>
  <c r="BA473"/>
  <c r="BA472"/>
  <c r="BA471"/>
  <c r="BA470"/>
  <c r="BA469"/>
  <c r="BA468"/>
  <c r="BA467"/>
  <c r="BA466"/>
  <c r="BA465"/>
  <c r="BA464"/>
  <c r="BA463"/>
  <c r="BA462"/>
  <c r="BA460"/>
  <c r="BA459"/>
  <c r="BA458"/>
  <c r="BA457"/>
  <c r="BA456"/>
  <c r="BA455"/>
  <c r="BA454"/>
  <c r="BA453"/>
  <c r="BA452"/>
  <c r="BA451"/>
  <c r="BA450"/>
  <c r="BA449"/>
  <c r="BA448"/>
  <c r="BA447"/>
  <c r="BA446"/>
  <c r="BA445"/>
  <c r="BA444"/>
  <c r="BA443"/>
  <c r="BA442"/>
  <c r="BA441"/>
  <c r="BA440"/>
  <c r="BA439"/>
  <c r="BA438"/>
  <c r="BA437"/>
  <c r="BA436"/>
  <c r="BA435"/>
  <c r="BA434"/>
  <c r="BA433"/>
  <c r="BA432"/>
  <c r="BA431"/>
  <c r="BA429"/>
  <c r="BA428"/>
  <c r="BA427"/>
  <c r="BA426"/>
  <c r="BA425"/>
  <c r="BA424"/>
  <c r="BA423"/>
  <c r="BA422"/>
  <c r="BA421"/>
  <c r="BA420"/>
  <c r="BA419"/>
  <c r="BA418"/>
  <c r="BA417"/>
  <c r="BA416"/>
  <c r="BA415"/>
  <c r="BA414"/>
  <c r="BA413"/>
  <c r="BA412"/>
  <c r="BA411"/>
  <c r="BA410"/>
  <c r="BA409"/>
  <c r="BA408"/>
  <c r="BA407"/>
  <c r="BA406"/>
  <c r="BA405"/>
  <c r="BA404"/>
  <c r="BA403"/>
  <c r="BA402"/>
  <c r="BA401"/>
  <c r="BA400"/>
  <c r="BA398"/>
  <c r="BA397"/>
  <c r="BA396"/>
  <c r="BA395"/>
  <c r="BA394"/>
  <c r="BA393"/>
  <c r="BA392"/>
  <c r="BA391"/>
  <c r="BA390"/>
  <c r="BA389"/>
  <c r="BA388"/>
  <c r="BA387"/>
  <c r="BA386"/>
  <c r="BA385"/>
  <c r="BA384"/>
  <c r="BA383"/>
  <c r="BA382"/>
  <c r="BA381"/>
  <c r="BA380"/>
  <c r="BA379"/>
  <c r="BA378"/>
  <c r="BA377"/>
  <c r="BA376"/>
  <c r="BA375"/>
  <c r="BA374"/>
  <c r="BA373"/>
  <c r="BA372"/>
  <c r="BA370"/>
  <c r="BA369"/>
  <c r="BA368"/>
  <c r="BA367"/>
  <c r="BA366"/>
  <c r="BA365"/>
  <c r="BA364"/>
  <c r="BA363"/>
  <c r="BA362"/>
  <c r="BA361"/>
  <c r="BA360"/>
  <c r="BA359"/>
  <c r="BA358"/>
  <c r="BA357"/>
  <c r="BA356"/>
  <c r="BA355"/>
  <c r="BA354"/>
  <c r="BA353"/>
  <c r="BA352"/>
  <c r="BA351"/>
  <c r="BA350"/>
  <c r="BA349"/>
  <c r="BA348"/>
  <c r="BA347"/>
  <c r="BA346"/>
  <c r="BA345"/>
  <c r="BA344"/>
  <c r="BA342"/>
  <c r="BA341"/>
  <c r="BA340"/>
  <c r="BA339"/>
  <c r="BA338"/>
  <c r="BA337"/>
  <c r="BA336"/>
  <c r="BA335"/>
  <c r="BA334"/>
  <c r="BA333"/>
  <c r="BA332"/>
  <c r="BA331"/>
  <c r="BA330"/>
  <c r="BA329"/>
  <c r="BA328"/>
  <c r="BA327"/>
  <c r="BA326"/>
  <c r="BA325"/>
  <c r="BA324"/>
  <c r="BA323"/>
  <c r="BA322"/>
  <c r="BA321"/>
  <c r="BA320"/>
  <c r="BA319"/>
  <c r="BA317"/>
  <c r="BA316"/>
  <c r="BA315"/>
  <c r="BA314"/>
  <c r="BA313"/>
  <c r="BA312"/>
  <c r="BA311"/>
  <c r="BA310"/>
  <c r="BA309"/>
  <c r="BA308"/>
  <c r="BA307"/>
  <c r="BA306"/>
  <c r="BA305"/>
  <c r="BA304"/>
  <c r="BA303"/>
  <c r="BA302"/>
  <c r="BA301"/>
  <c r="BA300"/>
  <c r="BA299"/>
  <c r="BA298"/>
  <c r="BA297"/>
  <c r="BA296"/>
  <c r="BA295"/>
  <c r="BA294"/>
  <c r="BA293"/>
  <c r="BA292"/>
  <c r="BA291"/>
  <c r="BA290"/>
  <c r="BA289"/>
  <c r="BA288"/>
  <c r="BA287"/>
  <c r="BA286"/>
  <c r="BA285"/>
  <c r="BA284"/>
  <c r="BA283"/>
  <c r="BA282"/>
  <c r="BA281"/>
  <c r="BA280"/>
  <c r="BA279"/>
  <c r="BI37"/>
  <c r="BI36"/>
  <c r="BI35"/>
  <c r="BI34"/>
  <c r="BI33"/>
  <c r="BE23"/>
  <c r="BE22"/>
  <c r="BI31"/>
  <c r="BI30"/>
  <c r="BI29"/>
  <c r="BI28"/>
  <c r="BI27"/>
  <c r="BI26"/>
  <c r="BI25"/>
  <c r="BI24"/>
  <c r="BI23"/>
  <c r="BI22"/>
  <c r="BI21"/>
  <c r="BE20"/>
  <c r="BE19"/>
  <c r="BE18"/>
  <c r="BE17"/>
  <c r="BA277"/>
  <c r="BA276"/>
  <c r="BA275"/>
  <c r="BA274"/>
  <c r="BA273"/>
  <c r="BA272"/>
  <c r="BA271"/>
  <c r="BA270"/>
  <c r="BA269"/>
  <c r="BA268"/>
  <c r="BA267"/>
  <c r="BA266"/>
  <c r="BA265"/>
  <c r="BA264"/>
  <c r="BA263"/>
  <c r="BA262"/>
  <c r="BA261"/>
  <c r="BA260"/>
  <c r="BA259"/>
  <c r="BA258"/>
  <c r="BA257"/>
  <c r="BA256"/>
  <c r="BA255"/>
  <c r="BA254"/>
  <c r="BA252"/>
  <c r="BA251"/>
  <c r="BA250"/>
  <c r="BA249"/>
  <c r="BA248"/>
  <c r="BA247"/>
  <c r="BA246"/>
  <c r="BA245"/>
  <c r="BA244"/>
  <c r="BA243"/>
  <c r="BA242"/>
  <c r="BA241"/>
  <c r="BA240"/>
  <c r="BA239"/>
  <c r="BA238"/>
  <c r="BA237"/>
  <c r="BA236"/>
  <c r="BA235"/>
  <c r="BA234"/>
  <c r="BA233"/>
  <c r="BA232"/>
  <c r="BA231"/>
  <c r="BA230"/>
  <c r="BA229"/>
  <c r="BA228"/>
  <c r="BA227"/>
  <c r="BA226"/>
  <c r="BA225"/>
  <c r="BA224"/>
  <c r="BA223"/>
  <c r="BA222"/>
  <c r="BA221"/>
  <c r="BA220"/>
  <c r="BA219"/>
  <c r="BA218"/>
  <c r="BA217"/>
  <c r="BA216"/>
  <c r="BA215"/>
  <c r="BA214"/>
  <c r="BA213"/>
  <c r="BA212"/>
  <c r="BA211"/>
  <c r="BA210"/>
  <c r="BA209"/>
  <c r="BA208"/>
  <c r="BA207"/>
  <c r="BA206"/>
  <c r="BA205"/>
  <c r="BA203"/>
  <c r="BA202"/>
  <c r="BA201"/>
  <c r="BA200"/>
  <c r="BA199"/>
  <c r="BA198"/>
  <c r="BA197"/>
  <c r="BA196"/>
  <c r="BA195"/>
  <c r="BA194"/>
  <c r="BA193"/>
  <c r="BA192"/>
  <c r="BA191"/>
  <c r="BA190"/>
  <c r="BA189"/>
  <c r="BA188"/>
  <c r="BA187"/>
  <c r="BA186"/>
  <c r="BA185"/>
  <c r="BA184"/>
  <c r="BA183"/>
  <c r="BA182"/>
  <c r="BA181"/>
  <c r="BA180"/>
  <c r="BA179"/>
  <c r="BA178"/>
  <c r="BA177"/>
  <c r="BA176"/>
  <c r="BA175"/>
  <c r="BA174"/>
  <c r="BA173"/>
  <c r="BA172"/>
  <c r="BA171"/>
  <c r="BA170"/>
  <c r="BA169"/>
  <c r="BA168"/>
  <c r="BA167"/>
  <c r="BA166"/>
  <c r="BA165"/>
  <c r="BA163"/>
  <c r="BA162"/>
  <c r="BA161"/>
  <c r="BA160"/>
  <c r="BA159"/>
  <c r="BA158"/>
  <c r="BA157"/>
  <c r="BA156"/>
  <c r="BA155"/>
  <c r="BA154"/>
  <c r="BA153"/>
  <c r="BA152"/>
  <c r="BA151"/>
  <c r="BA150"/>
  <c r="BA149"/>
  <c r="BA148"/>
  <c r="BA147"/>
  <c r="BA146"/>
  <c r="BA145"/>
  <c r="BA144"/>
  <c r="BA143"/>
  <c r="BA142"/>
  <c r="BA141"/>
  <c r="BA140"/>
  <c r="BA139"/>
  <c r="BA138"/>
  <c r="BA137"/>
  <c r="BA136"/>
  <c r="BA135"/>
  <c r="BA134"/>
  <c r="BA133"/>
  <c r="BA132"/>
  <c r="BA131"/>
  <c r="BI19"/>
  <c r="BI18"/>
  <c r="BI17"/>
  <c r="BI16"/>
  <c r="BI15"/>
  <c r="BI14"/>
  <c r="BI13"/>
  <c r="BI12"/>
  <c r="BA129"/>
  <c r="BA128"/>
  <c r="BA127"/>
  <c r="BA122"/>
  <c r="BA121"/>
  <c r="BA120"/>
  <c r="BA119"/>
  <c r="BA118"/>
  <c r="BA117"/>
  <c r="BA116"/>
  <c r="BA115"/>
  <c r="BA114"/>
  <c r="BA113"/>
  <c r="BA112"/>
  <c r="BA111"/>
  <c r="BA110"/>
  <c r="BA109"/>
  <c r="BA108"/>
  <c r="BA107"/>
  <c r="BA106"/>
  <c r="BA105"/>
  <c r="BA104"/>
  <c r="BA103"/>
  <c r="BA102"/>
  <c r="BA101"/>
  <c r="BA100"/>
  <c r="BA99"/>
  <c r="BA98"/>
  <c r="BA97"/>
  <c r="BA96"/>
  <c r="BA95"/>
  <c r="BA94"/>
  <c r="BA93"/>
  <c r="BA92"/>
  <c r="BA91"/>
  <c r="BA90"/>
  <c r="BA89"/>
  <c r="BA88"/>
  <c r="BA87"/>
  <c r="BA86"/>
  <c r="BA85"/>
  <c r="BA84"/>
  <c r="BA82"/>
  <c r="BA81"/>
  <c r="BA80"/>
  <c r="BA79"/>
  <c r="BA78"/>
  <c r="BA77"/>
  <c r="BA76"/>
  <c r="BA75"/>
  <c r="BA74"/>
  <c r="BA73"/>
  <c r="BA72"/>
  <c r="BA71"/>
  <c r="BA70"/>
  <c r="BA69"/>
  <c r="BA68"/>
  <c r="BA67"/>
  <c r="BA66"/>
  <c r="BA65"/>
  <c r="BA64"/>
  <c r="BA63"/>
  <c r="BA62"/>
  <c r="BA61"/>
  <c r="BA60"/>
  <c r="BA59"/>
  <c r="BA58"/>
  <c r="BA57"/>
  <c r="BA56"/>
  <c r="BA55"/>
  <c r="BA54"/>
  <c r="BA53"/>
  <c r="BA51"/>
  <c r="BA50"/>
  <c r="BA49"/>
  <c r="BA48"/>
  <c r="BA47"/>
  <c r="BA46"/>
  <c r="BA45"/>
  <c r="BA44"/>
  <c r="BA43"/>
  <c r="BA42"/>
  <c r="BA41"/>
  <c r="BA40"/>
  <c r="BA17"/>
  <c r="BA16"/>
  <c r="BA15"/>
  <c r="BA38"/>
  <c r="BA37"/>
  <c r="BA36"/>
  <c r="BA35"/>
  <c r="BA34"/>
  <c r="BA33"/>
  <c r="BA32"/>
  <c r="BA31"/>
  <c r="BA30"/>
  <c r="BA29"/>
  <c r="BA28"/>
  <c r="BA27"/>
  <c r="BA26"/>
  <c r="BA25"/>
  <c r="BA24"/>
  <c r="BA23"/>
  <c r="BA22"/>
  <c r="BA21"/>
  <c r="BA20"/>
  <c r="BA19"/>
  <c r="BA18"/>
  <c r="BA14"/>
  <c r="BA13"/>
  <c r="BA12"/>
  <c r="AW244"/>
  <c r="AW243"/>
  <c r="AW242"/>
  <c r="AW241"/>
  <c r="AW240"/>
  <c r="AW239"/>
  <c r="AW238"/>
  <c r="AW237"/>
  <c r="AW236"/>
  <c r="AW235"/>
  <c r="AW234"/>
  <c r="AW233"/>
  <c r="AW232"/>
  <c r="AW231"/>
  <c r="AW230"/>
  <c r="AW229"/>
  <c r="AW228"/>
  <c r="AW227"/>
  <c r="AW226"/>
  <c r="AW225"/>
  <c r="AW224"/>
  <c r="AW223"/>
  <c r="AW222"/>
  <c r="AW221"/>
  <c r="AW220"/>
  <c r="AW219"/>
  <c r="AW218"/>
  <c r="AW217"/>
  <c r="AW216"/>
  <c r="AW215"/>
  <c r="AW214"/>
  <c r="AW213"/>
  <c r="AW212"/>
  <c r="AW211"/>
  <c r="AW210"/>
  <c r="AW209"/>
  <c r="AW208"/>
  <c r="AW207"/>
  <c r="AW206"/>
  <c r="AW205"/>
  <c r="AW204"/>
  <c r="AW203"/>
  <c r="AW202"/>
  <c r="AW201"/>
  <c r="AW200"/>
  <c r="AW199"/>
  <c r="AW198"/>
  <c r="AW197"/>
  <c r="AW196"/>
  <c r="AW195"/>
  <c r="AW194"/>
  <c r="AW193"/>
  <c r="AW192"/>
  <c r="AW191"/>
  <c r="AW190"/>
  <c r="AW189"/>
  <c r="AW188"/>
  <c r="AW187"/>
  <c r="AW186"/>
  <c r="AW185"/>
  <c r="AW184"/>
  <c r="AW183"/>
  <c r="AW182"/>
  <c r="AW181"/>
  <c r="AW180"/>
  <c r="AW179"/>
  <c r="AW178"/>
  <c r="AW177"/>
  <c r="AW176"/>
  <c r="AW175"/>
  <c r="AW174"/>
  <c r="AW173"/>
  <c r="AW172"/>
  <c r="AW171"/>
  <c r="AW170"/>
  <c r="AW169"/>
  <c r="AW168"/>
  <c r="AW167"/>
  <c r="AW166"/>
  <c r="AW165"/>
  <c r="AW164"/>
  <c r="AW163"/>
  <c r="AW162"/>
  <c r="AW161"/>
  <c r="AW160"/>
  <c r="AW159"/>
  <c r="AW158"/>
  <c r="AW157"/>
  <c r="AW156"/>
  <c r="AW155"/>
  <c r="AW154"/>
  <c r="AW153"/>
  <c r="AW152"/>
  <c r="AW151"/>
  <c r="AW150"/>
  <c r="AW149"/>
  <c r="AW148"/>
  <c r="AW147"/>
  <c r="AW146"/>
  <c r="AW145"/>
  <c r="AW144"/>
  <c r="AW143"/>
  <c r="AW142"/>
  <c r="AW141"/>
  <c r="AW140"/>
  <c r="AW139"/>
  <c r="AW138"/>
  <c r="AW137"/>
  <c r="AW136"/>
  <c r="AW135"/>
  <c r="AW134"/>
  <c r="AW133"/>
  <c r="AW132"/>
  <c r="AW131"/>
  <c r="AW130"/>
  <c r="AW129"/>
  <c r="AW128"/>
  <c r="AW127"/>
  <c r="AW126"/>
  <c r="AW125"/>
  <c r="AW124"/>
  <c r="AW123"/>
  <c r="AW122"/>
  <c r="AW121"/>
  <c r="AW120"/>
  <c r="AW119"/>
  <c r="AW118"/>
  <c r="AW117"/>
  <c r="AW116"/>
  <c r="AW115"/>
  <c r="AW114"/>
  <c r="AW113"/>
  <c r="AW112"/>
  <c r="AW111"/>
  <c r="AW110"/>
  <c r="AW109"/>
  <c r="AW108"/>
  <c r="AW107"/>
  <c r="AW106"/>
  <c r="AW105"/>
  <c r="AW104"/>
  <c r="AW103"/>
  <c r="AW102"/>
  <c r="AW101"/>
  <c r="AW100"/>
  <c r="AW99"/>
  <c r="AW98"/>
  <c r="AW97"/>
  <c r="AW96"/>
  <c r="AW95"/>
  <c r="AW94"/>
  <c r="AW93"/>
  <c r="AW92"/>
  <c r="AW91"/>
  <c r="AW90"/>
  <c r="AW89"/>
  <c r="AW88"/>
  <c r="AW87"/>
  <c r="AW86"/>
  <c r="AW85"/>
  <c r="AW84"/>
  <c r="AW83"/>
  <c r="AW82"/>
  <c r="AW81"/>
  <c r="AW80"/>
  <c r="AW79"/>
  <c r="AW78"/>
  <c r="AW77"/>
  <c r="AW76"/>
  <c r="AW75"/>
  <c r="AW74"/>
  <c r="AW73"/>
  <c r="AW72"/>
  <c r="AW71"/>
  <c r="AW70"/>
  <c r="AW69"/>
  <c r="AW68"/>
  <c r="AW67"/>
  <c r="AW66"/>
  <c r="AW65"/>
  <c r="AW64"/>
  <c r="AW63"/>
  <c r="AW62"/>
  <c r="AW61"/>
  <c r="AW60"/>
  <c r="AW59"/>
  <c r="AW58"/>
  <c r="AW57"/>
  <c r="AW56"/>
  <c r="AW55"/>
  <c r="AW54"/>
  <c r="AW53"/>
  <c r="AW52"/>
  <c r="AW51"/>
  <c r="AW50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BM199"/>
  <c r="BM207"/>
  <c r="BM263"/>
  <c r="BM271"/>
  <c r="BM279"/>
  <c r="BM287"/>
  <c r="BM295"/>
  <c r="BM303"/>
  <c r="BM311"/>
  <c r="BM151"/>
  <c r="BM159"/>
  <c r="BM167"/>
  <c r="BM175"/>
  <c r="BM183"/>
  <c r="BM191"/>
  <c r="BQ23"/>
  <c r="BQ22"/>
  <c r="BQ21"/>
  <c r="BQ20"/>
  <c r="BM301"/>
  <c r="BM302"/>
  <c r="BM305"/>
  <c r="BM306"/>
  <c r="BM308"/>
  <c r="BM309"/>
  <c r="BM310"/>
  <c r="BM313"/>
  <c r="BM314"/>
  <c r="BM316"/>
  <c r="DD3"/>
  <c r="BM300"/>
  <c r="BM298"/>
  <c r="BM297"/>
  <c r="BM294"/>
  <c r="BM293"/>
  <c r="BQ19"/>
  <c r="BQ48"/>
  <c r="BQ47"/>
  <c r="BQ46"/>
  <c r="BQ18"/>
  <c r="BM160"/>
  <c r="BM161"/>
  <c r="BM163"/>
  <c r="BM164"/>
  <c r="BM165"/>
  <c r="BM168"/>
  <c r="BM169"/>
  <c r="BM171"/>
  <c r="BM172"/>
  <c r="BM173"/>
  <c r="BM176"/>
  <c r="BM177"/>
  <c r="BM179"/>
  <c r="BM180"/>
  <c r="BM181"/>
  <c r="BM184"/>
  <c r="BM185"/>
  <c r="BM187"/>
  <c r="BM188"/>
  <c r="BM189"/>
  <c r="BM192"/>
  <c r="BM193"/>
  <c r="BM195"/>
  <c r="BM196"/>
  <c r="BM197"/>
  <c r="BM200"/>
  <c r="BM201"/>
  <c r="BM203"/>
  <c r="BM204"/>
  <c r="BM205"/>
  <c r="BM208"/>
  <c r="BM209"/>
  <c r="BM211"/>
  <c r="BM261"/>
  <c r="BM262"/>
  <c r="BM265"/>
  <c r="BM266"/>
  <c r="BM268"/>
  <c r="BM269"/>
  <c r="BM270"/>
  <c r="BM273"/>
  <c r="BM274"/>
  <c r="BM276"/>
  <c r="BM277"/>
  <c r="BM278"/>
  <c r="BM281"/>
  <c r="BM282"/>
  <c r="BM284"/>
  <c r="BM285"/>
  <c r="BM286"/>
  <c r="BM289"/>
  <c r="BM290"/>
  <c r="BM292"/>
  <c r="BM152"/>
  <c r="BM153"/>
  <c r="AW281"/>
  <c r="CS36"/>
  <c r="CS26"/>
  <c r="CS16"/>
  <c r="BY826"/>
  <c r="BY824"/>
  <c r="BY823"/>
  <c r="BY822"/>
  <c r="BY821"/>
  <c r="BY820"/>
  <c r="BY818"/>
  <c r="BA725"/>
  <c r="BA710"/>
  <c r="BA699"/>
  <c r="BA681"/>
  <c r="BA680"/>
  <c r="AW269"/>
  <c r="AW259"/>
  <c r="AW249"/>
  <c r="CW25"/>
  <c r="CW24"/>
  <c r="CW17"/>
  <c r="CW18"/>
  <c r="DG11" i="1"/>
  <c r="R11" i="5" s="1"/>
  <c r="Y74" i="1"/>
  <c r="AI74"/>
  <c r="AN74"/>
  <c r="AS74"/>
  <c r="AX74"/>
  <c r="BC74"/>
  <c r="Y75"/>
  <c r="AI75"/>
  <c r="AN75"/>
  <c r="AS75"/>
  <c r="AX75"/>
  <c r="BC75"/>
  <c r="Y76"/>
  <c r="AI76"/>
  <c r="AN76"/>
  <c r="AS76"/>
  <c r="AX76"/>
  <c r="BC76"/>
  <c r="Y77"/>
  <c r="AI77"/>
  <c r="AN77"/>
  <c r="AS77"/>
  <c r="AX77"/>
  <c r="BC77"/>
  <c r="Y78"/>
  <c r="AI78"/>
  <c r="AN78"/>
  <c r="AS78"/>
  <c r="AX78"/>
  <c r="BC78"/>
  <c r="Y79"/>
  <c r="AI79"/>
  <c r="AN79"/>
  <c r="AS79"/>
  <c r="AX79"/>
  <c r="BC79"/>
  <c r="Y80"/>
  <c r="AI80"/>
  <c r="AN80"/>
  <c r="AS80"/>
  <c r="AX80"/>
  <c r="BC80"/>
  <c r="X81"/>
  <c r="Y81"/>
  <c r="AI81"/>
  <c r="AN81"/>
  <c r="AS81"/>
  <c r="AX81"/>
  <c r="BC81"/>
  <c r="X82"/>
  <c r="Y82"/>
  <c r="AI82"/>
  <c r="AN82"/>
  <c r="AS82"/>
  <c r="AX82"/>
  <c r="BC82"/>
  <c r="Y73"/>
  <c r="AI73"/>
  <c r="BA672" i="4"/>
  <c r="BA674"/>
  <c r="BA676"/>
  <c r="BA677"/>
  <c r="BA678"/>
  <c r="BA679"/>
  <c r="BA682"/>
  <c r="BA683"/>
  <c r="BA684"/>
  <c r="BA685"/>
  <c r="BA686"/>
  <c r="BA687"/>
  <c r="BA688"/>
  <c r="BA689"/>
  <c r="BA690"/>
  <c r="BA691"/>
  <c r="BA692"/>
  <c r="BA693"/>
  <c r="BA694"/>
  <c r="BA695"/>
  <c r="BA697"/>
  <c r="BA698"/>
  <c r="BA700"/>
  <c r="BA701"/>
  <c r="BA702"/>
  <c r="BA703"/>
  <c r="BA704"/>
  <c r="BA705"/>
  <c r="BA706"/>
  <c r="BA708"/>
  <c r="BA709"/>
  <c r="BA711"/>
  <c r="BA712"/>
  <c r="BA713"/>
  <c r="BA714"/>
  <c r="BA715"/>
  <c r="BA716"/>
  <c r="BA717"/>
  <c r="BA719"/>
  <c r="BA721"/>
  <c r="BA723"/>
  <c r="BA724"/>
  <c r="BA726"/>
  <c r="BA727"/>
  <c r="BA728"/>
  <c r="BA729"/>
  <c r="BA730"/>
  <c r="BA731"/>
  <c r="BA732"/>
  <c r="BQ56"/>
  <c r="BQ55"/>
  <c r="BQ54"/>
  <c r="BQ45"/>
  <c r="BQ42"/>
  <c r="BQ41"/>
  <c r="BQ39"/>
  <c r="BQ38"/>
  <c r="DH25" i="1"/>
  <c r="DH24"/>
  <c r="DH23"/>
  <c r="DH22"/>
  <c r="DH21"/>
  <c r="DH20"/>
  <c r="DH19"/>
  <c r="DH18"/>
  <c r="DH17"/>
  <c r="DH16"/>
  <c r="DH15"/>
  <c r="DH12"/>
  <c r="DH11"/>
  <c r="DH14"/>
  <c r="CY25"/>
  <c r="CY24"/>
  <c r="CY23"/>
  <c r="CY22"/>
  <c r="CY21"/>
  <c r="CY20"/>
  <c r="CY19"/>
  <c r="CY18"/>
  <c r="CY17"/>
  <c r="CY16"/>
  <c r="CY15"/>
  <c r="CY12"/>
  <c r="CY11"/>
  <c r="CY14"/>
  <c r="EI10" i="4"/>
  <c r="EC10"/>
  <c r="DQ10"/>
  <c r="DE10"/>
  <c r="DK10"/>
  <c r="DW10"/>
  <c r="CK132"/>
  <c r="CK129"/>
  <c r="CK128"/>
  <c r="CK127"/>
  <c r="CK126"/>
  <c r="CK120"/>
  <c r="CK119"/>
  <c r="CK83"/>
  <c r="CK82"/>
  <c r="CK81"/>
  <c r="CK80"/>
  <c r="CK79"/>
  <c r="CK78"/>
  <c r="CK77"/>
  <c r="CK76"/>
  <c r="CK41"/>
  <c r="CK40"/>
  <c r="CK39"/>
  <c r="CK38"/>
  <c r="CK37"/>
  <c r="CK36"/>
  <c r="CK35"/>
  <c r="CK34"/>
  <c r="CK33"/>
  <c r="CK32"/>
  <c r="CK22"/>
  <c r="CK21"/>
  <c r="CK20"/>
  <c r="CK19"/>
  <c r="CC1014"/>
  <c r="BE15"/>
  <c r="BE14"/>
  <c r="CW28"/>
  <c r="CS43"/>
  <c r="CS42"/>
  <c r="CS41"/>
  <c r="CS40"/>
  <c r="CS39"/>
  <c r="CS38"/>
  <c r="CS37"/>
  <c r="CS35"/>
  <c r="CS34"/>
  <c r="CC1015"/>
  <c r="CC1012"/>
  <c r="CC1010"/>
  <c r="BM148"/>
  <c r="BM149"/>
  <c r="BM155"/>
  <c r="BM156"/>
  <c r="BM157"/>
  <c r="AW276"/>
  <c r="AW275"/>
  <c r="AW274"/>
  <c r="AW273"/>
  <c r="AW272"/>
  <c r="AW271"/>
  <c r="AW270"/>
  <c r="AW268"/>
  <c r="AW267"/>
  <c r="J112" i="5"/>
  <c r="E112" s="1"/>
  <c r="J111"/>
  <c r="G111" s="1"/>
  <c r="M111" s="1"/>
  <c r="D111" s="1"/>
  <c r="J110"/>
  <c r="G110" s="1"/>
  <c r="N110" s="1"/>
  <c r="F110" s="1"/>
  <c r="O110" s="1"/>
  <c r="H110" s="1"/>
  <c r="J109"/>
  <c r="G109" s="1"/>
  <c r="J108"/>
  <c r="G108"/>
  <c r="J107"/>
  <c r="E107" s="1"/>
  <c r="J106"/>
  <c r="G106"/>
  <c r="N106"/>
  <c r="F106" s="1"/>
  <c r="O106" s="1"/>
  <c r="H106" s="1"/>
  <c r="J105"/>
  <c r="E105" s="1"/>
  <c r="J104"/>
  <c r="G104"/>
  <c r="L104"/>
  <c r="C104" s="1"/>
  <c r="J103"/>
  <c r="G103"/>
  <c r="J102"/>
  <c r="E102" s="1"/>
  <c r="J101"/>
  <c r="G101" s="1"/>
  <c r="J100"/>
  <c r="G100"/>
  <c r="J99"/>
  <c r="E99" s="1"/>
  <c r="J98"/>
  <c r="G98"/>
  <c r="M98"/>
  <c r="D98" s="1"/>
  <c r="J97"/>
  <c r="G97"/>
  <c r="J96"/>
  <c r="G96" s="1"/>
  <c r="J95"/>
  <c r="J94"/>
  <c r="G94"/>
  <c r="M94" s="1"/>
  <c r="D94" s="1"/>
  <c r="J93"/>
  <c r="G93"/>
  <c r="J91"/>
  <c r="J90"/>
  <c r="G90"/>
  <c r="M90"/>
  <c r="D90" s="1"/>
  <c r="J89"/>
  <c r="E89"/>
  <c r="J88"/>
  <c r="G88" s="1"/>
  <c r="J87"/>
  <c r="E87" s="1"/>
  <c r="J85"/>
  <c r="E85"/>
  <c r="J84"/>
  <c r="J83"/>
  <c r="J82"/>
  <c r="E82"/>
  <c r="J81"/>
  <c r="G81" s="1"/>
  <c r="J80"/>
  <c r="E80" s="1"/>
  <c r="J79"/>
  <c r="E79" s="1"/>
  <c r="J78"/>
  <c r="G78"/>
  <c r="J77"/>
  <c r="G77" s="1"/>
  <c r="AV77" s="1"/>
  <c r="AU77" s="1"/>
  <c r="J76"/>
  <c r="G76" s="1"/>
  <c r="M76" s="1"/>
  <c r="D76" s="1"/>
  <c r="J75"/>
  <c r="J74"/>
  <c r="E74" s="1"/>
  <c r="R74"/>
  <c r="J73"/>
  <c r="R73"/>
  <c r="J72"/>
  <c r="J71"/>
  <c r="G71" s="1"/>
  <c r="J69"/>
  <c r="E69" s="1"/>
  <c r="J68"/>
  <c r="E68" s="1"/>
  <c r="J67"/>
  <c r="G67" s="1"/>
  <c r="J66"/>
  <c r="E66" s="1"/>
  <c r="J65"/>
  <c r="G65" s="1"/>
  <c r="J64"/>
  <c r="G64"/>
  <c r="J63"/>
  <c r="E63" s="1"/>
  <c r="J62"/>
  <c r="G62"/>
  <c r="M62"/>
  <c r="D62" s="1"/>
  <c r="J61"/>
  <c r="G61" s="1"/>
  <c r="L61" s="1"/>
  <c r="C61" s="1"/>
  <c r="J60"/>
  <c r="G60" s="1"/>
  <c r="L60" s="1"/>
  <c r="C60" s="1"/>
  <c r="J59"/>
  <c r="G59" s="1"/>
  <c r="J58"/>
  <c r="G58" s="1"/>
  <c r="J57"/>
  <c r="G57"/>
  <c r="R57"/>
  <c r="J56"/>
  <c r="G56"/>
  <c r="J55"/>
  <c r="DL25" i="1"/>
  <c r="J53" i="5" s="1"/>
  <c r="G53" s="1"/>
  <c r="AV53" s="1"/>
  <c r="AU53" s="1"/>
  <c r="J51"/>
  <c r="E51"/>
  <c r="DL24" i="1"/>
  <c r="J50" i="5" s="1"/>
  <c r="G50" s="1"/>
  <c r="J48"/>
  <c r="DL23" i="1"/>
  <c r="J47" i="5"/>
  <c r="G47" s="1"/>
  <c r="N47" s="1"/>
  <c r="F47" s="1"/>
  <c r="O47" s="1"/>
  <c r="H47" s="1"/>
  <c r="J45"/>
  <c r="E45" s="1"/>
  <c r="DL22" i="1"/>
  <c r="J44" i="5" s="1"/>
  <c r="G44" s="1"/>
  <c r="M44" s="1"/>
  <c r="D44" s="1"/>
  <c r="J42"/>
  <c r="G42"/>
  <c r="DL21" i="1"/>
  <c r="J41" i="5" s="1"/>
  <c r="J39"/>
  <c r="DL20" i="1"/>
  <c r="J38" i="5" s="1"/>
  <c r="J36"/>
  <c r="DL19" i="1"/>
  <c r="J35" i="5"/>
  <c r="G35" s="1"/>
  <c r="J33"/>
  <c r="DL18" i="1"/>
  <c r="J32" i="5" s="1"/>
  <c r="G32" s="1"/>
  <c r="J30"/>
  <c r="G30"/>
  <c r="DL17" i="1"/>
  <c r="J29" i="5" s="1"/>
  <c r="E29" s="1"/>
  <c r="J27"/>
  <c r="DL16" i="1"/>
  <c r="J26" i="5" s="1"/>
  <c r="G26" s="1"/>
  <c r="M26" s="1"/>
  <c r="D26" s="1"/>
  <c r="J24"/>
  <c r="G24" s="1"/>
  <c r="DL15" i="1"/>
  <c r="J23" i="5"/>
  <c r="E23" s="1"/>
  <c r="J21"/>
  <c r="G21" s="1"/>
  <c r="L21" s="1"/>
  <c r="C21" s="1"/>
  <c r="DL14" i="1"/>
  <c r="J20" i="5" s="1"/>
  <c r="E20" s="1"/>
  <c r="DG14" i="1"/>
  <c r="AA20" i="5"/>
  <c r="CV14" i="1"/>
  <c r="J18" i="5"/>
  <c r="G18"/>
  <c r="R18"/>
  <c r="DL13" i="1"/>
  <c r="J17" i="5" s="1"/>
  <c r="J15"/>
  <c r="G15"/>
  <c r="R15"/>
  <c r="DL12" i="1"/>
  <c r="J14" i="5"/>
  <c r="G14"/>
  <c r="CV12" i="1"/>
  <c r="CW12"/>
  <c r="J12" i="5"/>
  <c r="G12"/>
  <c r="R12"/>
  <c r="DL11" i="1"/>
  <c r="J11" i="5"/>
  <c r="G11"/>
  <c r="J9"/>
  <c r="CW27" i="4"/>
  <c r="CS33"/>
  <c r="CS32"/>
  <c r="CS31"/>
  <c r="CS30"/>
  <c r="CS29"/>
  <c r="CS28"/>
  <c r="CS27"/>
  <c r="CS25"/>
  <c r="CS24"/>
  <c r="CC991"/>
  <c r="CC990"/>
  <c r="CC1008"/>
  <c r="CC1007"/>
  <c r="CC1005"/>
  <c r="CC1004"/>
  <c r="CC999"/>
  <c r="CC998"/>
  <c r="CC996"/>
  <c r="CC995"/>
  <c r="CC993"/>
  <c r="AW266"/>
  <c r="AW265"/>
  <c r="AW264"/>
  <c r="AW263"/>
  <c r="AW262"/>
  <c r="AW261"/>
  <c r="AW260"/>
  <c r="AW258"/>
  <c r="AW257"/>
  <c r="CK18"/>
  <c r="CK17"/>
  <c r="CK16"/>
  <c r="CK15"/>
  <c r="CK14"/>
  <c r="CK13"/>
  <c r="CW22"/>
  <c r="CW21"/>
  <c r="CW19"/>
  <c r="CS13"/>
  <c r="CC972"/>
  <c r="CC971"/>
  <c r="CC969"/>
  <c r="CC965"/>
  <c r="CC964"/>
  <c r="CC962"/>
  <c r="CC961"/>
  <c r="CC959"/>
  <c r="AW245"/>
  <c r="BY887"/>
  <c r="BY886"/>
  <c r="BY878"/>
  <c r="BY877"/>
  <c r="BY869"/>
  <c r="BY868"/>
  <c r="BY860"/>
  <c r="BY859"/>
  <c r="BY858"/>
  <c r="BY857"/>
  <c r="BY856"/>
  <c r="BY853"/>
  <c r="BY851"/>
  <c r="BY850"/>
  <c r="BY849"/>
  <c r="BY848"/>
  <c r="BY847"/>
  <c r="BY844"/>
  <c r="BY842"/>
  <c r="BY841"/>
  <c r="BY840"/>
  <c r="BY839"/>
  <c r="BY838"/>
  <c r="BY835"/>
  <c r="BY833"/>
  <c r="BY832"/>
  <c r="BY831"/>
  <c r="BY830"/>
  <c r="BY829"/>
  <c r="BY817"/>
  <c r="BY815"/>
  <c r="BY814"/>
  <c r="BY813"/>
  <c r="BY812"/>
  <c r="BY811"/>
  <c r="BY806"/>
  <c r="BY805"/>
  <c r="BY794"/>
  <c r="BY793"/>
  <c r="J22" i="5"/>
  <c r="DA12" i="1"/>
  <c r="BQ17" i="4"/>
  <c r="BQ14"/>
  <c r="J49" i="5"/>
  <c r="E49"/>
  <c r="J46"/>
  <c r="G46"/>
  <c r="AV46" s="1"/>
  <c r="AU46" s="1"/>
  <c r="J37"/>
  <c r="J34"/>
  <c r="J28"/>
  <c r="G28"/>
  <c r="BE12" i="4"/>
  <c r="BE13"/>
  <c r="AW246"/>
  <c r="AW247"/>
  <c r="AW248"/>
  <c r="AW250"/>
  <c r="AW251"/>
  <c r="AW252"/>
  <c r="AW253"/>
  <c r="AW254"/>
  <c r="AW255"/>
  <c r="AW256"/>
  <c r="AW277"/>
  <c r="AW278"/>
  <c r="AW279"/>
  <c r="AW280"/>
  <c r="AW282"/>
  <c r="AW283"/>
  <c r="AW284"/>
  <c r="AW285"/>
  <c r="AW286"/>
  <c r="AW287"/>
  <c r="AW288"/>
  <c r="BU314"/>
  <c r="BU315"/>
  <c r="BU316"/>
  <c r="BU317"/>
  <c r="BY790"/>
  <c r="BY792"/>
  <c r="BY795"/>
  <c r="BY796"/>
  <c r="BY798"/>
  <c r="BY800"/>
  <c r="BY802"/>
  <c r="BY803"/>
  <c r="BY804"/>
  <c r="BY808"/>
  <c r="BY809"/>
  <c r="BY827"/>
  <c r="BY836"/>
  <c r="BY845"/>
  <c r="BY854"/>
  <c r="BY862"/>
  <c r="BY863"/>
  <c r="BY865"/>
  <c r="BY866"/>
  <c r="BY867"/>
  <c r="BY871"/>
  <c r="BY872"/>
  <c r="BY874"/>
  <c r="BY875"/>
  <c r="BY876"/>
  <c r="BY880"/>
  <c r="BY881"/>
  <c r="BY883"/>
  <c r="BY884"/>
  <c r="BY885"/>
  <c r="BY889"/>
  <c r="CC944"/>
  <c r="CC946"/>
  <c r="CC947"/>
  <c r="CC949"/>
  <c r="CC950"/>
  <c r="CC954"/>
  <c r="CC956"/>
  <c r="CC957"/>
  <c r="CC974"/>
  <c r="CC976"/>
  <c r="CC977"/>
  <c r="CC979"/>
  <c r="CC980"/>
  <c r="CC985"/>
  <c r="CC986"/>
  <c r="CC988"/>
  <c r="CC989"/>
  <c r="CC1017"/>
  <c r="CC1018"/>
  <c r="CK12"/>
  <c r="CK87"/>
  <c r="CK88"/>
  <c r="CK89"/>
  <c r="CK90"/>
  <c r="CK95"/>
  <c r="CK96"/>
  <c r="CK97"/>
  <c r="CK98"/>
  <c r="CK104"/>
  <c r="CK105"/>
  <c r="CK106"/>
  <c r="CK107"/>
  <c r="CS12"/>
  <c r="CS14"/>
  <c r="CS15"/>
  <c r="CS17"/>
  <c r="CS18"/>
  <c r="CS19"/>
  <c r="CS20"/>
  <c r="CS21"/>
  <c r="CS22"/>
  <c r="CS23"/>
  <c r="CS44"/>
  <c r="CW12"/>
  <c r="CW14"/>
  <c r="CW15"/>
  <c r="CW26"/>
  <c r="CW29"/>
  <c r="DG12" i="1"/>
  <c r="S14" i="5"/>
  <c r="DJ12" i="1"/>
  <c r="AD12"/>
  <c r="AI12"/>
  <c r="AX12"/>
  <c r="BH12"/>
  <c r="BM12"/>
  <c r="BR12"/>
  <c r="AN12"/>
  <c r="AS12"/>
  <c r="BC12"/>
  <c r="CB12"/>
  <c r="CL12"/>
  <c r="CQ12"/>
  <c r="AI13"/>
  <c r="AX13"/>
  <c r="BH13"/>
  <c r="BM13"/>
  <c r="BR13"/>
  <c r="AN13"/>
  <c r="AS13"/>
  <c r="BC13"/>
  <c r="CB13"/>
  <c r="CL13"/>
  <c r="CQ13"/>
  <c r="AD14"/>
  <c r="AI14"/>
  <c r="AN14"/>
  <c r="AS14"/>
  <c r="AX14"/>
  <c r="BC14"/>
  <c r="BH14"/>
  <c r="BM14"/>
  <c r="BR14"/>
  <c r="CB14"/>
  <c r="CL14"/>
  <c r="CQ14"/>
  <c r="AD15"/>
  <c r="AI15"/>
  <c r="AN15"/>
  <c r="AS15"/>
  <c r="AX15"/>
  <c r="BC15"/>
  <c r="BH15"/>
  <c r="BM15"/>
  <c r="BR15"/>
  <c r="CB15"/>
  <c r="CL15"/>
  <c r="CQ15"/>
  <c r="AR24" i="5"/>
  <c r="AQ24" s="1"/>
  <c r="CV16" i="1"/>
  <c r="DA16"/>
  <c r="CW16"/>
  <c r="DC16"/>
  <c r="AG25" i="5" s="1"/>
  <c r="AD16" i="1"/>
  <c r="AI16"/>
  <c r="AN16"/>
  <c r="AS16"/>
  <c r="AX16"/>
  <c r="BC16"/>
  <c r="BH16"/>
  <c r="BM16"/>
  <c r="BR16"/>
  <c r="CB16"/>
  <c r="CL16"/>
  <c r="CQ16"/>
  <c r="AR27" i="5"/>
  <c r="AQ27" s="1"/>
  <c r="CV17" i="1"/>
  <c r="DA17"/>
  <c r="CW17"/>
  <c r="DC17"/>
  <c r="AG28" i="5" s="1"/>
  <c r="AD17" i="1"/>
  <c r="AI17"/>
  <c r="AN17"/>
  <c r="AS17"/>
  <c r="AX17"/>
  <c r="BC17"/>
  <c r="BH17"/>
  <c r="BM17"/>
  <c r="BR17"/>
  <c r="CB17"/>
  <c r="CL17"/>
  <c r="CQ17"/>
  <c r="AR30" i="5"/>
  <c r="AQ30" s="1"/>
  <c r="CV18" i="1"/>
  <c r="CW18"/>
  <c r="DA18"/>
  <c r="DC18"/>
  <c r="AG31" i="5"/>
  <c r="AD18" i="1"/>
  <c r="AI18"/>
  <c r="AN18"/>
  <c r="AS18"/>
  <c r="AX18"/>
  <c r="BC18"/>
  <c r="BH18"/>
  <c r="BM18"/>
  <c r="BR18"/>
  <c r="CB18"/>
  <c r="CL18"/>
  <c r="CQ18"/>
  <c r="AR33" i="5"/>
  <c r="AQ33" s="1"/>
  <c r="CV19" i="1"/>
  <c r="CW19"/>
  <c r="DA19"/>
  <c r="DC19"/>
  <c r="AG34" i="5"/>
  <c r="AD19" i="1"/>
  <c r="AI19"/>
  <c r="AN19"/>
  <c r="AS19"/>
  <c r="AX19"/>
  <c r="BC19"/>
  <c r="BH19"/>
  <c r="BM19"/>
  <c r="BR19"/>
  <c r="CB19"/>
  <c r="CL19"/>
  <c r="CQ19"/>
  <c r="AR36" i="5"/>
  <c r="AQ36" s="1"/>
  <c r="CV20" i="1"/>
  <c r="DA20"/>
  <c r="CW20"/>
  <c r="DC20"/>
  <c r="AG37" i="5" s="1"/>
  <c r="AD20" i="1"/>
  <c r="AI20"/>
  <c r="AN20"/>
  <c r="AS20"/>
  <c r="AX20"/>
  <c r="BC20"/>
  <c r="BH20"/>
  <c r="BM20"/>
  <c r="BR20"/>
  <c r="CB20"/>
  <c r="CL20"/>
  <c r="CQ20"/>
  <c r="AR39" i="5"/>
  <c r="AQ39"/>
  <c r="CV21" i="1"/>
  <c r="CW21"/>
  <c r="DA21"/>
  <c r="DC21"/>
  <c r="AD21"/>
  <c r="AI21"/>
  <c r="AN21"/>
  <c r="AS21"/>
  <c r="AX21"/>
  <c r="BC21"/>
  <c r="BH21"/>
  <c r="BM21"/>
  <c r="BR21"/>
  <c r="CB21"/>
  <c r="CL21"/>
  <c r="CQ21"/>
  <c r="AR42" i="5"/>
  <c r="AQ42" s="1"/>
  <c r="CV22" i="1"/>
  <c r="DA22"/>
  <c r="CW22"/>
  <c r="DC22"/>
  <c r="AG43" i="5" s="1"/>
  <c r="AD22" i="1"/>
  <c r="AI22"/>
  <c r="AN22"/>
  <c r="AS22"/>
  <c r="AX22"/>
  <c r="BC22"/>
  <c r="BH22"/>
  <c r="BM22"/>
  <c r="BR22"/>
  <c r="CB22"/>
  <c r="CL22"/>
  <c r="CQ22"/>
  <c r="AL45" i="5"/>
  <c r="AR45"/>
  <c r="AQ45" s="1"/>
  <c r="CV23" i="1"/>
  <c r="CW23"/>
  <c r="DA23"/>
  <c r="DC23"/>
  <c r="X23"/>
  <c r="AL48" i="5"/>
  <c r="AR48"/>
  <c r="AQ48" s="1"/>
  <c r="CV24" i="1"/>
  <c r="CW24"/>
  <c r="AB49" i="5" s="1"/>
  <c r="DA24" i="1"/>
  <c r="DC24"/>
  <c r="AG49" i="5" s="1"/>
  <c r="X24" i="1"/>
  <c r="AL51" i="5"/>
  <c r="AR51"/>
  <c r="AQ51" s="1"/>
  <c r="CV25" i="1"/>
  <c r="AB52" i="5" s="1"/>
  <c r="CW25" i="1"/>
  <c r="DA25"/>
  <c r="DC25"/>
  <c r="X52" i="5" s="1"/>
  <c r="X25" i="1"/>
  <c r="AR56" i="5"/>
  <c r="AQ56"/>
  <c r="AR57"/>
  <c r="AQ57" s="1"/>
  <c r="AR58"/>
  <c r="AQ58"/>
  <c r="AD32" i="1"/>
  <c r="AI32"/>
  <c r="AN32"/>
  <c r="AS32"/>
  <c r="AX32"/>
  <c r="BC32"/>
  <c r="BH32"/>
  <c r="BM32"/>
  <c r="BR32"/>
  <c r="CB32"/>
  <c r="AR59" i="5"/>
  <c r="AQ59" s="1"/>
  <c r="AD33" i="1"/>
  <c r="AI33"/>
  <c r="AN33"/>
  <c r="AS33"/>
  <c r="AX33"/>
  <c r="BC33"/>
  <c r="BH33"/>
  <c r="BM33"/>
  <c r="BR33"/>
  <c r="CB33"/>
  <c r="AR60" i="5"/>
  <c r="AQ60" s="1"/>
  <c r="AD34" i="1"/>
  <c r="AI34"/>
  <c r="AN34"/>
  <c r="AS34"/>
  <c r="AX34"/>
  <c r="BC34"/>
  <c r="BH34"/>
  <c r="BM34"/>
  <c r="BR34"/>
  <c r="CB34"/>
  <c r="AR61" i="5"/>
  <c r="AQ61" s="1"/>
  <c r="AD35" i="1"/>
  <c r="AI35"/>
  <c r="AN35"/>
  <c r="AS35"/>
  <c r="AX35"/>
  <c r="BC35"/>
  <c r="BH35"/>
  <c r="BM35"/>
  <c r="BR35"/>
  <c r="CB35"/>
  <c r="AR62" i="5"/>
  <c r="AQ62" s="1"/>
  <c r="AD36" i="1"/>
  <c r="AI36"/>
  <c r="AN36"/>
  <c r="AS36"/>
  <c r="AX36"/>
  <c r="BC36"/>
  <c r="BH36"/>
  <c r="BM36"/>
  <c r="BR36"/>
  <c r="CB36"/>
  <c r="AR63" i="5"/>
  <c r="AQ63" s="1"/>
  <c r="AD37" i="1"/>
  <c r="AI37"/>
  <c r="AN37"/>
  <c r="AS37"/>
  <c r="AX37"/>
  <c r="BC37"/>
  <c r="BH37"/>
  <c r="BM37"/>
  <c r="BR37"/>
  <c r="CB37"/>
  <c r="AD38"/>
  <c r="AI38"/>
  <c r="AN38"/>
  <c r="AS38"/>
  <c r="AX38"/>
  <c r="BC38"/>
  <c r="BH38"/>
  <c r="BM38"/>
  <c r="BR38"/>
  <c r="CB38"/>
  <c r="AR65" i="5"/>
  <c r="AQ65" s="1"/>
  <c r="AD39" i="1"/>
  <c r="AI39"/>
  <c r="AN39"/>
  <c r="AS39"/>
  <c r="AX39"/>
  <c r="BC39"/>
  <c r="BH39"/>
  <c r="BM39"/>
  <c r="BR39"/>
  <c r="CB39"/>
  <c r="AR66" i="5"/>
  <c r="AQ66" s="1"/>
  <c r="AD40" i="1"/>
  <c r="AI40"/>
  <c r="AN40"/>
  <c r="AS40"/>
  <c r="AX40"/>
  <c r="BC40"/>
  <c r="BH40"/>
  <c r="BM40"/>
  <c r="BR40"/>
  <c r="CB40"/>
  <c r="AR67" i="5"/>
  <c r="AQ67" s="1"/>
  <c r="AL68"/>
  <c r="AR68"/>
  <c r="AQ68" s="1"/>
  <c r="AL69"/>
  <c r="AR69"/>
  <c r="AQ69" s="1"/>
  <c r="X67" i="1"/>
  <c r="X68"/>
  <c r="X69"/>
  <c r="G1" i="5"/>
  <c r="X53" i="1"/>
  <c r="X54"/>
  <c r="X55"/>
  <c r="X56"/>
  <c r="X57"/>
  <c r="X58"/>
  <c r="X59"/>
  <c r="X60"/>
  <c r="X61"/>
  <c r="X78"/>
  <c r="AP98" i="5"/>
  <c r="AP100"/>
  <c r="AP101"/>
  <c r="X86" i="1"/>
  <c r="X87"/>
  <c r="X88"/>
  <c r="X89"/>
  <c r="X90"/>
  <c r="X91"/>
  <c r="X92"/>
  <c r="X93"/>
  <c r="DG25"/>
  <c r="AA53" i="5"/>
  <c r="DJ25" i="1"/>
  <c r="CZ25"/>
  <c r="DI25" s="1"/>
  <c r="DD25"/>
  <c r="Y52" i="5" s="1"/>
  <c r="CX25" i="1"/>
  <c r="AF51" i="5"/>
  <c r="AE51"/>
  <c r="AD51"/>
  <c r="AB51"/>
  <c r="AA51"/>
  <c r="W51"/>
  <c r="V51"/>
  <c r="U51"/>
  <c r="S51"/>
  <c r="R51"/>
  <c r="DG24" i="1"/>
  <c r="AA50" i="5" s="1"/>
  <c r="DJ24" i="1"/>
  <c r="CZ24"/>
  <c r="DI24" s="1"/>
  <c r="DD24"/>
  <c r="Y49" i="5" s="1"/>
  <c r="CX24" i="1"/>
  <c r="AF48" i="5"/>
  <c r="AE48"/>
  <c r="AD48"/>
  <c r="AB48"/>
  <c r="AA48"/>
  <c r="W48"/>
  <c r="V48"/>
  <c r="U48"/>
  <c r="S48"/>
  <c r="R48"/>
  <c r="DJ23" i="1"/>
  <c r="DG23"/>
  <c r="DK23"/>
  <c r="U47" i="5" s="1"/>
  <c r="CZ23" i="1"/>
  <c r="DI23"/>
  <c r="DD23"/>
  <c r="AH46" i="5" s="1"/>
  <c r="DB23" i="1"/>
  <c r="AD46" i="5"/>
  <c r="CX23" i="1"/>
  <c r="AF45" i="5"/>
  <c r="AE45"/>
  <c r="AD45"/>
  <c r="AB45"/>
  <c r="AA45"/>
  <c r="W45"/>
  <c r="V45"/>
  <c r="U45"/>
  <c r="S45"/>
  <c r="R45"/>
  <c r="DG22" i="1"/>
  <c r="AA44" i="5" s="1"/>
  <c r="DJ22" i="1"/>
  <c r="DK22"/>
  <c r="CZ22"/>
  <c r="DI22" s="1"/>
  <c r="CX22"/>
  <c r="DD22"/>
  <c r="AH43" i="5" s="1"/>
  <c r="DB22" i="1"/>
  <c r="AD43" i="5" s="1"/>
  <c r="AF42"/>
  <c r="AE42"/>
  <c r="AD42"/>
  <c r="AB42"/>
  <c r="AA42"/>
  <c r="W42"/>
  <c r="V42"/>
  <c r="U42"/>
  <c r="S42"/>
  <c r="R42"/>
  <c r="DG21" i="1"/>
  <c r="R41" i="5" s="1"/>
  <c r="DJ21" i="1"/>
  <c r="DK21"/>
  <c r="AD41" i="5" s="1"/>
  <c r="CZ21" i="1"/>
  <c r="DI21" s="1"/>
  <c r="DD21"/>
  <c r="DB21"/>
  <c r="U40" i="5" s="1"/>
  <c r="CX21" i="1"/>
  <c r="AF39" i="5"/>
  <c r="AE39"/>
  <c r="AD39"/>
  <c r="AB39"/>
  <c r="AA39"/>
  <c r="W39"/>
  <c r="V39"/>
  <c r="U39"/>
  <c r="S39"/>
  <c r="R39"/>
  <c r="DG20" i="1"/>
  <c r="R38" i="5" s="1"/>
  <c r="DJ20" i="1"/>
  <c r="DK20"/>
  <c r="AD38" i="5" s="1"/>
  <c r="CZ20" i="1"/>
  <c r="DI20"/>
  <c r="DD20"/>
  <c r="Y37" i="5" s="1"/>
  <c r="DB20" i="1"/>
  <c r="AD37" i="5"/>
  <c r="CX20" i="1"/>
  <c r="AF36" i="5"/>
  <c r="AE36"/>
  <c r="AD36"/>
  <c r="AB36"/>
  <c r="AA36"/>
  <c r="W36"/>
  <c r="V36"/>
  <c r="U36"/>
  <c r="S36"/>
  <c r="R36"/>
  <c r="DG19" i="1"/>
  <c r="S35" i="5" s="1"/>
  <c r="DJ19" i="1"/>
  <c r="DK19"/>
  <c r="AD35" i="5"/>
  <c r="CZ19" i="1"/>
  <c r="DI19" s="1"/>
  <c r="DD19"/>
  <c r="DB19"/>
  <c r="AD34" i="5" s="1"/>
  <c r="CX19" i="1"/>
  <c r="AF33" i="5"/>
  <c r="AE33"/>
  <c r="AD33"/>
  <c r="AB33"/>
  <c r="AA33"/>
  <c r="W33"/>
  <c r="V33"/>
  <c r="U33"/>
  <c r="S33"/>
  <c r="R33"/>
  <c r="AF69"/>
  <c r="AE69"/>
  <c r="AD69"/>
  <c r="AB69"/>
  <c r="AA69"/>
  <c r="W69"/>
  <c r="V69"/>
  <c r="U69"/>
  <c r="S69"/>
  <c r="R69"/>
  <c r="AF68"/>
  <c r="AE68"/>
  <c r="AD68"/>
  <c r="AB68"/>
  <c r="AA68"/>
  <c r="W68"/>
  <c r="V68"/>
  <c r="U68"/>
  <c r="S68"/>
  <c r="R68"/>
  <c r="AF67"/>
  <c r="AE67"/>
  <c r="AD67"/>
  <c r="AB67"/>
  <c r="AA67"/>
  <c r="W67"/>
  <c r="V67"/>
  <c r="U67"/>
  <c r="S67"/>
  <c r="R67"/>
  <c r="AF66"/>
  <c r="AE66"/>
  <c r="AD66"/>
  <c r="AB66"/>
  <c r="AA66"/>
  <c r="W66"/>
  <c r="V66"/>
  <c r="U66"/>
  <c r="S66"/>
  <c r="R66"/>
  <c r="AF65"/>
  <c r="AE65"/>
  <c r="AD65"/>
  <c r="AB65"/>
  <c r="AA65"/>
  <c r="W65"/>
  <c r="V65"/>
  <c r="U65"/>
  <c r="S65"/>
  <c r="R65"/>
  <c r="E65"/>
  <c r="AF64"/>
  <c r="AE64"/>
  <c r="AD64"/>
  <c r="AB64"/>
  <c r="AA64"/>
  <c r="W64"/>
  <c r="V64"/>
  <c r="U64"/>
  <c r="S64"/>
  <c r="R64"/>
  <c r="AF63"/>
  <c r="AE63"/>
  <c r="AD63"/>
  <c r="AB63"/>
  <c r="AA63"/>
  <c r="W63"/>
  <c r="V63"/>
  <c r="U63"/>
  <c r="S63"/>
  <c r="R63"/>
  <c r="AF62"/>
  <c r="AE62"/>
  <c r="AD62"/>
  <c r="AB62"/>
  <c r="AA62"/>
  <c r="W62"/>
  <c r="V62"/>
  <c r="U62"/>
  <c r="S62"/>
  <c r="R62"/>
  <c r="AF61"/>
  <c r="AE61"/>
  <c r="AD61"/>
  <c r="AB61"/>
  <c r="AA61"/>
  <c r="W61"/>
  <c r="V61"/>
  <c r="U61"/>
  <c r="S61"/>
  <c r="R61"/>
  <c r="AF60"/>
  <c r="AE60"/>
  <c r="AD60"/>
  <c r="AB60"/>
  <c r="AA60"/>
  <c r="W60"/>
  <c r="V60"/>
  <c r="U60"/>
  <c r="S60"/>
  <c r="R60"/>
  <c r="E60"/>
  <c r="AF59"/>
  <c r="AE59"/>
  <c r="AD59"/>
  <c r="AB59"/>
  <c r="AA59"/>
  <c r="W59"/>
  <c r="V59"/>
  <c r="U59"/>
  <c r="S59"/>
  <c r="R59"/>
  <c r="AF58"/>
  <c r="AE58"/>
  <c r="AD58"/>
  <c r="AB58"/>
  <c r="AA58"/>
  <c r="W58"/>
  <c r="V58"/>
  <c r="U58"/>
  <c r="S58"/>
  <c r="R58"/>
  <c r="AF57"/>
  <c r="AE57"/>
  <c r="AD57"/>
  <c r="AB57"/>
  <c r="AA57"/>
  <c r="W57"/>
  <c r="V57"/>
  <c r="U57"/>
  <c r="S57"/>
  <c r="AF56"/>
  <c r="AE56"/>
  <c r="AD56"/>
  <c r="AB56"/>
  <c r="AA56"/>
  <c r="W56"/>
  <c r="V56"/>
  <c r="U56"/>
  <c r="S56"/>
  <c r="R56"/>
  <c r="AP85"/>
  <c r="AD85"/>
  <c r="AB85"/>
  <c r="AA85"/>
  <c r="U85"/>
  <c r="S85"/>
  <c r="R85"/>
  <c r="AP84"/>
  <c r="AD84"/>
  <c r="AB84"/>
  <c r="AA84"/>
  <c r="U84"/>
  <c r="S84"/>
  <c r="R84"/>
  <c r="AP83"/>
  <c r="AD83"/>
  <c r="AB83"/>
  <c r="AA83"/>
  <c r="U83"/>
  <c r="S83"/>
  <c r="R83"/>
  <c r="AP82"/>
  <c r="AD82"/>
  <c r="AB82"/>
  <c r="AA82"/>
  <c r="U82"/>
  <c r="S82"/>
  <c r="R82"/>
  <c r="AP81"/>
  <c r="AD81"/>
  <c r="AB81"/>
  <c r="AA81"/>
  <c r="U81"/>
  <c r="S81"/>
  <c r="R81"/>
  <c r="AP80"/>
  <c r="AD80"/>
  <c r="AB80"/>
  <c r="AA80"/>
  <c r="U80"/>
  <c r="S80"/>
  <c r="R80"/>
  <c r="AP79"/>
  <c r="AD79"/>
  <c r="AB79"/>
  <c r="AA79"/>
  <c r="U79"/>
  <c r="S79"/>
  <c r="R79"/>
  <c r="AP78"/>
  <c r="AD78"/>
  <c r="AB78"/>
  <c r="AA78"/>
  <c r="U78"/>
  <c r="S78"/>
  <c r="R78"/>
  <c r="AP77"/>
  <c r="AD77"/>
  <c r="AB77"/>
  <c r="AA77"/>
  <c r="U77"/>
  <c r="S77"/>
  <c r="R77"/>
  <c r="AD76"/>
  <c r="AB76"/>
  <c r="AA76"/>
  <c r="U76"/>
  <c r="S76"/>
  <c r="R76"/>
  <c r="AP75"/>
  <c r="AD75"/>
  <c r="AB75"/>
  <c r="AA75"/>
  <c r="U75"/>
  <c r="S75"/>
  <c r="R75"/>
  <c r="AD74"/>
  <c r="AB74"/>
  <c r="AA74"/>
  <c r="U74"/>
  <c r="S74"/>
  <c r="AD73"/>
  <c r="AB73"/>
  <c r="AA73"/>
  <c r="U73"/>
  <c r="S73"/>
  <c r="AD72"/>
  <c r="AB72"/>
  <c r="AA72"/>
  <c r="U72"/>
  <c r="S72"/>
  <c r="R72"/>
  <c r="AL91"/>
  <c r="AF91"/>
  <c r="AD91"/>
  <c r="AC91"/>
  <c r="AB91"/>
  <c r="AA91"/>
  <c r="W91"/>
  <c r="U91"/>
  <c r="T91"/>
  <c r="S91"/>
  <c r="R91"/>
  <c r="AL90"/>
  <c r="AF90"/>
  <c r="AD90"/>
  <c r="AC90"/>
  <c r="AB90"/>
  <c r="AA90"/>
  <c r="W90"/>
  <c r="U90"/>
  <c r="T90"/>
  <c r="S90"/>
  <c r="R90"/>
  <c r="AL89"/>
  <c r="AF89"/>
  <c r="AD89"/>
  <c r="AC89"/>
  <c r="AB89"/>
  <c r="AA89"/>
  <c r="W89"/>
  <c r="U89"/>
  <c r="T89"/>
  <c r="S89"/>
  <c r="R89"/>
  <c r="AL88"/>
  <c r="AF88"/>
  <c r="AD88"/>
  <c r="AC88"/>
  <c r="AB88"/>
  <c r="AA88"/>
  <c r="W88"/>
  <c r="U88"/>
  <c r="T88"/>
  <c r="S88"/>
  <c r="R88"/>
  <c r="AA112"/>
  <c r="R112"/>
  <c r="AA111"/>
  <c r="R111"/>
  <c r="AA110"/>
  <c r="R110"/>
  <c r="AA109"/>
  <c r="R109"/>
  <c r="AA108"/>
  <c r="R108"/>
  <c r="AA107"/>
  <c r="R107"/>
  <c r="AA106"/>
  <c r="R106"/>
  <c r="AA105"/>
  <c r="R105"/>
  <c r="AA104"/>
  <c r="R104"/>
  <c r="AP102"/>
  <c r="AD102"/>
  <c r="AC102"/>
  <c r="AA102"/>
  <c r="U102"/>
  <c r="T102"/>
  <c r="S102"/>
  <c r="R102"/>
  <c r="AD101"/>
  <c r="AC101"/>
  <c r="AA101"/>
  <c r="U101"/>
  <c r="T101"/>
  <c r="S101"/>
  <c r="R101"/>
  <c r="AD100"/>
  <c r="AC100"/>
  <c r="AA100"/>
  <c r="U100"/>
  <c r="T100"/>
  <c r="S100"/>
  <c r="R100"/>
  <c r="AD99"/>
  <c r="AC99"/>
  <c r="AA99"/>
  <c r="U99"/>
  <c r="T99"/>
  <c r="S99"/>
  <c r="R99"/>
  <c r="AD98"/>
  <c r="AC98"/>
  <c r="AA98"/>
  <c r="U98"/>
  <c r="T98"/>
  <c r="S98"/>
  <c r="R98"/>
  <c r="AD97"/>
  <c r="AC97"/>
  <c r="AA97"/>
  <c r="U97"/>
  <c r="T97"/>
  <c r="S97"/>
  <c r="R97"/>
  <c r="AD96"/>
  <c r="AC96"/>
  <c r="AA96"/>
  <c r="U96"/>
  <c r="T96"/>
  <c r="S96"/>
  <c r="R96"/>
  <c r="AD95"/>
  <c r="AC95"/>
  <c r="AA95"/>
  <c r="U95"/>
  <c r="T95"/>
  <c r="S95"/>
  <c r="R95"/>
  <c r="AD94"/>
  <c r="AC94"/>
  <c r="AA94"/>
  <c r="U94"/>
  <c r="T94"/>
  <c r="S94"/>
  <c r="R94"/>
  <c r="CX18" i="1"/>
  <c r="CZ18"/>
  <c r="DI18" s="1"/>
  <c r="DB18"/>
  <c r="AD31" i="5"/>
  <c r="DD18" i="1"/>
  <c r="CX17"/>
  <c r="CZ17"/>
  <c r="DI17" s="1"/>
  <c r="DB17"/>
  <c r="AD28" i="5" s="1"/>
  <c r="DD17" i="1"/>
  <c r="AH28" i="5" s="1"/>
  <c r="CX16" i="1"/>
  <c r="CZ16"/>
  <c r="DI16" s="1"/>
  <c r="DB16"/>
  <c r="DD16"/>
  <c r="Y25" i="5" s="1"/>
  <c r="AA24"/>
  <c r="AB24"/>
  <c r="AD24"/>
  <c r="AE24"/>
  <c r="AF24"/>
  <c r="R24"/>
  <c r="S24"/>
  <c r="U24"/>
  <c r="V24"/>
  <c r="W24"/>
  <c r="AD87" i="1"/>
  <c r="Y87"/>
  <c r="U87"/>
  <c r="A87"/>
  <c r="AD86"/>
  <c r="Y86"/>
  <c r="U86"/>
  <c r="A86"/>
  <c r="AD88"/>
  <c r="Y88"/>
  <c r="U88"/>
  <c r="A88"/>
  <c r="AD85"/>
  <c r="AE85" s="1"/>
  <c r="AF85" s="1"/>
  <c r="AG85" s="1"/>
  <c r="AB85" s="1"/>
  <c r="AC85" s="1"/>
  <c r="U85"/>
  <c r="Y85"/>
  <c r="A85"/>
  <c r="AD90"/>
  <c r="Y90"/>
  <c r="U90"/>
  <c r="A90"/>
  <c r="AD89"/>
  <c r="Y89"/>
  <c r="U89"/>
  <c r="A89"/>
  <c r="AD91"/>
  <c r="AE91"/>
  <c r="AF91" s="1"/>
  <c r="AG91" s="1"/>
  <c r="AB91" s="1"/>
  <c r="AC91" s="1"/>
  <c r="Y91"/>
  <c r="U91"/>
  <c r="A91"/>
  <c r="A77"/>
  <c r="A79"/>
  <c r="A78"/>
  <c r="A75"/>
  <c r="A74"/>
  <c r="BM66"/>
  <c r="BC66"/>
  <c r="AX66"/>
  <c r="AS66"/>
  <c r="AN66"/>
  <c r="AP66" s="1"/>
  <c r="AQ66" s="1"/>
  <c r="AI66"/>
  <c r="AD66"/>
  <c r="Y66"/>
  <c r="A66"/>
  <c r="BM67"/>
  <c r="BC67"/>
  <c r="AX67"/>
  <c r="AS67"/>
  <c r="AT67" s="1"/>
  <c r="AU67" s="1"/>
  <c r="AV67" s="1"/>
  <c r="AN67"/>
  <c r="AI67"/>
  <c r="AD67"/>
  <c r="Y67"/>
  <c r="U67"/>
  <c r="A67"/>
  <c r="CB54"/>
  <c r="BR54"/>
  <c r="BC54"/>
  <c r="AX54"/>
  <c r="AS54"/>
  <c r="AN54"/>
  <c r="AI54"/>
  <c r="AD54"/>
  <c r="Y54"/>
  <c r="U54"/>
  <c r="A54"/>
  <c r="CB53"/>
  <c r="BR53"/>
  <c r="BC53"/>
  <c r="AX53"/>
  <c r="AS53"/>
  <c r="AN53"/>
  <c r="AI53"/>
  <c r="AD53"/>
  <c r="Y53"/>
  <c r="U53"/>
  <c r="A53"/>
  <c r="CB52"/>
  <c r="BR52"/>
  <c r="BC52"/>
  <c r="AX52"/>
  <c r="AS52"/>
  <c r="AN52"/>
  <c r="AI52"/>
  <c r="AD52"/>
  <c r="Y52"/>
  <c r="A52"/>
  <c r="CB51"/>
  <c r="BR51"/>
  <c r="BC51"/>
  <c r="AX51"/>
  <c r="AS51"/>
  <c r="AN51"/>
  <c r="AI51"/>
  <c r="AD51"/>
  <c r="Y51"/>
  <c r="A51"/>
  <c r="CB50"/>
  <c r="BR50"/>
  <c r="BC50"/>
  <c r="AX50"/>
  <c r="AS50"/>
  <c r="AN50"/>
  <c r="AI50"/>
  <c r="AD50"/>
  <c r="Y50"/>
  <c r="A50"/>
  <c r="Y36"/>
  <c r="A36"/>
  <c r="Y35"/>
  <c r="A35"/>
  <c r="Y34"/>
  <c r="A34"/>
  <c r="Y33"/>
  <c r="A33"/>
  <c r="Y32"/>
  <c r="A32"/>
  <c r="Y19"/>
  <c r="A19"/>
  <c r="Y20"/>
  <c r="A20"/>
  <c r="Y21"/>
  <c r="A21"/>
  <c r="Y22"/>
  <c r="A22"/>
  <c r="CQ23"/>
  <c r="CL23"/>
  <c r="CB23"/>
  <c r="BR23"/>
  <c r="BM23"/>
  <c r="BH23"/>
  <c r="BC23"/>
  <c r="AX23"/>
  <c r="AS23"/>
  <c r="AN23"/>
  <c r="AI23"/>
  <c r="AD23"/>
  <c r="Y23"/>
  <c r="U23"/>
  <c r="A23"/>
  <c r="DC11"/>
  <c r="AG10" i="5" s="1"/>
  <c r="DC12" i="1"/>
  <c r="AG13" i="5" s="1"/>
  <c r="DC13" i="1"/>
  <c r="X16" i="5" s="1"/>
  <c r="DC14" i="1"/>
  <c r="DC15"/>
  <c r="X22" i="5"/>
  <c r="DD11" i="1"/>
  <c r="Y10" i="5" s="1"/>
  <c r="CW11" i="1"/>
  <c r="DA11"/>
  <c r="DJ11"/>
  <c r="DA13"/>
  <c r="DG13"/>
  <c r="DJ13"/>
  <c r="CW14"/>
  <c r="DA14"/>
  <c r="DJ14"/>
  <c r="CV15"/>
  <c r="CW15"/>
  <c r="DA15"/>
  <c r="DG15"/>
  <c r="DJ15"/>
  <c r="DG16"/>
  <c r="S26" i="5" s="1"/>
  <c r="DJ16" i="1"/>
  <c r="DG17"/>
  <c r="AA29" i="5" s="1"/>
  <c r="DJ17" i="1"/>
  <c r="AD25"/>
  <c r="AI25"/>
  <c r="AN25"/>
  <c r="AS25"/>
  <c r="AX25"/>
  <c r="BC25"/>
  <c r="BH25"/>
  <c r="BM25"/>
  <c r="BR25"/>
  <c r="CB25"/>
  <c r="CL25"/>
  <c r="CQ25"/>
  <c r="AD11"/>
  <c r="AI11"/>
  <c r="AN11"/>
  <c r="AS11"/>
  <c r="AX11"/>
  <c r="BC11"/>
  <c r="BH11"/>
  <c r="BM11"/>
  <c r="BR11"/>
  <c r="CB11"/>
  <c r="CL11"/>
  <c r="CQ11"/>
  <c r="AD24"/>
  <c r="AI24"/>
  <c r="AN24"/>
  <c r="AS24"/>
  <c r="AX24"/>
  <c r="BC24"/>
  <c r="BH24"/>
  <c r="BM24"/>
  <c r="BR24"/>
  <c r="CB24"/>
  <c r="CL24"/>
  <c r="CQ24"/>
  <c r="AD29"/>
  <c r="AI29"/>
  <c r="AN29"/>
  <c r="AS29"/>
  <c r="AX29"/>
  <c r="BC29"/>
  <c r="BH29"/>
  <c r="BM29"/>
  <c r="BR29"/>
  <c r="CB29"/>
  <c r="AD30"/>
  <c r="AI30"/>
  <c r="AN30"/>
  <c r="AS30"/>
  <c r="AX30"/>
  <c r="BC30"/>
  <c r="BH30"/>
  <c r="BM30"/>
  <c r="BR30"/>
  <c r="CB30"/>
  <c r="AD31"/>
  <c r="AI31"/>
  <c r="AN31"/>
  <c r="AS31"/>
  <c r="AX31"/>
  <c r="BC31"/>
  <c r="BH31"/>
  <c r="BM31"/>
  <c r="BR31"/>
  <c r="CB31"/>
  <c r="AD41"/>
  <c r="AI41"/>
  <c r="AN41"/>
  <c r="AS41"/>
  <c r="AX41"/>
  <c r="BC41"/>
  <c r="BH41"/>
  <c r="BM41"/>
  <c r="BR41"/>
  <c r="CB41"/>
  <c r="AD42"/>
  <c r="AI42"/>
  <c r="AN42"/>
  <c r="AS42"/>
  <c r="AX42"/>
  <c r="BC42"/>
  <c r="BH42"/>
  <c r="BM42"/>
  <c r="BR42"/>
  <c r="CB42"/>
  <c r="AD43"/>
  <c r="AI43"/>
  <c r="AN43"/>
  <c r="AS43"/>
  <c r="AX43"/>
  <c r="BC43"/>
  <c r="BH43"/>
  <c r="BM43"/>
  <c r="BR43"/>
  <c r="CB43"/>
  <c r="AD47"/>
  <c r="AI47"/>
  <c r="AN47"/>
  <c r="AS47"/>
  <c r="AX47"/>
  <c r="BC47"/>
  <c r="BR47"/>
  <c r="CB47"/>
  <c r="AD48"/>
  <c r="AI48"/>
  <c r="AN48"/>
  <c r="AS48"/>
  <c r="AX48"/>
  <c r="BC48"/>
  <c r="BR48"/>
  <c r="CB48"/>
  <c r="AD49"/>
  <c r="AI49"/>
  <c r="AN49"/>
  <c r="AS49"/>
  <c r="AX49"/>
  <c r="BC49"/>
  <c r="BR49"/>
  <c r="CB49"/>
  <c r="AD55"/>
  <c r="AI55"/>
  <c r="AN55"/>
  <c r="AS55"/>
  <c r="AX55"/>
  <c r="BC55"/>
  <c r="BR55"/>
  <c r="CB55"/>
  <c r="AD56"/>
  <c r="AI56"/>
  <c r="AN56"/>
  <c r="AS56"/>
  <c r="AX56"/>
  <c r="BC56"/>
  <c r="BR56"/>
  <c r="CB56"/>
  <c r="AD57"/>
  <c r="AI57"/>
  <c r="AN57"/>
  <c r="AS57"/>
  <c r="AX57"/>
  <c r="BC57"/>
  <c r="BR57"/>
  <c r="CB57"/>
  <c r="AD58"/>
  <c r="AI58"/>
  <c r="AN58"/>
  <c r="AS58"/>
  <c r="AX58"/>
  <c r="BC58"/>
  <c r="BR58"/>
  <c r="CB58"/>
  <c r="AD59"/>
  <c r="AI59"/>
  <c r="AN59"/>
  <c r="AS59"/>
  <c r="AX59"/>
  <c r="BC59"/>
  <c r="BR59"/>
  <c r="CB59"/>
  <c r="AD60"/>
  <c r="AI60"/>
  <c r="AN60"/>
  <c r="AS60"/>
  <c r="AX60"/>
  <c r="BC60"/>
  <c r="BR60"/>
  <c r="CB60"/>
  <c r="AD61"/>
  <c r="AI61"/>
  <c r="AN61"/>
  <c r="AS61"/>
  <c r="AX61"/>
  <c r="BC61"/>
  <c r="BR61"/>
  <c r="CB61"/>
  <c r="AD65"/>
  <c r="AI65"/>
  <c r="AX65"/>
  <c r="BC65"/>
  <c r="BM65"/>
  <c r="AN65"/>
  <c r="AS65"/>
  <c r="AD68"/>
  <c r="AI68"/>
  <c r="AX68"/>
  <c r="BC68"/>
  <c r="BM68"/>
  <c r="AN68"/>
  <c r="AO68" s="1"/>
  <c r="AP68" s="1"/>
  <c r="AQ68" s="1"/>
  <c r="AS68"/>
  <c r="AD69"/>
  <c r="AI69"/>
  <c r="AX69"/>
  <c r="BC69"/>
  <c r="BM69"/>
  <c r="AN69"/>
  <c r="AO69" s="1"/>
  <c r="AP69" s="1"/>
  <c r="AQ69" s="1"/>
  <c r="AS69"/>
  <c r="AN73"/>
  <c r="AS73"/>
  <c r="AX73"/>
  <c r="BC73"/>
  <c r="AD84"/>
  <c r="AE84" s="1"/>
  <c r="AF84" s="1"/>
  <c r="AG84" s="1"/>
  <c r="AB84" s="1"/>
  <c r="AC84" s="1"/>
  <c r="AD92"/>
  <c r="AD93"/>
  <c r="DG18"/>
  <c r="S32" i="5" s="1"/>
  <c r="DJ18" i="1"/>
  <c r="DK25"/>
  <c r="U53" i="5" s="1"/>
  <c r="DB25" i="1"/>
  <c r="U52" i="5" s="1"/>
  <c r="DK24" i="1"/>
  <c r="DB24"/>
  <c r="DK18"/>
  <c r="U32" i="5" s="1"/>
  <c r="AF30"/>
  <c r="AE30"/>
  <c r="AD30"/>
  <c r="AB30"/>
  <c r="AA30"/>
  <c r="DK17" i="1"/>
  <c r="U29" i="5"/>
  <c r="AF27"/>
  <c r="AE27"/>
  <c r="AD27"/>
  <c r="AB27"/>
  <c r="AA27"/>
  <c r="DK16" i="1"/>
  <c r="U26" i="5" s="1"/>
  <c r="DK15" i="1"/>
  <c r="AD23" i="5" s="1"/>
  <c r="CZ15" i="1"/>
  <c r="DI15" s="1"/>
  <c r="DD15"/>
  <c r="Y22" i="5" s="1"/>
  <c r="DB15" i="1"/>
  <c r="AD22" i="5" s="1"/>
  <c r="CX15" i="1"/>
  <c r="AF21" i="5"/>
  <c r="AE21"/>
  <c r="AD21"/>
  <c r="AB21"/>
  <c r="AA21"/>
  <c r="DK14" i="1"/>
  <c r="AD20" i="5" s="1"/>
  <c r="CZ14" i="1"/>
  <c r="DI14" s="1"/>
  <c r="DD14"/>
  <c r="Y19" i="5" s="1"/>
  <c r="DB14" i="1"/>
  <c r="U19" i="5" s="1"/>
  <c r="CX14" i="1"/>
  <c r="AF18" i="5"/>
  <c r="AE18"/>
  <c r="AD18"/>
  <c r="AB18"/>
  <c r="AA18"/>
  <c r="DK13" i="1"/>
  <c r="DD13"/>
  <c r="AH16" i="5" s="1"/>
  <c r="DB13" i="1"/>
  <c r="AD16" i="5" s="1"/>
  <c r="AF15"/>
  <c r="AE15"/>
  <c r="AD15"/>
  <c r="AB15"/>
  <c r="AA15"/>
  <c r="DK12" i="1"/>
  <c r="AD14" i="5" s="1"/>
  <c r="CZ12" i="1"/>
  <c r="DI12" s="1"/>
  <c r="DD12"/>
  <c r="Y13" i="5" s="1"/>
  <c r="DB12" i="1"/>
  <c r="AD13" i="5"/>
  <c r="CX12" i="1"/>
  <c r="AF12" i="5"/>
  <c r="AE12"/>
  <c r="AD12"/>
  <c r="AB12"/>
  <c r="AA12"/>
  <c r="DK11" i="1"/>
  <c r="AD11" i="5" s="1"/>
  <c r="CZ11" i="1"/>
  <c r="DI11" s="1"/>
  <c r="AC11" i="5" s="1"/>
  <c r="DB11" i="1"/>
  <c r="U10" i="5" s="1"/>
  <c r="CX11" i="1"/>
  <c r="AF9" i="5"/>
  <c r="AE9"/>
  <c r="AD9"/>
  <c r="AB9"/>
  <c r="AA9"/>
  <c r="W30"/>
  <c r="V30"/>
  <c r="U30"/>
  <c r="S30"/>
  <c r="R30"/>
  <c r="E30"/>
  <c r="W27"/>
  <c r="V27"/>
  <c r="U27"/>
  <c r="S27"/>
  <c r="R27"/>
  <c r="W21"/>
  <c r="V21"/>
  <c r="U21"/>
  <c r="S21"/>
  <c r="R21"/>
  <c r="W18"/>
  <c r="V18"/>
  <c r="U18"/>
  <c r="S18"/>
  <c r="W15"/>
  <c r="V15"/>
  <c r="U15"/>
  <c r="S15"/>
  <c r="W12"/>
  <c r="V12"/>
  <c r="U12"/>
  <c r="S12"/>
  <c r="W9"/>
  <c r="V9"/>
  <c r="U9"/>
  <c r="S9"/>
  <c r="R9"/>
  <c r="CQ10" i="1"/>
  <c r="CL10"/>
  <c r="CG10"/>
  <c r="Y18"/>
  <c r="Y11"/>
  <c r="B8" i="5"/>
  <c r="Y25" i="1"/>
  <c r="U25"/>
  <c r="A25"/>
  <c r="Y24"/>
  <c r="U24"/>
  <c r="A24"/>
  <c r="A18"/>
  <c r="Y17"/>
  <c r="A17"/>
  <c r="Y16"/>
  <c r="A16"/>
  <c r="Y15"/>
  <c r="A15"/>
  <c r="Y14"/>
  <c r="A14"/>
  <c r="Y13"/>
  <c r="A13"/>
  <c r="Y12"/>
  <c r="A12"/>
  <c r="A11"/>
  <c r="CB10"/>
  <c r="BW10"/>
  <c r="BR10"/>
  <c r="BM10"/>
  <c r="BH10"/>
  <c r="BC10"/>
  <c r="AX10"/>
  <c r="AS10"/>
  <c r="AN10"/>
  <c r="AI10"/>
  <c r="AD10"/>
  <c r="AD9"/>
  <c r="AB9" s="1"/>
  <c r="AL87" i="5"/>
  <c r="G3"/>
  <c r="G2"/>
  <c r="AA103"/>
  <c r="AA71"/>
  <c r="AB71"/>
  <c r="AD71"/>
  <c r="AA55"/>
  <c r="AB55"/>
  <c r="AD55"/>
  <c r="AE55"/>
  <c r="AF55"/>
  <c r="R103"/>
  <c r="R71"/>
  <c r="S71"/>
  <c r="U71"/>
  <c r="R55"/>
  <c r="S55"/>
  <c r="U55"/>
  <c r="V55"/>
  <c r="W55"/>
  <c r="R87"/>
  <c r="S87"/>
  <c r="U87"/>
  <c r="W87"/>
  <c r="T87"/>
  <c r="R93"/>
  <c r="T93"/>
  <c r="S93"/>
  <c r="U93"/>
  <c r="AA93"/>
  <c r="AC93"/>
  <c r="AD93"/>
  <c r="AA87"/>
  <c r="AB87"/>
  <c r="AD87"/>
  <c r="AF87"/>
  <c r="AC87"/>
  <c r="B86"/>
  <c r="U93" i="1"/>
  <c r="U92"/>
  <c r="AD83"/>
  <c r="Y93"/>
  <c r="Y92"/>
  <c r="Y84"/>
  <c r="BC72"/>
  <c r="AX72"/>
  <c r="AS72"/>
  <c r="AN72"/>
  <c r="AI72"/>
  <c r="U82"/>
  <c r="U81"/>
  <c r="A93"/>
  <c r="A92"/>
  <c r="A84"/>
  <c r="A82"/>
  <c r="A81"/>
  <c r="A80"/>
  <c r="A76"/>
  <c r="A73"/>
  <c r="A65"/>
  <c r="A69"/>
  <c r="A68"/>
  <c r="U69"/>
  <c r="U68"/>
  <c r="U65"/>
  <c r="U61"/>
  <c r="U60"/>
  <c r="U59"/>
  <c r="U58"/>
  <c r="U57"/>
  <c r="U56"/>
  <c r="U55"/>
  <c r="U43"/>
  <c r="U42"/>
  <c r="BM64"/>
  <c r="BC64"/>
  <c r="AX64"/>
  <c r="AS64"/>
  <c r="AN64"/>
  <c r="AI64"/>
  <c r="AD64"/>
  <c r="Y69"/>
  <c r="Y68"/>
  <c r="Y65"/>
  <c r="CB46"/>
  <c r="BR46"/>
  <c r="BC46"/>
  <c r="AX46"/>
  <c r="AS46"/>
  <c r="AN46"/>
  <c r="AI46"/>
  <c r="AD46"/>
  <c r="Y61"/>
  <c r="Y60"/>
  <c r="Y59"/>
  <c r="Y58"/>
  <c r="Y57"/>
  <c r="Y56"/>
  <c r="Y55"/>
  <c r="Y49"/>
  <c r="Y48"/>
  <c r="Y47"/>
  <c r="AD27"/>
  <c r="AB27"/>
  <c r="CB28"/>
  <c r="BW28"/>
  <c r="BR28"/>
  <c r="BM28"/>
  <c r="BH28"/>
  <c r="BC28"/>
  <c r="AX28"/>
  <c r="AS28"/>
  <c r="AN28"/>
  <c r="AI28"/>
  <c r="AD28"/>
  <c r="Y43"/>
  <c r="Y42"/>
  <c r="Y41"/>
  <c r="Y40"/>
  <c r="Y39"/>
  <c r="Y38"/>
  <c r="Y37"/>
  <c r="Y31"/>
  <c r="Y30"/>
  <c r="Y29"/>
  <c r="A57"/>
  <c r="A58"/>
  <c r="A59"/>
  <c r="A60"/>
  <c r="A61"/>
  <c r="A56"/>
  <c r="A55"/>
  <c r="A49"/>
  <c r="A48"/>
  <c r="A47"/>
  <c r="A29"/>
  <c r="B92" i="5"/>
  <c r="B70"/>
  <c r="B54"/>
  <c r="G5"/>
  <c r="A43" i="1"/>
  <c r="A42"/>
  <c r="A41"/>
  <c r="A40"/>
  <c r="A39"/>
  <c r="A38"/>
  <c r="A37"/>
  <c r="A31"/>
  <c r="A30"/>
  <c r="AE89"/>
  <c r="AF89" s="1"/>
  <c r="AG89" s="1"/>
  <c r="AB89" s="1"/>
  <c r="AC89" s="1"/>
  <c r="AD53" i="5"/>
  <c r="AE92" i="1"/>
  <c r="AF92" s="1"/>
  <c r="AG92" s="1"/>
  <c r="AB92" s="1"/>
  <c r="AC92" s="1"/>
  <c r="AD29" i="5"/>
  <c r="AR21"/>
  <c r="AQ21" s="1"/>
  <c r="AR18"/>
  <c r="AQ18" s="1"/>
  <c r="AR55"/>
  <c r="AQ55" s="1"/>
  <c r="U28"/>
  <c r="U31"/>
  <c r="U16"/>
  <c r="X80" i="1"/>
  <c r="U80"/>
  <c r="U78"/>
  <c r="U79"/>
  <c r="AP99" i="5"/>
  <c r="X79" i="1"/>
  <c r="BX41"/>
  <c r="BY41" s="1"/>
  <c r="BZ41" s="1"/>
  <c r="BX23"/>
  <c r="BY23" s="1"/>
  <c r="BZ23" s="1"/>
  <c r="AR12" i="5"/>
  <c r="AQ12" s="1"/>
  <c r="U23"/>
  <c r="AT69" i="1"/>
  <c r="AU69" s="1"/>
  <c r="AV69" s="1"/>
  <c r="AD17" i="5"/>
  <c r="U17"/>
  <c r="AD19"/>
  <c r="U50"/>
  <c r="AD50"/>
  <c r="U44"/>
  <c r="AD44"/>
  <c r="AR15"/>
  <c r="AQ15" s="1"/>
  <c r="AE90" i="1"/>
  <c r="AF90" s="1"/>
  <c r="AG90" s="1"/>
  <c r="AB90" s="1"/>
  <c r="AC90" s="1"/>
  <c r="W90" s="1"/>
  <c r="T90" s="1"/>
  <c r="AE87"/>
  <c r="AF87" s="1"/>
  <c r="AG87" s="1"/>
  <c r="AB87" s="1"/>
  <c r="AC87" s="1"/>
  <c r="U37" i="5"/>
  <c r="AO67" i="1"/>
  <c r="AP67" s="1"/>
  <c r="AQ67" s="1"/>
  <c r="AE86"/>
  <c r="AF86" s="1"/>
  <c r="AG86" s="1"/>
  <c r="AB86" s="1"/>
  <c r="AC86" s="1"/>
  <c r="AE93"/>
  <c r="AF93" s="1"/>
  <c r="AG93" s="1"/>
  <c r="AB93" s="1"/>
  <c r="AC93" s="1"/>
  <c r="U20" i="5"/>
  <c r="AT68" i="1"/>
  <c r="AU68" s="1"/>
  <c r="AV68" s="1"/>
  <c r="E98" i="5"/>
  <c r="G74"/>
  <c r="AO66" i="1"/>
  <c r="AD49" i="5"/>
  <c r="U49"/>
  <c r="AD25"/>
  <c r="U25"/>
  <c r="U43"/>
  <c r="E104"/>
  <c r="X43" i="1"/>
  <c r="L90" i="5"/>
  <c r="C90" s="1"/>
  <c r="X66" i="1"/>
  <c r="X65"/>
  <c r="AO68" i="5"/>
  <c r="AN85"/>
  <c r="AN83"/>
  <c r="AN81"/>
  <c r="AN79"/>
  <c r="AN77"/>
  <c r="AN68"/>
  <c r="AN66"/>
  <c r="AK64"/>
  <c r="AK63"/>
  <c r="AK62"/>
  <c r="AK51"/>
  <c r="AO48"/>
  <c r="AO65"/>
  <c r="AO69"/>
  <c r="AN69"/>
  <c r="AK67"/>
  <c r="AN48"/>
  <c r="AO45"/>
  <c r="AN84"/>
  <c r="AN82"/>
  <c r="AN80"/>
  <c r="AN78"/>
  <c r="AN75"/>
  <c r="AK68"/>
  <c r="AK66"/>
  <c r="AK65"/>
  <c r="AN64"/>
  <c r="AN62"/>
  <c r="AO51"/>
  <c r="AK48"/>
  <c r="AN45"/>
  <c r="AK69"/>
  <c r="AN51"/>
  <c r="AK45"/>
  <c r="L46"/>
  <c r="C46" s="1"/>
  <c r="N46"/>
  <c r="F46" s="1"/>
  <c r="O46" s="1"/>
  <c r="H46" s="1"/>
  <c r="AA31"/>
  <c r="U66" i="1"/>
  <c r="U13" i="5"/>
  <c r="BD37" i="1"/>
  <c r="BE37"/>
  <c r="BF37" s="1"/>
  <c r="BD11"/>
  <c r="BE11" s="1"/>
  <c r="BF11" s="1"/>
  <c r="X42"/>
  <c r="G107" i="5"/>
  <c r="M107" s="1"/>
  <c r="D107" s="1"/>
  <c r="AH52"/>
  <c r="M93"/>
  <c r="D93" s="1"/>
  <c r="E46"/>
  <c r="M46"/>
  <c r="D46"/>
  <c r="G63"/>
  <c r="L63"/>
  <c r="C63" s="1"/>
  <c r="E96"/>
  <c r="DR514" i="4"/>
  <c r="DT514" s="1"/>
  <c r="E108" i="5"/>
  <c r="E78"/>
  <c r="G82"/>
  <c r="L82" s="1"/>
  <c r="C82" s="1"/>
  <c r="G112"/>
  <c r="N112"/>
  <c r="F112"/>
  <c r="O112" s="1"/>
  <c r="H112" s="1"/>
  <c r="E72"/>
  <c r="E56"/>
  <c r="G87"/>
  <c r="N87"/>
  <c r="F87" s="1"/>
  <c r="O87" s="1"/>
  <c r="H87" s="1"/>
  <c r="E67"/>
  <c r="E100"/>
  <c r="AD32"/>
  <c r="DX24" i="4"/>
  <c r="DZ24"/>
  <c r="DR444"/>
  <c r="DT444" s="1"/>
  <c r="DX23"/>
  <c r="DZ23"/>
  <c r="DR436"/>
  <c r="DT436"/>
  <c r="DR440"/>
  <c r="DT440" s="1"/>
  <c r="DX981"/>
  <c r="DZ981"/>
  <c r="DX989"/>
  <c r="DZ989" s="1"/>
  <c r="DX990"/>
  <c r="DZ990"/>
  <c r="DX991"/>
  <c r="DZ991" s="1"/>
  <c r="DX992"/>
  <c r="DZ992"/>
  <c r="DX988"/>
  <c r="DZ988" s="1"/>
  <c r="DX968"/>
  <c r="DZ968"/>
  <c r="DX977"/>
  <c r="DZ977" s="1"/>
  <c r="DX956"/>
  <c r="DZ956"/>
  <c r="DX964"/>
  <c r="DZ964" s="1"/>
  <c r="DX944"/>
  <c r="DZ944"/>
  <c r="DX952"/>
  <c r="DZ952" s="1"/>
  <c r="DX929"/>
  <c r="DZ929"/>
  <c r="DX940"/>
  <c r="DZ940" s="1"/>
  <c r="DX910"/>
  <c r="DZ910"/>
  <c r="DX925"/>
  <c r="DZ925" s="1"/>
  <c r="DX892"/>
  <c r="DZ892"/>
  <c r="DX904"/>
  <c r="DZ904" s="1"/>
  <c r="DX905"/>
  <c r="DZ905"/>
  <c r="DX874"/>
  <c r="DZ874" s="1"/>
  <c r="DX886"/>
  <c r="DZ886"/>
  <c r="DX887"/>
  <c r="DZ887" s="1"/>
  <c r="DX868"/>
  <c r="DZ868"/>
  <c r="DX869"/>
  <c r="DZ869" s="1"/>
  <c r="DX845"/>
  <c r="DZ845"/>
  <c r="DX846"/>
  <c r="DZ846" s="1"/>
  <c r="DX842"/>
  <c r="DZ842"/>
  <c r="DX847"/>
  <c r="DZ847" s="1"/>
  <c r="DX843"/>
  <c r="DZ843"/>
  <c r="DX848"/>
  <c r="DZ848" s="1"/>
  <c r="DX844"/>
  <c r="DZ844"/>
  <c r="DX836"/>
  <c r="DZ836" s="1"/>
  <c r="DX837"/>
  <c r="DZ837"/>
  <c r="DX813"/>
  <c r="DZ813" s="1"/>
  <c r="DX814"/>
  <c r="DZ814"/>
  <c r="DX810"/>
  <c r="DZ810" s="1"/>
  <c r="DX815"/>
  <c r="DZ815"/>
  <c r="DX811"/>
  <c r="DZ811" s="1"/>
  <c r="DX816"/>
  <c r="DZ816"/>
  <c r="DX812"/>
  <c r="DZ812" s="1"/>
  <c r="DX804"/>
  <c r="DZ804"/>
  <c r="DX805"/>
  <c r="DZ805" s="1"/>
  <c r="DX781"/>
  <c r="DZ781"/>
  <c r="DX782"/>
  <c r="DZ782" s="1"/>
  <c r="DX778"/>
  <c r="DZ778"/>
  <c r="DX783"/>
  <c r="DZ783" s="1"/>
  <c r="DX779"/>
  <c r="DZ779"/>
  <c r="DX784"/>
  <c r="DZ784" s="1"/>
  <c r="DX780"/>
  <c r="DZ780"/>
  <c r="DX772"/>
  <c r="DZ772" s="1"/>
  <c r="DX773"/>
  <c r="DZ773"/>
  <c r="DX749"/>
  <c r="DZ749" s="1"/>
  <c r="DX750"/>
  <c r="DZ750"/>
  <c r="DX746"/>
  <c r="DZ746" s="1"/>
  <c r="DX751"/>
  <c r="DZ751"/>
  <c r="DX747"/>
  <c r="DZ747" s="1"/>
  <c r="DX752"/>
  <c r="DZ752"/>
  <c r="DX748"/>
  <c r="DZ748" s="1"/>
  <c r="DX740"/>
  <c r="DZ740"/>
  <c r="DX741"/>
  <c r="DZ741" s="1"/>
  <c r="DX717"/>
  <c r="DZ717"/>
  <c r="DX718"/>
  <c r="DZ718" s="1"/>
  <c r="DX714"/>
  <c r="DZ714"/>
  <c r="DX719"/>
  <c r="DZ719" s="1"/>
  <c r="DX715"/>
  <c r="DZ715"/>
  <c r="DX720"/>
  <c r="DZ720" s="1"/>
  <c r="DX716"/>
  <c r="DZ716"/>
  <c r="DX708"/>
  <c r="DZ708" s="1"/>
  <c r="DX709"/>
  <c r="DZ709"/>
  <c r="DX685"/>
  <c r="DZ685" s="1"/>
  <c r="DX686"/>
  <c r="DZ686"/>
  <c r="DX682"/>
  <c r="DZ682" s="1"/>
  <c r="DX687"/>
  <c r="DZ687"/>
  <c r="DX683"/>
  <c r="DZ683" s="1"/>
  <c r="DX688"/>
  <c r="DZ688"/>
  <c r="DX684"/>
  <c r="DZ684" s="1"/>
  <c r="DX676"/>
  <c r="DZ676"/>
  <c r="DX677"/>
  <c r="DZ677" s="1"/>
  <c r="DX654"/>
  <c r="DZ654"/>
  <c r="DX655"/>
  <c r="DZ655" s="1"/>
  <c r="DX652"/>
  <c r="DZ652"/>
  <c r="DX653"/>
  <c r="DZ653" s="1"/>
  <c r="DX650"/>
  <c r="DZ650"/>
  <c r="DX656"/>
  <c r="DZ656" s="1"/>
  <c r="DX651"/>
  <c r="DZ651"/>
  <c r="DX644"/>
  <c r="DZ644" s="1"/>
  <c r="DX645"/>
  <c r="DZ645"/>
  <c r="DX622"/>
  <c r="DZ622" s="1"/>
  <c r="DX623"/>
  <c r="DZ623"/>
  <c r="DX620"/>
  <c r="DZ620" s="1"/>
  <c r="DX621"/>
  <c r="DZ621"/>
  <c r="DX618"/>
  <c r="DZ618" s="1"/>
  <c r="DX624"/>
  <c r="DZ624"/>
  <c r="DX619"/>
  <c r="DZ619" s="1"/>
  <c r="DX608"/>
  <c r="DZ608"/>
  <c r="DX609"/>
  <c r="DZ609" s="1"/>
  <c r="DX610"/>
  <c r="DZ610"/>
  <c r="DX611"/>
  <c r="DZ611" s="1"/>
  <c r="DX612"/>
  <c r="DZ612"/>
  <c r="DX613"/>
  <c r="DZ613" s="1"/>
  <c r="DX585"/>
  <c r="DZ585"/>
  <c r="DX588"/>
  <c r="DZ588" s="1"/>
  <c r="DX586"/>
  <c r="DZ586"/>
  <c r="DX582"/>
  <c r="DZ582" s="1"/>
  <c r="DX584"/>
  <c r="DZ584"/>
  <c r="DX587"/>
  <c r="DZ587" s="1"/>
  <c r="DX583"/>
  <c r="DZ583"/>
  <c r="DX576"/>
  <c r="DZ576" s="1"/>
  <c r="DX577"/>
  <c r="DZ577"/>
  <c r="DX550"/>
  <c r="DZ550" s="1"/>
  <c r="DX554"/>
  <c r="DZ554"/>
  <c r="DX553"/>
  <c r="DZ553" s="1"/>
  <c r="DX555"/>
  <c r="DZ555"/>
  <c r="DX556"/>
  <c r="DZ556" s="1"/>
  <c r="DX552"/>
  <c r="DZ552"/>
  <c r="DX557"/>
  <c r="DZ557" s="1"/>
  <c r="DX544"/>
  <c r="DZ544"/>
  <c r="DX545"/>
  <c r="DZ545" s="1"/>
  <c r="DX518"/>
  <c r="DZ518" s="1"/>
  <c r="DX522"/>
  <c r="DZ522"/>
  <c r="DX523"/>
  <c r="DZ523" s="1"/>
  <c r="DX525"/>
  <c r="DZ525"/>
  <c r="DX524"/>
  <c r="DZ524" s="1"/>
  <c r="DX520"/>
  <c r="DZ520"/>
  <c r="DX521"/>
  <c r="DZ521" s="1"/>
  <c r="E59" i="5"/>
  <c r="DX512" i="4"/>
  <c r="DZ512" s="1"/>
  <c r="DX513"/>
  <c r="DZ513" s="1"/>
  <c r="DX489"/>
  <c r="DZ489" s="1"/>
  <c r="DX490"/>
  <c r="DZ490"/>
  <c r="DX486"/>
  <c r="DZ486" s="1"/>
  <c r="DX491"/>
  <c r="DZ491"/>
  <c r="DX487"/>
  <c r="DZ487" s="1"/>
  <c r="DX492"/>
  <c r="DZ492" s="1"/>
  <c r="DX488"/>
  <c r="DZ488" s="1"/>
  <c r="DX480"/>
  <c r="DZ480" s="1"/>
  <c r="DX481"/>
  <c r="DZ481" s="1"/>
  <c r="DX457"/>
  <c r="DZ457"/>
  <c r="DX458"/>
  <c r="DZ458" s="1"/>
  <c r="DX454"/>
  <c r="DZ454"/>
  <c r="DX459"/>
  <c r="DZ459" s="1"/>
  <c r="DX455"/>
  <c r="DZ455" s="1"/>
  <c r="DX460"/>
  <c r="DZ460" s="1"/>
  <c r="DX456"/>
  <c r="DZ456" s="1"/>
  <c r="DX448"/>
  <c r="DZ448" s="1"/>
  <c r="DX449"/>
  <c r="DZ449"/>
  <c r="DX422"/>
  <c r="DZ422" s="1"/>
  <c r="DX426"/>
  <c r="DZ426"/>
  <c r="DX427"/>
  <c r="DZ427" s="1"/>
  <c r="DX428"/>
  <c r="DZ428" s="1"/>
  <c r="DX424"/>
  <c r="DZ424" s="1"/>
  <c r="DX429"/>
  <c r="DZ429" s="1"/>
  <c r="DX425"/>
  <c r="DZ425" s="1"/>
  <c r="DX416"/>
  <c r="DZ416"/>
  <c r="DX417"/>
  <c r="DZ417" s="1"/>
  <c r="DX390"/>
  <c r="DZ390"/>
  <c r="DX393"/>
  <c r="DZ393" s="1"/>
  <c r="DX396"/>
  <c r="DZ396" s="1"/>
  <c r="DX397"/>
  <c r="DZ397" s="1"/>
  <c r="DX394"/>
  <c r="DZ394" s="1"/>
  <c r="DX395"/>
  <c r="DZ395" s="1"/>
  <c r="DX392"/>
  <c r="DZ392"/>
  <c r="DX384"/>
  <c r="DZ384" s="1"/>
  <c r="DX385"/>
  <c r="DZ385"/>
  <c r="DX362"/>
  <c r="DZ362" s="1"/>
  <c r="DX363"/>
  <c r="DZ363" s="1"/>
  <c r="DX360"/>
  <c r="DZ360" s="1"/>
  <c r="DX361"/>
  <c r="DZ361" s="1"/>
  <c r="DX358"/>
  <c r="DZ358" s="1"/>
  <c r="DX364"/>
  <c r="DZ364"/>
  <c r="DX359"/>
  <c r="DZ359" s="1"/>
  <c r="DX352"/>
  <c r="DZ352"/>
  <c r="DX353"/>
  <c r="DZ353" s="1"/>
  <c r="DX330"/>
  <c r="DZ330" s="1"/>
  <c r="DX331"/>
  <c r="DZ331" s="1"/>
  <c r="DX332"/>
  <c r="DZ332" s="1"/>
  <c r="DX328"/>
  <c r="DZ328" s="1"/>
  <c r="DX333"/>
  <c r="DZ333"/>
  <c r="DX329"/>
  <c r="DZ329" s="1"/>
  <c r="DX322"/>
  <c r="DZ322"/>
  <c r="DX326"/>
  <c r="DZ326" s="1"/>
  <c r="DX316"/>
  <c r="DZ316" s="1"/>
  <c r="DX317"/>
  <c r="DZ317" s="1"/>
  <c r="DX304"/>
  <c r="DZ304" s="1"/>
  <c r="DX305"/>
  <c r="DZ305" s="1"/>
  <c r="DX282"/>
  <c r="DZ282"/>
  <c r="DX283"/>
  <c r="DZ283" s="1"/>
  <c r="DX284"/>
  <c r="DZ284"/>
  <c r="DX280"/>
  <c r="DZ280" s="1"/>
  <c r="DX285"/>
  <c r="DZ285" s="1"/>
  <c r="DX281"/>
  <c r="DZ281" s="1"/>
  <c r="DX274"/>
  <c r="DZ274" s="1"/>
  <c r="DX278"/>
  <c r="DZ278" s="1"/>
  <c r="DX268"/>
  <c r="DZ268"/>
  <c r="DX269"/>
  <c r="DZ269" s="1"/>
  <c r="DX256"/>
  <c r="DZ256"/>
  <c r="DX257"/>
  <c r="DZ257" s="1"/>
  <c r="DX204"/>
  <c r="DZ204" s="1"/>
  <c r="DX207"/>
  <c r="DZ207" s="1"/>
  <c r="DX205"/>
  <c r="DZ205" s="1"/>
  <c r="DX206"/>
  <c r="DZ206" s="1"/>
  <c r="DX202"/>
  <c r="DZ202"/>
  <c r="DX203"/>
  <c r="DZ203" s="1"/>
  <c r="DX196"/>
  <c r="DZ196"/>
  <c r="DX200"/>
  <c r="DZ200" s="1"/>
  <c r="DX190"/>
  <c r="DZ190" s="1"/>
  <c r="DX191"/>
  <c r="DZ191" s="1"/>
  <c r="DX179"/>
  <c r="DZ179" s="1"/>
  <c r="DX178"/>
  <c r="DZ178" s="1"/>
  <c r="DX96"/>
  <c r="DZ96"/>
  <c r="DX97"/>
  <c r="DZ97" s="1"/>
  <c r="DX98"/>
  <c r="DZ98"/>
  <c r="DX94"/>
  <c r="DZ94" s="1"/>
  <c r="DX99"/>
  <c r="DZ99" s="1"/>
  <c r="DX95"/>
  <c r="DZ95" s="1"/>
  <c r="DX88"/>
  <c r="DZ88" s="1"/>
  <c r="DX92"/>
  <c r="DZ92" s="1"/>
  <c r="DX82"/>
  <c r="DZ82"/>
  <c r="DX83"/>
  <c r="DZ83" s="1"/>
  <c r="DX70"/>
  <c r="DZ70"/>
  <c r="DX71"/>
  <c r="DZ71" s="1"/>
  <c r="DX50"/>
  <c r="DZ50" s="1"/>
  <c r="DX51"/>
  <c r="DZ51" s="1"/>
  <c r="DX49"/>
  <c r="DZ49" s="1"/>
  <c r="DX52"/>
  <c r="DZ52" s="1"/>
  <c r="DX45"/>
  <c r="DZ45"/>
  <c r="DX46"/>
  <c r="DZ46" s="1"/>
  <c r="DX39"/>
  <c r="DZ39"/>
  <c r="DX43"/>
  <c r="DZ43" s="1"/>
  <c r="DX33"/>
  <c r="DZ33" s="1"/>
  <c r="DX34"/>
  <c r="DZ34" s="1"/>
  <c r="DX21"/>
  <c r="DZ21" s="1"/>
  <c r="DX22"/>
  <c r="DZ22" s="1"/>
  <c r="AB43" i="5"/>
  <c r="CR20" i="1"/>
  <c r="CS20" s="1"/>
  <c r="CT20" s="1"/>
  <c r="E39" i="5"/>
  <c r="BD68" i="1"/>
  <c r="BE68"/>
  <c r="BF68" s="1"/>
  <c r="AY75"/>
  <c r="AZ75" s="1"/>
  <c r="BA75" s="1"/>
  <c r="BX37"/>
  <c r="BY37" s="1"/>
  <c r="BZ37" s="1"/>
  <c r="AJ20"/>
  <c r="AK20" s="1"/>
  <c r="AL20" s="1"/>
  <c r="BD32"/>
  <c r="BE32" s="1"/>
  <c r="BF32" s="1"/>
  <c r="AJ11"/>
  <c r="AK11"/>
  <c r="AL11"/>
  <c r="E33" i="5"/>
  <c r="E36"/>
  <c r="AA37"/>
  <c r="U38"/>
  <c r="AB31"/>
  <c r="E27"/>
  <c r="R28"/>
  <c r="E28"/>
  <c r="AD26"/>
  <c r="CC56" i="1"/>
  <c r="CD56" s="1"/>
  <c r="CE56" s="1"/>
  <c r="BS12"/>
  <c r="BT12" s="1"/>
  <c r="BU12" s="1"/>
  <c r="R22" i="5"/>
  <c r="L56"/>
  <c r="C56" s="1"/>
  <c r="AO19" i="1"/>
  <c r="AP19"/>
  <c r="AQ19" s="1"/>
  <c r="DX996" i="4"/>
  <c r="DZ996" s="1"/>
  <c r="DX997"/>
  <c r="DZ997"/>
  <c r="AJ110" i="5"/>
  <c r="AS110" s="1"/>
  <c r="CM11" i="1"/>
  <c r="CN11"/>
  <c r="CO11"/>
  <c r="AJ48" i="5"/>
  <c r="AS48" s="1"/>
  <c r="AJ45"/>
  <c r="AS45" s="1"/>
  <c r="CR11" i="1"/>
  <c r="CS11" s="1"/>
  <c r="CT11" s="1"/>
  <c r="DR375" i="4"/>
  <c r="DT375" s="1"/>
  <c r="S25" i="5"/>
  <c r="DR367" i="4"/>
  <c r="DT367"/>
  <c r="DR371"/>
  <c r="DT371"/>
  <c r="DR359"/>
  <c r="DT359"/>
  <c r="DR363"/>
  <c r="DT363"/>
  <c r="DR351"/>
  <c r="DT351"/>
  <c r="DR355"/>
  <c r="DT355"/>
  <c r="DR343"/>
  <c r="DT343"/>
  <c r="DR347"/>
  <c r="DT347"/>
  <c r="DR335"/>
  <c r="DT335"/>
  <c r="DR339"/>
  <c r="DT339"/>
  <c r="DR380"/>
  <c r="DT380"/>
  <c r="DR331"/>
  <c r="DT331"/>
  <c r="DR411"/>
  <c r="DT411"/>
  <c r="DR418"/>
  <c r="DT418"/>
  <c r="DR497"/>
  <c r="DT497"/>
  <c r="DR404"/>
  <c r="DT404"/>
  <c r="DR489"/>
  <c r="DT489"/>
  <c r="DR493"/>
  <c r="DT493"/>
  <c r="DR481"/>
  <c r="DT481"/>
  <c r="DR485"/>
  <c r="DT485"/>
  <c r="DR473"/>
  <c r="DT473"/>
  <c r="DR477"/>
  <c r="DT477"/>
  <c r="DR465"/>
  <c r="DT465"/>
  <c r="DR469"/>
  <c r="DT469"/>
  <c r="DR834"/>
  <c r="DT834"/>
  <c r="DR839"/>
  <c r="DT839"/>
  <c r="DR824"/>
  <c r="DT824"/>
  <c r="DR829"/>
  <c r="DT829"/>
  <c r="DR815"/>
  <c r="DT815"/>
  <c r="DR820"/>
  <c r="DT820"/>
  <c r="DR559"/>
  <c r="DT559"/>
  <c r="DR588"/>
  <c r="DT588"/>
  <c r="DR518"/>
  <c r="DT518"/>
  <c r="DR525"/>
  <c r="DT525"/>
  <c r="DR319"/>
  <c r="DT319"/>
  <c r="DR510"/>
  <c r="DT510"/>
  <c r="DR233"/>
  <c r="DT233"/>
  <c r="DR241"/>
  <c r="DT241"/>
  <c r="BS20" i="1"/>
  <c r="BT20" s="1"/>
  <c r="BU20" s="1"/>
  <c r="BN43"/>
  <c r="BO43" s="1"/>
  <c r="BP43" s="1"/>
  <c r="AO36"/>
  <c r="AP36" s="1"/>
  <c r="AQ36" s="1"/>
  <c r="CC43"/>
  <c r="CD43" s="1"/>
  <c r="CE43" s="1"/>
  <c r="CR22"/>
  <c r="CS22" s="1"/>
  <c r="CT22" s="1"/>
  <c r="BD41"/>
  <c r="BE41"/>
  <c r="BF41" s="1"/>
  <c r="AE11"/>
  <c r="AF11"/>
  <c r="AG11" s="1"/>
  <c r="AJ14"/>
  <c r="AK14" s="1"/>
  <c r="AL14" s="1"/>
  <c r="AT43"/>
  <c r="AU43" s="1"/>
  <c r="AV43" s="1"/>
  <c r="AY67"/>
  <c r="AZ67" s="1"/>
  <c r="BA67" s="1"/>
  <c r="BI35"/>
  <c r="BJ35" s="1"/>
  <c r="BK35" s="1"/>
  <c r="BN24"/>
  <c r="BO24" s="1"/>
  <c r="BP24" s="1"/>
  <c r="CC34"/>
  <c r="CD34" s="1"/>
  <c r="CE34" s="1"/>
  <c r="BI16"/>
  <c r="BJ16" s="1"/>
  <c r="BK16" s="1"/>
  <c r="BD22"/>
  <c r="BE22"/>
  <c r="BF22" s="1"/>
  <c r="AT56"/>
  <c r="AU56" s="1"/>
  <c r="AV56" s="1"/>
  <c r="BN31"/>
  <c r="BO31" s="1"/>
  <c r="BP31" s="1"/>
  <c r="AE39"/>
  <c r="AF39" s="1"/>
  <c r="AG39" s="1"/>
  <c r="AJ69"/>
  <c r="AK69" s="1"/>
  <c r="AL69" s="1"/>
  <c r="AO53"/>
  <c r="AP53" s="1"/>
  <c r="AQ53" s="1"/>
  <c r="BS60"/>
  <c r="BT60" s="1"/>
  <c r="BU60" s="1"/>
  <c r="BD42"/>
  <c r="BE42"/>
  <c r="BF42" s="1"/>
  <c r="AJ32"/>
  <c r="AK32"/>
  <c r="AL32" s="1"/>
  <c r="AO60"/>
  <c r="AP60" s="1"/>
  <c r="AQ60" s="1"/>
  <c r="BI20"/>
  <c r="BJ20" s="1"/>
  <c r="BK20" s="1"/>
  <c r="CC59"/>
  <c r="CD59" s="1"/>
  <c r="CE59" s="1"/>
  <c r="BI31"/>
  <c r="BJ31" s="1"/>
  <c r="BK31" s="1"/>
  <c r="BI13"/>
  <c r="BJ13" s="1"/>
  <c r="BK13" s="1"/>
  <c r="BD54"/>
  <c r="BE54" s="1"/>
  <c r="BF54" s="1"/>
  <c r="CC39"/>
  <c r="CD39"/>
  <c r="CE39" s="1"/>
  <c r="BD82"/>
  <c r="BE82"/>
  <c r="BF82" s="1"/>
  <c r="BD23"/>
  <c r="BE23" s="1"/>
  <c r="BF23" s="1"/>
  <c r="AT25"/>
  <c r="AU25" s="1"/>
  <c r="AV25" s="1"/>
  <c r="AB22" i="5"/>
  <c r="CR23" i="1"/>
  <c r="CS23" s="1"/>
  <c r="CT23" s="1"/>
  <c r="BS51"/>
  <c r="BT51" s="1"/>
  <c r="BU51" s="1"/>
  <c r="BN14"/>
  <c r="BO14" s="1"/>
  <c r="BP14" s="1"/>
  <c r="AE68"/>
  <c r="AF68" s="1"/>
  <c r="AG68" s="1"/>
  <c r="CC16"/>
  <c r="CD16" s="1"/>
  <c r="CE16" s="1"/>
  <c r="AO82"/>
  <c r="AP82"/>
  <c r="AQ82" s="1"/>
  <c r="BD33"/>
  <c r="BE33"/>
  <c r="BF33" s="1"/>
  <c r="AE35"/>
  <c r="AF35" s="1"/>
  <c r="AG35" s="1"/>
  <c r="AJ61"/>
  <c r="AK61" s="1"/>
  <c r="AL61" s="1"/>
  <c r="AT60"/>
  <c r="AU60" s="1"/>
  <c r="AV60" s="1"/>
  <c r="AY51"/>
  <c r="AZ51" s="1"/>
  <c r="BA51" s="1"/>
  <c r="BI39"/>
  <c r="BJ39" s="1"/>
  <c r="BK39" s="1"/>
  <c r="BN67"/>
  <c r="BO67" s="1"/>
  <c r="BP67" s="1"/>
  <c r="BS54"/>
  <c r="BT54"/>
  <c r="BU54" s="1"/>
  <c r="BX39"/>
  <c r="BY39"/>
  <c r="BZ39" s="1"/>
  <c r="CH18"/>
  <c r="CI18" s="1"/>
  <c r="CJ18" s="1"/>
  <c r="BX38"/>
  <c r="BY38" s="1"/>
  <c r="BZ38" s="1"/>
  <c r="AY41"/>
  <c r="AZ41" s="1"/>
  <c r="BA41" s="1"/>
  <c r="BS17"/>
  <c r="BT17" s="1"/>
  <c r="BU17" s="1"/>
  <c r="BX11"/>
  <c r="BY11" s="1"/>
  <c r="BZ11" s="1"/>
  <c r="BD57"/>
  <c r="BE57" s="1"/>
  <c r="BF57" s="1"/>
  <c r="AE38"/>
  <c r="AF38"/>
  <c r="AG38" s="1"/>
  <c r="AE55"/>
  <c r="AF55"/>
  <c r="AG55" s="1"/>
  <c r="AE58"/>
  <c r="AF58" s="1"/>
  <c r="AG58" s="1"/>
  <c r="AJ82"/>
  <c r="AK82" s="1"/>
  <c r="AL82" s="1"/>
  <c r="AJ13"/>
  <c r="AK13" s="1"/>
  <c r="AL13" s="1"/>
  <c r="AT22"/>
  <c r="AU22" s="1"/>
  <c r="AV22" s="1"/>
  <c r="AT50"/>
  <c r="AU50" s="1"/>
  <c r="AV50" s="1"/>
  <c r="AO17"/>
  <c r="AP17" s="1"/>
  <c r="AQ17" s="1"/>
  <c r="AO78"/>
  <c r="AP78"/>
  <c r="AQ78" s="1"/>
  <c r="AT23"/>
  <c r="AU23"/>
  <c r="AV23" s="1"/>
  <c r="AY50"/>
  <c r="AZ50" s="1"/>
  <c r="BA50" s="1"/>
  <c r="AY14"/>
  <c r="AZ14" s="1"/>
  <c r="BA14" s="1"/>
  <c r="BD30"/>
  <c r="BE30" s="1"/>
  <c r="BF30" s="1"/>
  <c r="BI43"/>
  <c r="BJ43" s="1"/>
  <c r="BK43" s="1"/>
  <c r="AT61"/>
  <c r="AU61" s="1"/>
  <c r="AV61" s="1"/>
  <c r="CH16"/>
  <c r="CI16" s="1"/>
  <c r="CJ16" s="1"/>
  <c r="BN15"/>
  <c r="BO15"/>
  <c r="BP15" s="1"/>
  <c r="BS59"/>
  <c r="BT59"/>
  <c r="BU59" s="1"/>
  <c r="BS19"/>
  <c r="BT19" s="1"/>
  <c r="BU19" s="1"/>
  <c r="CH12"/>
  <c r="CI12" s="1"/>
  <c r="CJ12" s="1"/>
  <c r="AE14"/>
  <c r="AF14" s="1"/>
  <c r="AG14" s="1"/>
  <c r="AE30"/>
  <c r="AF30" s="1"/>
  <c r="AG30" s="1"/>
  <c r="BD35"/>
  <c r="BE35" s="1"/>
  <c r="BF35" s="1"/>
  <c r="AJ75"/>
  <c r="AK75" s="1"/>
  <c r="AL75" s="1"/>
  <c r="AJ42"/>
  <c r="AK42"/>
  <c r="AL42" s="1"/>
  <c r="AJ35"/>
  <c r="AK35"/>
  <c r="AL35" s="1"/>
  <c r="AT82"/>
  <c r="AU82" s="1"/>
  <c r="AV82" s="1"/>
  <c r="AO54"/>
  <c r="AP54" s="1"/>
  <c r="AQ54" s="1"/>
  <c r="AO74"/>
  <c r="AP74" s="1"/>
  <c r="AQ74" s="1"/>
  <c r="AT52"/>
  <c r="AU52" s="1"/>
  <c r="AV52" s="1"/>
  <c r="AY18"/>
  <c r="AZ18" s="1"/>
  <c r="BA18" s="1"/>
  <c r="AY69"/>
  <c r="AZ69" s="1"/>
  <c r="BA69" s="1"/>
  <c r="AY12"/>
  <c r="AZ12"/>
  <c r="BA12" s="1"/>
  <c r="BI19"/>
  <c r="BJ19"/>
  <c r="BK19" s="1"/>
  <c r="BX24"/>
  <c r="BY24" s="1"/>
  <c r="BZ24" s="1"/>
  <c r="BX34"/>
  <c r="BY34" s="1"/>
  <c r="BZ34" s="1"/>
  <c r="BD40"/>
  <c r="BE40" s="1"/>
  <c r="BF40" s="1"/>
  <c r="BX20"/>
  <c r="BY20" s="1"/>
  <c r="BZ20" s="1"/>
  <c r="BX17"/>
  <c r="BY17" s="1"/>
  <c r="BZ17" s="1"/>
  <c r="BS56"/>
  <c r="BT56" s="1"/>
  <c r="BU56" s="1"/>
  <c r="AO11"/>
  <c r="AP11" s="1"/>
  <c r="AQ11" s="1"/>
  <c r="CH11"/>
  <c r="CI11"/>
  <c r="CJ11" s="1"/>
  <c r="AY33"/>
  <c r="AZ33" s="1"/>
  <c r="BA33" s="1"/>
  <c r="AJ73"/>
  <c r="AK73" s="1"/>
  <c r="AL73" s="1"/>
  <c r="AJ37"/>
  <c r="AK37" s="1"/>
  <c r="AL37" s="1"/>
  <c r="AT74"/>
  <c r="AU74" s="1"/>
  <c r="AV74" s="1"/>
  <c r="AO81"/>
  <c r="AP81" s="1"/>
  <c r="AQ81" s="1"/>
  <c r="AO73"/>
  <c r="AP73" s="1"/>
  <c r="AQ73" s="1"/>
  <c r="AY22"/>
  <c r="AZ22"/>
  <c r="BA22" s="1"/>
  <c r="AY58"/>
  <c r="AZ58" s="1"/>
  <c r="BA58" s="1"/>
  <c r="AE65"/>
  <c r="AF65" s="1"/>
  <c r="AG65" s="1"/>
  <c r="AY49"/>
  <c r="AZ49" s="1"/>
  <c r="BA49" s="1"/>
  <c r="AE49"/>
  <c r="AF49" s="1"/>
  <c r="AG49" s="1"/>
  <c r="AY48"/>
  <c r="AZ48" s="1"/>
  <c r="BA48" s="1"/>
  <c r="AE48"/>
  <c r="AF48" s="1"/>
  <c r="AG48" s="1"/>
  <c r="AY47"/>
  <c r="AZ47" s="1"/>
  <c r="BA47" s="1"/>
  <c r="BS31"/>
  <c r="BT31" s="1"/>
  <c r="BU31" s="1"/>
  <c r="AE31"/>
  <c r="AF31"/>
  <c r="AG31" s="1"/>
  <c r="BI30"/>
  <c r="BJ30" s="1"/>
  <c r="BK30" s="1"/>
  <c r="AO30"/>
  <c r="AP30" s="1"/>
  <c r="AQ30" s="1"/>
  <c r="BS29"/>
  <c r="BT29" s="1"/>
  <c r="BU29" s="1"/>
  <c r="AY29"/>
  <c r="AZ29" s="1"/>
  <c r="BA29" s="1"/>
  <c r="BS11"/>
  <c r="BT11" s="1"/>
  <c r="BU11" s="1"/>
  <c r="AE50"/>
  <c r="AF50" s="1"/>
  <c r="AG50" s="1"/>
  <c r="AE52"/>
  <c r="AF52"/>
  <c r="AG52" s="1"/>
  <c r="AY52"/>
  <c r="AZ52" s="1"/>
  <c r="BA52" s="1"/>
  <c r="AO33"/>
  <c r="AP33" s="1"/>
  <c r="AQ33" s="1"/>
  <c r="AJ102" i="5"/>
  <c r="AS102" s="1"/>
  <c r="DR222" i="4"/>
  <c r="DT222" s="1"/>
  <c r="CR12" i="1"/>
  <c r="CS12" s="1"/>
  <c r="CT12" s="1"/>
  <c r="CM16"/>
  <c r="CN16" s="1"/>
  <c r="CO16" s="1"/>
  <c r="CC40"/>
  <c r="CD40"/>
  <c r="CE40" s="1"/>
  <c r="AO37"/>
  <c r="AP37" s="1"/>
  <c r="AQ37" s="1"/>
  <c r="BD21"/>
  <c r="BE21" s="1"/>
  <c r="BF21" s="1"/>
  <c r="AE60"/>
  <c r="AF60" s="1"/>
  <c r="AG60" s="1"/>
  <c r="AJ34"/>
  <c r="AK34" s="1"/>
  <c r="AL34" s="1"/>
  <c r="AT55"/>
  <c r="AU55" s="1"/>
  <c r="AV55" s="1"/>
  <c r="BI32"/>
  <c r="BJ32" s="1"/>
  <c r="BK32" s="1"/>
  <c r="BN22"/>
  <c r="BO22"/>
  <c r="BP22" s="1"/>
  <c r="BS43"/>
  <c r="BT43" s="1"/>
  <c r="BU43" s="1"/>
  <c r="CH17"/>
  <c r="CI17" s="1"/>
  <c r="CJ17" s="1"/>
  <c r="BX40"/>
  <c r="BY40" s="1"/>
  <c r="BZ40" s="1"/>
  <c r="AY25"/>
  <c r="AZ25" s="1"/>
  <c r="BA25" s="1"/>
  <c r="CC58"/>
  <c r="CD58" s="1"/>
  <c r="CE58" s="1"/>
  <c r="CC38"/>
  <c r="CD38" s="1"/>
  <c r="CE38" s="1"/>
  <c r="CC37"/>
  <c r="CD37" s="1"/>
  <c r="CE37" s="1"/>
  <c r="CC23"/>
  <c r="CD23" s="1"/>
  <c r="CE23" s="1"/>
  <c r="CC18"/>
  <c r="CD18"/>
  <c r="CE18" s="1"/>
  <c r="BD55"/>
  <c r="BE55" s="1"/>
  <c r="BF55" s="1"/>
  <c r="CM14"/>
  <c r="CN14" s="1"/>
  <c r="CO14" s="1"/>
  <c r="BD19"/>
  <c r="BE19" s="1"/>
  <c r="BF19" s="1"/>
  <c r="BD79"/>
  <c r="BE79" s="1"/>
  <c r="BF79" s="1"/>
  <c r="BI34"/>
  <c r="BJ34" s="1"/>
  <c r="BK34" s="1"/>
  <c r="AY56"/>
  <c r="AZ56" s="1"/>
  <c r="BA56" s="1"/>
  <c r="CH13"/>
  <c r="CI13"/>
  <c r="CJ13" s="1"/>
  <c r="AT16"/>
  <c r="AU16" s="1"/>
  <c r="AV16" s="1"/>
  <c r="AE37"/>
  <c r="AF37" s="1"/>
  <c r="AG37" s="1"/>
  <c r="AE69"/>
  <c r="AF69" s="1"/>
  <c r="AG69" s="1"/>
  <c r="AE61"/>
  <c r="AF61" s="1"/>
  <c r="AG61" s="1"/>
  <c r="AE40"/>
  <c r="AF40" s="1"/>
  <c r="AG40" s="1"/>
  <c r="AE18"/>
  <c r="AF18" s="1"/>
  <c r="AG18" s="1"/>
  <c r="AE29"/>
  <c r="AF29" s="1"/>
  <c r="AG29" s="1"/>
  <c r="AE43"/>
  <c r="AF43" s="1"/>
  <c r="AG43" s="1"/>
  <c r="AE20"/>
  <c r="AF20" s="1"/>
  <c r="AG20" s="1"/>
  <c r="BN33"/>
  <c r="BO33" s="1"/>
  <c r="BP33" s="1"/>
  <c r="AE22"/>
  <c r="AF22" s="1"/>
  <c r="AG22" s="1"/>
  <c r="AE56"/>
  <c r="AF56"/>
  <c r="AG56" s="1"/>
  <c r="AJ19"/>
  <c r="AK19" s="1"/>
  <c r="AL19" s="1"/>
  <c r="AJ21"/>
  <c r="AK21" s="1"/>
  <c r="AL21" s="1"/>
  <c r="AJ57"/>
  <c r="AK57" s="1"/>
  <c r="AL57" s="1"/>
  <c r="AJ59"/>
  <c r="AK59" s="1"/>
  <c r="AL59" s="1"/>
  <c r="AJ17"/>
  <c r="AK17" s="1"/>
  <c r="AL17" s="1"/>
  <c r="AJ22"/>
  <c r="AK22" s="1"/>
  <c r="AL22" s="1"/>
  <c r="AJ81"/>
  <c r="AK81" s="1"/>
  <c r="AL81" s="1"/>
  <c r="AJ23"/>
  <c r="AK23"/>
  <c r="AL23" s="1"/>
  <c r="AJ67"/>
  <c r="AK67" s="1"/>
  <c r="AL67" s="1"/>
  <c r="AJ56"/>
  <c r="AK56" s="1"/>
  <c r="AL56" s="1"/>
  <c r="AT36"/>
  <c r="AU36" s="1"/>
  <c r="AV36" s="1"/>
  <c r="AT20"/>
  <c r="AU20" s="1"/>
  <c r="AV20" s="1"/>
  <c r="AT53"/>
  <c r="AU53" s="1"/>
  <c r="AV53" s="1"/>
  <c r="AT17"/>
  <c r="AU17" s="1"/>
  <c r="AV17" s="1"/>
  <c r="AT39"/>
  <c r="AU39" s="1"/>
  <c r="AV39" s="1"/>
  <c r="AO75"/>
  <c r="AP75"/>
  <c r="AQ75" s="1"/>
  <c r="AO35"/>
  <c r="AP35" s="1"/>
  <c r="AQ35" s="1"/>
  <c r="AO56"/>
  <c r="AP56" s="1"/>
  <c r="AQ56" s="1"/>
  <c r="AO21"/>
  <c r="AP21" s="1"/>
  <c r="AQ21" s="1"/>
  <c r="AO77"/>
  <c r="AP77" s="1"/>
  <c r="AQ77" s="1"/>
  <c r="AO51"/>
  <c r="AP51" s="1"/>
  <c r="AQ51" s="1"/>
  <c r="AO42"/>
  <c r="AP42" s="1"/>
  <c r="AQ42" s="1"/>
  <c r="AO16"/>
  <c r="AP16" s="1"/>
  <c r="AQ16" s="1"/>
  <c r="AO41"/>
  <c r="AP41"/>
  <c r="AQ41" s="1"/>
  <c r="AT79"/>
  <c r="AU79" s="1"/>
  <c r="AV79" s="1"/>
  <c r="AT51"/>
  <c r="AU51" s="1"/>
  <c r="AV51" s="1"/>
  <c r="AT59"/>
  <c r="AU59" s="1"/>
  <c r="AV59" s="1"/>
  <c r="AT37"/>
  <c r="AU37" s="1"/>
  <c r="AV37" s="1"/>
  <c r="AY61"/>
  <c r="AZ61" s="1"/>
  <c r="BA61" s="1"/>
  <c r="AY23"/>
  <c r="AZ23" s="1"/>
  <c r="BA23" s="1"/>
  <c r="AY36"/>
  <c r="AZ36" s="1"/>
  <c r="BA36" s="1"/>
  <c r="AY20"/>
  <c r="AZ20"/>
  <c r="BA20" s="1"/>
  <c r="AY57"/>
  <c r="AZ57" s="1"/>
  <c r="BA57" s="1"/>
  <c r="AY19"/>
  <c r="AZ19" s="1"/>
  <c r="BA19" s="1"/>
  <c r="AY76"/>
  <c r="AZ76" s="1"/>
  <c r="BA76" s="1"/>
  <c r="AY53"/>
  <c r="AZ53" s="1"/>
  <c r="BA53" s="1"/>
  <c r="AY82"/>
  <c r="AZ82" s="1"/>
  <c r="BA82" s="1"/>
  <c r="AY59"/>
  <c r="AZ59" s="1"/>
  <c r="BA59" s="1"/>
  <c r="BI33"/>
  <c r="BJ33" s="1"/>
  <c r="BK33" s="1"/>
  <c r="BS57"/>
  <c r="BT57"/>
  <c r="BU57" s="1"/>
  <c r="CC41"/>
  <c r="CD41" s="1"/>
  <c r="CE41" s="1"/>
  <c r="BI14"/>
  <c r="BJ14" s="1"/>
  <c r="BK14" s="1"/>
  <c r="CR15"/>
  <c r="CS15" s="1"/>
  <c r="CT15" s="1"/>
  <c r="CR14"/>
  <c r="CS14" s="1"/>
  <c r="CT14" s="1"/>
  <c r="AO58"/>
  <c r="AP58" s="1"/>
  <c r="AQ58" s="1"/>
  <c r="BN12"/>
  <c r="BO12" s="1"/>
  <c r="BP12" s="1"/>
  <c r="BS34"/>
  <c r="BT34" s="1"/>
  <c r="BU34" s="1"/>
  <c r="BI23"/>
  <c r="BJ23"/>
  <c r="BK23" s="1"/>
  <c r="BX42"/>
  <c r="BY42" s="1"/>
  <c r="BZ42" s="1"/>
  <c r="BD73"/>
  <c r="BE73" s="1"/>
  <c r="BF73" s="1"/>
  <c r="BD48"/>
  <c r="BE48" s="1"/>
  <c r="BF48" s="1"/>
  <c r="CH20"/>
  <c r="CI20" s="1"/>
  <c r="CJ20" s="1"/>
  <c r="BX13"/>
  <c r="BY13" s="1"/>
  <c r="BZ13" s="1"/>
  <c r="BI38"/>
  <c r="BJ38" s="1"/>
  <c r="BK38" s="1"/>
  <c r="BD31"/>
  <c r="BE31" s="1"/>
  <c r="BF31" s="1"/>
  <c r="BD36"/>
  <c r="BE36"/>
  <c r="BF36" s="1"/>
  <c r="BD75"/>
  <c r="BE75" s="1"/>
  <c r="BF75" s="1"/>
  <c r="CM18"/>
  <c r="CN18" s="1"/>
  <c r="CO18" s="1"/>
  <c r="BX19"/>
  <c r="BY19" s="1"/>
  <c r="BZ19" s="1"/>
  <c r="AO20"/>
  <c r="AP20" s="1"/>
  <c r="AQ20" s="1"/>
  <c r="AY34"/>
  <c r="AZ34" s="1"/>
  <c r="BA34" s="1"/>
  <c r="BD39"/>
  <c r="BE39" s="1"/>
  <c r="BF39" s="1"/>
  <c r="BI18"/>
  <c r="BJ18" s="1"/>
  <c r="BK18" s="1"/>
  <c r="BX22"/>
  <c r="BY22"/>
  <c r="BZ22" s="1"/>
  <c r="BX36"/>
  <c r="BY36" s="1"/>
  <c r="BZ36" s="1"/>
  <c r="CH15"/>
  <c r="CI15" s="1"/>
  <c r="CJ15" s="1"/>
  <c r="CR16"/>
  <c r="CS16" s="1"/>
  <c r="CT16" s="1"/>
  <c r="BD51"/>
  <c r="BE51" s="1"/>
  <c r="BF51" s="1"/>
  <c r="AY73"/>
  <c r="AZ73" s="1"/>
  <c r="BA73" s="1"/>
  <c r="BD59"/>
  <c r="BE59" s="1"/>
  <c r="BF59" s="1"/>
  <c r="BD49"/>
  <c r="BE49" s="1"/>
  <c r="BF49"/>
  <c r="AJ49"/>
  <c r="AK49" s="1"/>
  <c r="AL49" s="1"/>
  <c r="AJ48"/>
  <c r="AK48" s="1"/>
  <c r="AL48" s="1"/>
  <c r="BD47"/>
  <c r="BE47" s="1"/>
  <c r="BF47" s="1"/>
  <c r="AJ47"/>
  <c r="AK47" s="1"/>
  <c r="AL47" s="1"/>
  <c r="AJ31"/>
  <c r="AK31" s="1"/>
  <c r="AL31" s="1"/>
  <c r="BN30"/>
  <c r="BO30" s="1"/>
  <c r="BP30" s="1"/>
  <c r="AT30"/>
  <c r="AU30"/>
  <c r="AV30" s="1"/>
  <c r="BD29"/>
  <c r="BE29" s="1"/>
  <c r="BF29" s="1"/>
  <c r="AJ29"/>
  <c r="AK29"/>
  <c r="AL29" s="1"/>
  <c r="AJ51"/>
  <c r="AK51" s="1"/>
  <c r="AL51" s="1"/>
  <c r="AJ66"/>
  <c r="AK66" s="1"/>
  <c r="AL66" s="1"/>
  <c r="AJ39"/>
  <c r="AK39" s="1"/>
  <c r="AL39" s="1"/>
  <c r="BN37"/>
  <c r="BO37" s="1"/>
  <c r="BP37" s="1"/>
  <c r="AT33"/>
  <c r="AU33" s="1"/>
  <c r="AV33" s="1"/>
  <c r="BI37"/>
  <c r="BJ37"/>
  <c r="BK37" s="1"/>
  <c r="BI40"/>
  <c r="BJ40" s="1"/>
  <c r="BK40" s="1"/>
  <c r="BD18"/>
  <c r="BE18" s="1"/>
  <c r="BF18" s="1"/>
  <c r="BD56"/>
  <c r="BE56" s="1"/>
  <c r="BF56" s="1"/>
  <c r="CM17"/>
  <c r="CN17"/>
  <c r="CO17" s="1"/>
  <c r="BD69"/>
  <c r="BE69" s="1"/>
  <c r="BF69" s="1"/>
  <c r="BD24"/>
  <c r="BE24" s="1"/>
  <c r="BF24" s="1"/>
  <c r="BI25"/>
  <c r="BJ25" s="1"/>
  <c r="BK25" s="1"/>
  <c r="BN20"/>
  <c r="BO20" s="1"/>
  <c r="BP20" s="1"/>
  <c r="BN69"/>
  <c r="BO69" s="1"/>
  <c r="BP69" s="1"/>
  <c r="BD34"/>
  <c r="BE34" s="1"/>
  <c r="BF34" s="1"/>
  <c r="CM24"/>
  <c r="CN24" s="1"/>
  <c r="CO24" s="1"/>
  <c r="AY32"/>
  <c r="AZ32"/>
  <c r="BA32" s="1"/>
  <c r="BN19"/>
  <c r="BO19" s="1"/>
  <c r="BP19" s="1"/>
  <c r="BN13"/>
  <c r="BO13"/>
  <c r="BP13" s="1"/>
  <c r="BS25"/>
  <c r="BT25" s="1"/>
  <c r="BU25" s="1"/>
  <c r="BS61"/>
  <c r="BT61" s="1"/>
  <c r="BU61" s="1"/>
  <c r="AT11"/>
  <c r="AU11" s="1"/>
  <c r="AV11" s="1"/>
  <c r="BI41"/>
  <c r="BJ41" s="1"/>
  <c r="BK41" s="1"/>
  <c r="BD66"/>
  <c r="BE66" s="1"/>
  <c r="BF66" s="1"/>
  <c r="BS47"/>
  <c r="BT47" s="1"/>
  <c r="BU47" s="1"/>
  <c r="BS36"/>
  <c r="BT36" s="1"/>
  <c r="BU36" s="1"/>
  <c r="BS41"/>
  <c r="BT41" s="1"/>
  <c r="BU41" s="1"/>
  <c r="BS39"/>
  <c r="BT39" s="1"/>
  <c r="BU39" s="1"/>
  <c r="BS22"/>
  <c r="BT22"/>
  <c r="BU22" s="1"/>
  <c r="CC30"/>
  <c r="CD30" s="1"/>
  <c r="CE30" s="1"/>
  <c r="CC14"/>
  <c r="CD14"/>
  <c r="CE14" s="1"/>
  <c r="CC51"/>
  <c r="CD51" s="1"/>
  <c r="CE51" s="1"/>
  <c r="BI21"/>
  <c r="BJ21" s="1"/>
  <c r="BK21" s="1"/>
  <c r="BI36"/>
  <c r="BJ36" s="1"/>
  <c r="BK36" s="1"/>
  <c r="AO57"/>
  <c r="AP57" s="1"/>
  <c r="AQ57" s="1"/>
  <c r="BD38"/>
  <c r="BE38" s="1"/>
  <c r="BF38" s="1"/>
  <c r="BD65"/>
  <c r="BE65" s="1"/>
  <c r="BF65" s="1"/>
  <c r="CM19"/>
  <c r="CN19" s="1"/>
  <c r="CO19"/>
  <c r="BD58"/>
  <c r="BE58" s="1"/>
  <c r="BF58" s="1"/>
  <c r="BD60"/>
  <c r="BE60" s="1"/>
  <c r="BF60" s="1"/>
  <c r="CM23"/>
  <c r="CN23" s="1"/>
  <c r="CO23" s="1"/>
  <c r="BN21"/>
  <c r="BO21" s="1"/>
  <c r="BP21" s="1"/>
  <c r="BN18"/>
  <c r="BO18"/>
  <c r="BP18" s="1"/>
  <c r="BD50"/>
  <c r="BE50" s="1"/>
  <c r="BF50" s="1"/>
  <c r="BN66"/>
  <c r="BO66" s="1"/>
  <c r="BP66" s="1"/>
  <c r="AY43"/>
  <c r="AZ43" s="1"/>
  <c r="BA43" s="1"/>
  <c r="AO15"/>
  <c r="AP15" s="1"/>
  <c r="AQ15" s="1"/>
  <c r="AE13"/>
  <c r="AF13" s="1"/>
  <c r="AG13" s="1"/>
  <c r="BS40"/>
  <c r="BT40"/>
  <c r="BU40" s="1"/>
  <c r="BS15"/>
  <c r="BT15" s="1"/>
  <c r="BU15"/>
  <c r="AY11"/>
  <c r="AZ11" s="1"/>
  <c r="BA11" s="1"/>
  <c r="CC53"/>
  <c r="CD53" s="1"/>
  <c r="CE53" s="1"/>
  <c r="CR25"/>
  <c r="CS25" s="1"/>
  <c r="CT25" s="1"/>
  <c r="BS18"/>
  <c r="BT18" s="1"/>
  <c r="BU18" s="1"/>
  <c r="BS53"/>
  <c r="BT53" s="1"/>
  <c r="BU53" s="1"/>
  <c r="BS23"/>
  <c r="BT23" s="1"/>
  <c r="BU23" s="1"/>
  <c r="BS24"/>
  <c r="BT24"/>
  <c r="BU24" s="1"/>
  <c r="BN23"/>
  <c r="BO23" s="1"/>
  <c r="BP23" s="1"/>
  <c r="BN16"/>
  <c r="BO16" s="1"/>
  <c r="BP16" s="1"/>
  <c r="BN25"/>
  <c r="BO25" s="1"/>
  <c r="BP25" s="1"/>
  <c r="CH23"/>
  <c r="CI23"/>
  <c r="CJ23" s="1"/>
  <c r="CR24"/>
  <c r="CS24" s="1"/>
  <c r="CT24"/>
  <c r="AT54"/>
  <c r="AU54"/>
  <c r="AV54" s="1"/>
  <c r="BD61"/>
  <c r="BE61" s="1"/>
  <c r="BF61" s="1"/>
  <c r="CM13"/>
  <c r="CN13" s="1"/>
  <c r="CO13" s="1"/>
  <c r="CH25"/>
  <c r="CI25" s="1"/>
  <c r="CJ25" s="1"/>
  <c r="BX30"/>
  <c r="BY30" s="1"/>
  <c r="BZ30" s="1"/>
  <c r="CR18"/>
  <c r="CS18" s="1"/>
  <c r="CT18" s="1"/>
  <c r="BD81"/>
  <c r="BE81" s="1"/>
  <c r="BF81" s="1"/>
  <c r="BD80"/>
  <c r="BE80" s="1"/>
  <c r="BF80" s="1"/>
  <c r="BD52"/>
  <c r="BE52" s="1"/>
  <c r="BF52" s="1"/>
  <c r="BX35"/>
  <c r="BY35" s="1"/>
  <c r="BZ35" s="1"/>
  <c r="BI15"/>
  <c r="BJ15"/>
  <c r="BK15" s="1"/>
  <c r="CH22"/>
  <c r="CI22" s="1"/>
  <c r="CJ22" s="1"/>
  <c r="BX14"/>
  <c r="BY14" s="1"/>
  <c r="BZ14" s="1"/>
  <c r="CR19"/>
  <c r="CS19" s="1"/>
  <c r="CT19" s="1"/>
  <c r="BX31"/>
  <c r="BY31"/>
  <c r="BZ31" s="1"/>
  <c r="BX21"/>
  <c r="BY21" s="1"/>
  <c r="BZ21" s="1"/>
  <c r="CH19"/>
  <c r="CI19" s="1"/>
  <c r="CJ19" s="1"/>
  <c r="BX16"/>
  <c r="BY16" s="1"/>
  <c r="BZ16" s="1"/>
  <c r="CH21"/>
  <c r="CI21"/>
  <c r="CJ21" s="1"/>
  <c r="AY65"/>
  <c r="AZ65" s="1"/>
  <c r="BA65" s="1"/>
  <c r="BS49"/>
  <c r="BT49" s="1"/>
  <c r="BU49" s="1"/>
  <c r="AO49"/>
  <c r="AP49" s="1"/>
  <c r="AQ49" s="1"/>
  <c r="BS48"/>
  <c r="BT48"/>
  <c r="BU48" s="1"/>
  <c r="AO48"/>
  <c r="AP48" s="1"/>
  <c r="AQ48" s="1"/>
  <c r="BI42"/>
  <c r="BJ42" s="1"/>
  <c r="BK42" s="1"/>
  <c r="AY30"/>
  <c r="AZ30" s="1"/>
  <c r="BA30" s="1"/>
  <c r="BI29"/>
  <c r="BJ29"/>
  <c r="BK29" s="1"/>
  <c r="AO29"/>
  <c r="AP29" s="1"/>
  <c r="AQ29" s="1"/>
  <c r="BI24"/>
  <c r="BJ24" s="1"/>
  <c r="BK24" s="1"/>
  <c r="AO50"/>
  <c r="AP50" s="1"/>
  <c r="AQ50" s="1"/>
  <c r="BS50"/>
  <c r="BT50"/>
  <c r="BU50" s="1"/>
  <c r="AE51"/>
  <c r="AF51" s="1"/>
  <c r="AG51" s="1"/>
  <c r="BS52"/>
  <c r="BT52" s="1"/>
  <c r="BU52" s="1"/>
  <c r="BN40"/>
  <c r="BO40" s="1"/>
  <c r="BP40" s="1"/>
  <c r="AT40"/>
  <c r="AU40"/>
  <c r="AV40" s="1"/>
  <c r="BS33"/>
  <c r="BT33" s="1"/>
  <c r="BU33" s="1"/>
  <c r="AT32"/>
  <c r="AU32" s="1"/>
  <c r="AV32" s="1"/>
  <c r="CC49"/>
  <c r="CD49" s="1"/>
  <c r="CE49" s="1"/>
  <c r="BD25"/>
  <c r="BE25"/>
  <c r="BF25" s="1"/>
  <c r="AT47"/>
  <c r="AU47" s="1"/>
  <c r="AV47" s="1"/>
  <c r="CM21"/>
  <c r="CN21" s="1"/>
  <c r="CO21" s="1"/>
  <c r="BD76"/>
  <c r="BE76" s="1"/>
  <c r="BF76" s="1"/>
  <c r="AT35"/>
  <c r="AU35"/>
  <c r="AV35" s="1"/>
  <c r="BN35"/>
  <c r="BO35" s="1"/>
  <c r="BP35" s="1"/>
  <c r="BD16"/>
  <c r="BE16" s="1"/>
  <c r="BF16" s="1"/>
  <c r="BX29"/>
  <c r="BY29" s="1"/>
  <c r="BZ29" s="1"/>
  <c r="AE57"/>
  <c r="AF57"/>
  <c r="AG57" s="1"/>
  <c r="AE47"/>
  <c r="AF47" s="1"/>
  <c r="AG47" s="1"/>
  <c r="AE32"/>
  <c r="AF32" s="1"/>
  <c r="AG32" s="1"/>
  <c r="AE41"/>
  <c r="AF41" s="1"/>
  <c r="AG41" s="1"/>
  <c r="AE67"/>
  <c r="AF67"/>
  <c r="AG67" s="1"/>
  <c r="AE66"/>
  <c r="AF66" s="1"/>
  <c r="AG66" s="1"/>
  <c r="AE25"/>
  <c r="AF25" s="1"/>
  <c r="AG25" s="1"/>
  <c r="AY35"/>
  <c r="AZ35" s="1"/>
  <c r="BA35" s="1"/>
  <c r="AE36"/>
  <c r="AF36"/>
  <c r="AG36" s="1"/>
  <c r="AE16"/>
  <c r="AF16" s="1"/>
  <c r="AG16" s="1"/>
  <c r="AJ79"/>
  <c r="AK79" s="1"/>
  <c r="AL79" s="1"/>
  <c r="AJ24"/>
  <c r="AK24" s="1"/>
  <c r="AL24"/>
  <c r="AJ54"/>
  <c r="AK54" s="1"/>
  <c r="AL54" s="1"/>
  <c r="AJ40"/>
  <c r="AK40" s="1"/>
  <c r="AL40" s="1"/>
  <c r="AJ16"/>
  <c r="AK16" s="1"/>
  <c r="AL16" s="1"/>
  <c r="AJ58"/>
  <c r="AK58" s="1"/>
  <c r="AL58" s="1"/>
  <c r="AJ25"/>
  <c r="AK25" s="1"/>
  <c r="AL25" s="1"/>
  <c r="AJ74"/>
  <c r="AK74" s="1"/>
  <c r="AL74" s="1"/>
  <c r="AJ53"/>
  <c r="AK53"/>
  <c r="AL53" s="1"/>
  <c r="AJ76"/>
  <c r="AK76" s="1"/>
  <c r="AL76" s="1"/>
  <c r="AT19"/>
  <c r="AU19"/>
  <c r="AV19" s="1"/>
  <c r="AT80"/>
  <c r="AU80" s="1"/>
  <c r="AV80" s="1"/>
  <c r="AT58"/>
  <c r="AU58" s="1"/>
  <c r="AV58" s="1"/>
  <c r="AT81"/>
  <c r="AU81" s="1"/>
  <c r="AV81" s="1"/>
  <c r="AT12"/>
  <c r="AU12" s="1"/>
  <c r="AV12" s="1"/>
  <c r="AT49"/>
  <c r="AU49"/>
  <c r="AV49" s="1"/>
  <c r="AO14"/>
  <c r="AP14"/>
  <c r="AQ14" s="1"/>
  <c r="AO25"/>
  <c r="AP25" s="1"/>
  <c r="AQ25" s="1"/>
  <c r="AO76"/>
  <c r="AP76" s="1"/>
  <c r="AQ76" s="1"/>
  <c r="AO32"/>
  <c r="AP32" s="1"/>
  <c r="AQ32" s="1"/>
  <c r="AO80"/>
  <c r="AP80" s="1"/>
  <c r="AQ80" s="1"/>
  <c r="AO59"/>
  <c r="AP59" s="1"/>
  <c r="AQ59" s="1"/>
  <c r="AO13"/>
  <c r="AP13" s="1"/>
  <c r="AQ13" s="1"/>
  <c r="AO61"/>
  <c r="AP61" s="1"/>
  <c r="AQ61" s="1"/>
  <c r="AT42"/>
  <c r="AU42"/>
  <c r="AV42" s="1"/>
  <c r="AT24"/>
  <c r="AU24" s="1"/>
  <c r="AV24" s="1"/>
  <c r="AT57"/>
  <c r="AU57"/>
  <c r="AV57" s="1"/>
  <c r="AT21"/>
  <c r="AU21" s="1"/>
  <c r="AV21" s="1"/>
  <c r="AY13"/>
  <c r="AZ13" s="1"/>
  <c r="BA13" s="1"/>
  <c r="AY68"/>
  <c r="AZ68" s="1"/>
  <c r="BA68" s="1"/>
  <c r="AY66"/>
  <c r="AZ66" s="1"/>
  <c r="BA66" s="1"/>
  <c r="AY38"/>
  <c r="AZ38"/>
  <c r="BA38" s="1"/>
  <c r="AY37"/>
  <c r="AZ37"/>
  <c r="BA37" s="1"/>
  <c r="AY17"/>
  <c r="AZ17" s="1"/>
  <c r="BA17" s="1"/>
  <c r="AY55"/>
  <c r="AZ55" s="1"/>
  <c r="BA55" s="1"/>
  <c r="AY16"/>
  <c r="AZ16" s="1"/>
  <c r="BA16" s="1"/>
  <c r="AY79"/>
  <c r="AZ79" s="1"/>
  <c r="BA79" s="1"/>
  <c r="AY54"/>
  <c r="AZ54" s="1"/>
  <c r="BA54" s="1"/>
  <c r="AY60"/>
  <c r="AZ60" s="1"/>
  <c r="BA60" s="1"/>
  <c r="BS55"/>
  <c r="BT55" s="1"/>
  <c r="BU55" s="1"/>
  <c r="BS21"/>
  <c r="BT21"/>
  <c r="BU21" s="1"/>
  <c r="AE34"/>
  <c r="AF34" s="1"/>
  <c r="AG34" s="1"/>
  <c r="AY42"/>
  <c r="AZ42" s="1"/>
  <c r="BA42" s="1"/>
  <c r="CC36"/>
  <c r="CD36" s="1"/>
  <c r="CE36" s="1"/>
  <c r="CC20"/>
  <c r="CD20" s="1"/>
  <c r="CE20" s="1"/>
  <c r="CC57"/>
  <c r="CD57" s="1"/>
  <c r="CE57" s="1"/>
  <c r="CC12"/>
  <c r="CD12" s="1"/>
  <c r="CE12" s="1"/>
  <c r="AO47"/>
  <c r="AP47"/>
  <c r="AQ47" s="1"/>
  <c r="BI17"/>
  <c r="BJ17" s="1"/>
  <c r="BK17" s="1"/>
  <c r="BI12"/>
  <c r="BJ12" s="1"/>
  <c r="BK12" s="1"/>
  <c r="CM20"/>
  <c r="CN20" s="1"/>
  <c r="CO20" s="1"/>
  <c r="AO22"/>
  <c r="AP22" s="1"/>
  <c r="AQ22" s="1"/>
  <c r="BD17"/>
  <c r="BE17" s="1"/>
  <c r="BF17" s="1"/>
  <c r="BD53"/>
  <c r="BE53" s="1"/>
  <c r="BF53" s="1"/>
  <c r="BD20"/>
  <c r="BE20" s="1"/>
  <c r="BF20" s="1"/>
  <c r="BI22"/>
  <c r="BJ22" s="1"/>
  <c r="BK22" s="1"/>
  <c r="BD43"/>
  <c r="BE43"/>
  <c r="BF43" s="1"/>
  <c r="AE53"/>
  <c r="AF53" s="1"/>
  <c r="AG53" s="1"/>
  <c r="BN68"/>
  <c r="BO68" s="1"/>
  <c r="BP68" s="1"/>
  <c r="BS37"/>
  <c r="BT37" s="1"/>
  <c r="BU37" s="1"/>
  <c r="BN41"/>
  <c r="BO41" s="1"/>
  <c r="BP41" s="1"/>
  <c r="CR17"/>
  <c r="CS17" s="1"/>
  <c r="CT17" s="1"/>
  <c r="CR21"/>
  <c r="CS21" s="1"/>
  <c r="CT21" s="1"/>
  <c r="BN32"/>
  <c r="BO32"/>
  <c r="BP32" s="1"/>
  <c r="BS38"/>
  <c r="BT38" s="1"/>
  <c r="BU38" s="1"/>
  <c r="CM15"/>
  <c r="CN15" s="1"/>
  <c r="CO15" s="1"/>
  <c r="BS42"/>
  <c r="BT42" s="1"/>
  <c r="BU42" s="1"/>
  <c r="BI11"/>
  <c r="BJ11" s="1"/>
  <c r="BK11" s="1"/>
  <c r="AE21"/>
  <c r="AF21" s="1"/>
  <c r="AG21" s="1"/>
  <c r="CM25"/>
  <c r="CN25" s="1"/>
  <c r="CO25" s="1"/>
  <c r="BS14"/>
  <c r="BT14" s="1"/>
  <c r="BU14" s="1"/>
  <c r="BS16"/>
  <c r="BT16" s="1"/>
  <c r="BU16" s="1"/>
  <c r="BS30"/>
  <c r="BT30"/>
  <c r="BU30" s="1"/>
  <c r="BS58"/>
  <c r="BT58" s="1"/>
  <c r="BU58" s="1"/>
  <c r="BS35"/>
  <c r="BT35" s="1"/>
  <c r="BU35" s="1"/>
  <c r="AJ33"/>
  <c r="AK33" s="1"/>
  <c r="AL33" s="1"/>
  <c r="AT34"/>
  <c r="AU34" s="1"/>
  <c r="AV34" s="1"/>
  <c r="AJ12"/>
  <c r="AK12" s="1"/>
  <c r="AL12" s="1"/>
  <c r="BN65"/>
  <c r="BO65" s="1"/>
  <c r="BP65" s="1"/>
  <c r="BD12"/>
  <c r="BE12"/>
  <c r="BF12" s="1"/>
  <c r="BX12"/>
  <c r="BY12" s="1"/>
  <c r="BZ12" s="1"/>
  <c r="AE24"/>
  <c r="AF24" s="1"/>
  <c r="AG24" s="1"/>
  <c r="AE54"/>
  <c r="AF54" s="1"/>
  <c r="AG54" s="1"/>
  <c r="AE19"/>
  <c r="AF19" s="1"/>
  <c r="AG19" s="1"/>
  <c r="AE42"/>
  <c r="AF42" s="1"/>
  <c r="AG42" s="1"/>
  <c r="AE59"/>
  <c r="AF59" s="1"/>
  <c r="AG59" s="1"/>
  <c r="AE12"/>
  <c r="AF12" s="1"/>
  <c r="AG12" s="1"/>
  <c r="AE17"/>
  <c r="AF17" s="1"/>
  <c r="AG17" s="1"/>
  <c r="AE33"/>
  <c r="AF33"/>
  <c r="AG33" s="1"/>
  <c r="AE23"/>
  <c r="AF23" s="1"/>
  <c r="AG23" s="1"/>
  <c r="AJ15"/>
  <c r="AK15" s="1"/>
  <c r="AL15" s="1"/>
  <c r="AJ36"/>
  <c r="AK36" s="1"/>
  <c r="AL36" s="1"/>
  <c r="AJ60"/>
  <c r="AK60" s="1"/>
  <c r="AL60" s="1"/>
  <c r="AJ65"/>
  <c r="AK65" s="1"/>
  <c r="AL65" s="1"/>
  <c r="AJ80"/>
  <c r="AK80" s="1"/>
  <c r="AL80" s="1"/>
  <c r="AJ18"/>
  <c r="AK18"/>
  <c r="AL18" s="1"/>
  <c r="AJ55"/>
  <c r="AK55" s="1"/>
  <c r="AL55" s="1"/>
  <c r="AJ68"/>
  <c r="AK68" s="1"/>
  <c r="AL68" s="1"/>
  <c r="AJ50"/>
  <c r="AK50" s="1"/>
  <c r="AL50" s="1"/>
  <c r="AJ43"/>
  <c r="AK43" s="1"/>
  <c r="AL43" s="1"/>
  <c r="AT18"/>
  <c r="AU18"/>
  <c r="AV18" s="1"/>
  <c r="AT15"/>
  <c r="AU15" s="1"/>
  <c r="AV15" s="1"/>
  <c r="AT13"/>
  <c r="AU13" s="1"/>
  <c r="AV13" s="1"/>
  <c r="AT73"/>
  <c r="AU73" s="1"/>
  <c r="AV73" s="1"/>
  <c r="AT48"/>
  <c r="AU48"/>
  <c r="AV48"/>
  <c r="AO38"/>
  <c r="AP38" s="1"/>
  <c r="AQ38" s="1"/>
  <c r="AO24"/>
  <c r="AP24" s="1"/>
  <c r="AQ24" s="1"/>
  <c r="AO43"/>
  <c r="AP43"/>
  <c r="AQ43" s="1"/>
  <c r="AO18"/>
  <c r="AP18" s="1"/>
  <c r="AQ18" s="1"/>
  <c r="AO34"/>
  <c r="AP34" s="1"/>
  <c r="AQ34" s="1"/>
  <c r="AO23"/>
  <c r="AP23" s="1"/>
  <c r="AQ23" s="1"/>
  <c r="AO40"/>
  <c r="AP40"/>
  <c r="AQ40" s="1"/>
  <c r="AO79"/>
  <c r="AP79" s="1"/>
  <c r="AQ79" s="1"/>
  <c r="AO31"/>
  <c r="AP31" s="1"/>
  <c r="AQ31" s="1"/>
  <c r="AT41"/>
  <c r="AU41" s="1"/>
  <c r="AV41" s="1"/>
  <c r="AT14"/>
  <c r="AU14" s="1"/>
  <c r="AV14" s="1"/>
  <c r="AY80"/>
  <c r="AZ80"/>
  <c r="BA80" s="1"/>
  <c r="AY74"/>
  <c r="AZ74" s="1"/>
  <c r="BA74" s="1"/>
  <c r="AY81"/>
  <c r="AZ81" s="1"/>
  <c r="BA81" s="1"/>
  <c r="AY77"/>
  <c r="AZ77" s="1"/>
  <c r="BA77" s="1"/>
  <c r="AY24"/>
  <c r="AZ24"/>
  <c r="BA24"/>
  <c r="AY31"/>
  <c r="AZ31" s="1"/>
  <c r="BA31" s="1"/>
  <c r="AY40"/>
  <c r="AZ40" s="1"/>
  <c r="BA40" s="1"/>
  <c r="AY21"/>
  <c r="AZ21" s="1"/>
  <c r="BA21" s="1"/>
  <c r="AY15"/>
  <c r="AZ15" s="1"/>
  <c r="BA15" s="1"/>
  <c r="AY39"/>
  <c r="AZ39" s="1"/>
  <c r="BA39" s="1"/>
  <c r="AY78"/>
  <c r="AZ78" s="1"/>
  <c r="BA78" s="1"/>
  <c r="BS13"/>
  <c r="BT13"/>
  <c r="BU13" s="1"/>
  <c r="BD14"/>
  <c r="BE14" s="1"/>
  <c r="BF14" s="1"/>
  <c r="BN17"/>
  <c r="BO17" s="1"/>
  <c r="BP17" s="1"/>
  <c r="BN39"/>
  <c r="BO39" s="1"/>
  <c r="BP39" s="1"/>
  <c r="BN36"/>
  <c r="BO36" s="1"/>
  <c r="BP36" s="1"/>
  <c r="BN34"/>
  <c r="BO34" s="1"/>
  <c r="BP34" s="1"/>
  <c r="AO52"/>
  <c r="AP52" s="1"/>
  <c r="AQ52" s="1"/>
  <c r="CH24"/>
  <c r="CI24" s="1"/>
  <c r="CJ24" s="1"/>
  <c r="AO55"/>
  <c r="AP55" s="1"/>
  <c r="AQ55" s="1"/>
  <c r="BD15"/>
  <c r="BE15"/>
  <c r="BF15" s="1"/>
  <c r="CM22"/>
  <c r="CN22" s="1"/>
  <c r="CO22" s="1"/>
  <c r="CH14"/>
  <c r="CI14" s="1"/>
  <c r="CJ14" s="1"/>
  <c r="BX32"/>
  <c r="BY32" s="1"/>
  <c r="BZ32" s="1"/>
  <c r="BN42"/>
  <c r="BO42" s="1"/>
  <c r="BP42" s="1"/>
  <c r="BD13"/>
  <c r="BE13" s="1"/>
  <c r="BF13" s="1"/>
  <c r="BD67"/>
  <c r="BE67" s="1"/>
  <c r="BF67" s="1"/>
  <c r="BX18"/>
  <c r="BY18"/>
  <c r="BZ18" s="1"/>
  <c r="BX25"/>
  <c r="BY25" s="1"/>
  <c r="BZ25" s="1"/>
  <c r="BX15"/>
  <c r="BY15" s="1"/>
  <c r="BZ15" s="1"/>
  <c r="BX43"/>
  <c r="BY43" s="1"/>
  <c r="BZ43" s="1"/>
  <c r="BX33"/>
  <c r="BY33" s="1"/>
  <c r="BZ33" s="1"/>
  <c r="AJ41"/>
  <c r="AK41" s="1"/>
  <c r="AL41" s="1"/>
  <c r="AT31"/>
  <c r="AU31" s="1"/>
  <c r="AV31" s="1"/>
  <c r="AJ30"/>
  <c r="AK30" s="1"/>
  <c r="AL30" s="1"/>
  <c r="BN29"/>
  <c r="BO29" s="1"/>
  <c r="BP29" s="1"/>
  <c r="AT29"/>
  <c r="AU29"/>
  <c r="AV29" s="1"/>
  <c r="BN11"/>
  <c r="BO11" s="1"/>
  <c r="BP11" s="1"/>
  <c r="AJ52"/>
  <c r="AK52" s="1"/>
  <c r="AL52" s="1"/>
  <c r="BN38"/>
  <c r="BO38" s="1"/>
  <c r="BP38" s="1"/>
  <c r="AT38"/>
  <c r="AU38" s="1"/>
  <c r="AV38" s="1"/>
  <c r="BS32"/>
  <c r="BT32" s="1"/>
  <c r="BU32" s="1"/>
  <c r="CM12"/>
  <c r="CN12" s="1"/>
  <c r="CO12" s="1"/>
  <c r="S13" i="5"/>
  <c r="X13"/>
  <c r="L58"/>
  <c r="C58" s="1"/>
  <c r="G39"/>
  <c r="L93"/>
  <c r="C93" s="1"/>
  <c r="S41"/>
  <c r="G33"/>
  <c r="L33" s="1"/>
  <c r="C33" s="1"/>
  <c r="E12"/>
  <c r="G79"/>
  <c r="L79" s="1"/>
  <c r="C79" s="1"/>
  <c r="G45"/>
  <c r="M45" s="1"/>
  <c r="D45" s="1"/>
  <c r="G51"/>
  <c r="M51" s="1"/>
  <c r="D51" s="1"/>
  <c r="S28"/>
  <c r="G49"/>
  <c r="L49" s="1"/>
  <c r="C49" s="1"/>
  <c r="X34"/>
  <c r="DX601" i="4"/>
  <c r="DZ601"/>
  <c r="G68" i="5"/>
  <c r="AV68" s="1"/>
  <c r="AU68" s="1"/>
  <c r="R37"/>
  <c r="S37"/>
  <c r="E101"/>
  <c r="E88"/>
  <c r="AD47"/>
  <c r="G27"/>
  <c r="E18"/>
  <c r="AB28"/>
  <c r="T37"/>
  <c r="M88"/>
  <c r="D88" s="1"/>
  <c r="E21"/>
  <c r="N88"/>
  <c r="F88"/>
  <c r="O88" s="1"/>
  <c r="H88" s="1"/>
  <c r="G105"/>
  <c r="AA28"/>
  <c r="E109"/>
  <c r="DX311" i="4"/>
  <c r="DZ311" s="1"/>
  <c r="AB37" i="5"/>
  <c r="CC60" i="1"/>
  <c r="CD60" s="1"/>
  <c r="CE60" s="1"/>
  <c r="CC15"/>
  <c r="CD15" s="1"/>
  <c r="CE15" s="1"/>
  <c r="CC55"/>
  <c r="CD55"/>
  <c r="CE55" s="1"/>
  <c r="CC22"/>
  <c r="CD22" s="1"/>
  <c r="CE22" s="1"/>
  <c r="CC52"/>
  <c r="CD52" s="1"/>
  <c r="CE52" s="1"/>
  <c r="CC19"/>
  <c r="CD19" s="1"/>
  <c r="CE19" s="1"/>
  <c r="CC61"/>
  <c r="CD61" s="1"/>
  <c r="CE61" s="1"/>
  <c r="CC17"/>
  <c r="CD17" s="1"/>
  <c r="CE17" s="1"/>
  <c r="CC42"/>
  <c r="CD42" s="1"/>
  <c r="CE42" s="1"/>
  <c r="CC47"/>
  <c r="CD47"/>
  <c r="CE47" s="1"/>
  <c r="CC13"/>
  <c r="CD13" s="1"/>
  <c r="CE13" s="1"/>
  <c r="CC25"/>
  <c r="CD25" s="1"/>
  <c r="CE25" s="1"/>
  <c r="CC24"/>
  <c r="CD24" s="1"/>
  <c r="CE24" s="1"/>
  <c r="CC32"/>
  <c r="CD32" s="1"/>
  <c r="CE32" s="1"/>
  <c r="CC33"/>
  <c r="CD33" s="1"/>
  <c r="CE33" s="1"/>
  <c r="CC35"/>
  <c r="CD35" s="1"/>
  <c r="CE35" s="1"/>
  <c r="CC31"/>
  <c r="CD31" s="1"/>
  <c r="CE31" s="1"/>
  <c r="CC29"/>
  <c r="CD29" s="1"/>
  <c r="CE29" s="1"/>
  <c r="CC21"/>
  <c r="CD21"/>
  <c r="CE21" s="1"/>
  <c r="CC54"/>
  <c r="CD54" s="1"/>
  <c r="CE54" s="1"/>
  <c r="CC48"/>
  <c r="CD48" s="1"/>
  <c r="CE48" s="1"/>
  <c r="CC11"/>
  <c r="CD11" s="1"/>
  <c r="CE11" s="1"/>
  <c r="CC50"/>
  <c r="CD50" s="1"/>
  <c r="CE50" s="1"/>
  <c r="DX443" i="4"/>
  <c r="DZ443" s="1"/>
  <c r="AN65" i="5"/>
  <c r="AA13"/>
  <c r="DF246" i="4"/>
  <c r="DH246" s="1"/>
  <c r="AJ83" i="5"/>
  <c r="AS83" s="1"/>
  <c r="AB25"/>
  <c r="T20"/>
  <c r="DX701" i="4"/>
  <c r="DZ701" s="1"/>
  <c r="E62" i="5"/>
  <c r="R20"/>
  <c r="AJ68"/>
  <c r="AS68" s="1"/>
  <c r="AJ112"/>
  <c r="AS112" s="1"/>
  <c r="U11"/>
  <c r="E111"/>
  <c r="AJ101"/>
  <c r="AS101" s="1"/>
  <c r="E42"/>
  <c r="E90"/>
  <c r="M103"/>
  <c r="D103" s="1"/>
  <c r="E71"/>
  <c r="W87" i="1"/>
  <c r="T87" s="1"/>
  <c r="E55" i="5"/>
  <c r="T53"/>
  <c r="AA16"/>
  <c r="W86" i="1"/>
  <c r="T86" s="1"/>
  <c r="M104" i="5"/>
  <c r="D104" s="1"/>
  <c r="M12"/>
  <c r="D12" s="1"/>
  <c r="AB13"/>
  <c r="U14"/>
  <c r="L81"/>
  <c r="C81" s="1"/>
  <c r="AV81"/>
  <c r="AU81" s="1"/>
  <c r="N81"/>
  <c r="F81" s="1"/>
  <c r="O81" s="1"/>
  <c r="H81" s="1"/>
  <c r="M81"/>
  <c r="D81" s="1"/>
  <c r="M42"/>
  <c r="D42" s="1"/>
  <c r="L42"/>
  <c r="C42" s="1"/>
  <c r="M87"/>
  <c r="D87" s="1"/>
  <c r="AD40"/>
  <c r="AV107"/>
  <c r="AU107" s="1"/>
  <c r="L12"/>
  <c r="C12" s="1"/>
  <c r="S31"/>
  <c r="R13"/>
  <c r="E13"/>
  <c r="G66"/>
  <c r="M66" s="1"/>
  <c r="D66" s="1"/>
  <c r="G99"/>
  <c r="N99"/>
  <c r="F99" s="1"/>
  <c r="O99" s="1"/>
  <c r="H99" s="1"/>
  <c r="R25"/>
  <c r="G36"/>
  <c r="L36" s="1"/>
  <c r="C36" s="1"/>
  <c r="DX879" i="4"/>
  <c r="DZ879" s="1"/>
  <c r="G55" i="5"/>
  <c r="M55" s="1"/>
  <c r="D55" s="1"/>
  <c r="L62"/>
  <c r="C62" s="1"/>
  <c r="DX185" i="4"/>
  <c r="DZ185" s="1"/>
  <c r="R31" i="5"/>
  <c r="L112"/>
  <c r="C112" s="1"/>
  <c r="E24"/>
  <c r="AJ87"/>
  <c r="AS87" s="1"/>
  <c r="DF1475" i="4"/>
  <c r="DH1475"/>
  <c r="AJ84" i="5"/>
  <c r="AS84" s="1"/>
  <c r="AJ69"/>
  <c r="AS69"/>
  <c r="AJ82"/>
  <c r="AS82" s="1"/>
  <c r="AJ89"/>
  <c r="AS89" s="1"/>
  <c r="AJ109"/>
  <c r="AS109" s="1"/>
  <c r="AJ80"/>
  <c r="AS80" s="1"/>
  <c r="AJ108"/>
  <c r="AS108" s="1"/>
  <c r="AJ98"/>
  <c r="AS98"/>
  <c r="AJ79"/>
  <c r="AS79" s="1"/>
  <c r="E77"/>
  <c r="S20"/>
  <c r="AV90"/>
  <c r="AU90" s="1"/>
  <c r="AA25"/>
  <c r="AJ90"/>
  <c r="AS90"/>
  <c r="E81"/>
  <c r="AA22"/>
  <c r="T16"/>
  <c r="M56"/>
  <c r="D56" s="1"/>
  <c r="AV49"/>
  <c r="AU49" s="1"/>
  <c r="AJ85"/>
  <c r="AS85" s="1"/>
  <c r="AJ111"/>
  <c r="AS111"/>
  <c r="AJ81"/>
  <c r="AS81" s="1"/>
  <c r="AJ105"/>
  <c r="AS105"/>
  <c r="AJ91"/>
  <c r="AS91" s="1"/>
  <c r="AJ78"/>
  <c r="AS78" s="1"/>
  <c r="AJ106"/>
  <c r="AS106" s="1"/>
  <c r="S22"/>
  <c r="N90"/>
  <c r="F90" s="1"/>
  <c r="O90" s="1"/>
  <c r="H90" s="1"/>
  <c r="DX797" i="4"/>
  <c r="DZ797"/>
  <c r="N68" i="5"/>
  <c r="F68"/>
  <c r="O68" s="1"/>
  <c r="H68" s="1"/>
  <c r="DX26" i="4"/>
  <c r="DZ26" s="1"/>
  <c r="AD10" i="5"/>
  <c r="N107"/>
  <c r="F107"/>
  <c r="O107" s="1"/>
  <c r="H107" s="1"/>
  <c r="AV82"/>
  <c r="AU82" s="1"/>
  <c r="L107"/>
  <c r="C107" s="1"/>
  <c r="M112"/>
  <c r="D112"/>
  <c r="N51"/>
  <c r="F51" s="1"/>
  <c r="O51" s="1"/>
  <c r="H51" s="1"/>
  <c r="U34"/>
  <c r="DF1227" i="4"/>
  <c r="DH1227" s="1"/>
  <c r="AJ77" i="5"/>
  <c r="AS77" s="1"/>
  <c r="EJ134" i="4"/>
  <c r="EL134"/>
  <c r="AJ88" i="5"/>
  <c r="AS88" s="1"/>
  <c r="AJ107"/>
  <c r="AS107" s="1"/>
  <c r="DX907" i="4"/>
  <c r="DZ907" s="1"/>
  <c r="AJ100" i="5"/>
  <c r="AS100" s="1"/>
  <c r="DX969" i="4"/>
  <c r="DZ969" s="1"/>
  <c r="AJ75" i="5"/>
  <c r="AS75" s="1"/>
  <c r="AJ51"/>
  <c r="AS51" s="1"/>
  <c r="AJ99"/>
  <c r="AS99" s="1"/>
  <c r="G85"/>
  <c r="AV85" s="1"/>
  <c r="AU85" s="1"/>
  <c r="AV112"/>
  <c r="AU112" s="1"/>
  <c r="AP20"/>
  <c r="AC17"/>
  <c r="S10"/>
  <c r="W91" i="1"/>
  <c r="T91" s="1"/>
  <c r="L103" i="5"/>
  <c r="C103" s="1"/>
  <c r="E103"/>
  <c r="DR430" i="4"/>
  <c r="DT430" s="1"/>
  <c r="DX18"/>
  <c r="DZ18"/>
  <c r="DX673"/>
  <c r="DZ673" s="1"/>
  <c r="DX765"/>
  <c r="DZ765" s="1"/>
  <c r="DX883"/>
  <c r="DZ883" s="1"/>
  <c r="DX67"/>
  <c r="DZ67" s="1"/>
  <c r="DX173"/>
  <c r="DZ173" s="1"/>
  <c r="DX261"/>
  <c r="DZ261"/>
  <c r="AV51" i="5"/>
  <c r="AU51" s="1"/>
  <c r="M106"/>
  <c r="D106"/>
  <c r="DF1418" i="4"/>
  <c r="DH1418" s="1"/>
  <c r="EJ263"/>
  <c r="EL263" s="1"/>
  <c r="DF509"/>
  <c r="DH509" s="1"/>
  <c r="DR746"/>
  <c r="DT746"/>
  <c r="DX405"/>
  <c r="DZ405" s="1"/>
  <c r="E94" i="5"/>
  <c r="L106"/>
  <c r="C106" s="1"/>
  <c r="E15"/>
  <c r="DX409" i="4"/>
  <c r="DZ409"/>
  <c r="DX537"/>
  <c r="DZ537" s="1"/>
  <c r="DX75"/>
  <c r="DZ75" s="1"/>
  <c r="DX265"/>
  <c r="DZ265" s="1"/>
  <c r="DX349"/>
  <c r="DZ349"/>
  <c r="DX377"/>
  <c r="DZ377" s="1"/>
  <c r="AN63" i="5"/>
  <c r="DX541" i="4"/>
  <c r="DZ541" s="1"/>
  <c r="W92" i="1"/>
  <c r="T92" s="1"/>
  <c r="N77" i="5"/>
  <c r="F77"/>
  <c r="O77" s="1"/>
  <c r="H77" s="1"/>
  <c r="U35"/>
  <c r="M99"/>
  <c r="D99" s="1"/>
  <c r="L99"/>
  <c r="C99"/>
  <c r="G102"/>
  <c r="N102" s="1"/>
  <c r="F102" s="1"/>
  <c r="O102" s="1"/>
  <c r="H102" s="1"/>
  <c r="DF1002" i="4"/>
  <c r="DH1002" s="1"/>
  <c r="DF142"/>
  <c r="DH142" s="1"/>
  <c r="DF1087"/>
  <c r="DH1087" s="1"/>
  <c r="DF1559"/>
  <c r="DH1559"/>
  <c r="DF451"/>
  <c r="DH451" s="1"/>
  <c r="EJ276"/>
  <c r="EL276" s="1"/>
  <c r="DF533"/>
  <c r="DH533" s="1"/>
  <c r="DX671"/>
  <c r="DZ671"/>
  <c r="DX733"/>
  <c r="DZ733" s="1"/>
  <c r="DX865"/>
  <c r="DZ865" s="1"/>
  <c r="DX637"/>
  <c r="DZ637" s="1"/>
  <c r="DX737"/>
  <c r="DZ737" s="1"/>
  <c r="DX831"/>
  <c r="DZ831" s="1"/>
  <c r="M61" i="5"/>
  <c r="D61" s="1"/>
  <c r="DF1651" i="4"/>
  <c r="DH1651" s="1"/>
  <c r="DX28"/>
  <c r="DZ28"/>
  <c r="DX253"/>
  <c r="DZ253" s="1"/>
  <c r="DX345"/>
  <c r="DZ345" s="1"/>
  <c r="DX473"/>
  <c r="DZ473" s="1"/>
  <c r="M77" i="5"/>
  <c r="D77" s="1"/>
  <c r="L110"/>
  <c r="C110" s="1"/>
  <c r="DF1494" i="4"/>
  <c r="DH1494"/>
  <c r="DF115"/>
  <c r="DH115" s="1"/>
  <c r="DF1392"/>
  <c r="DH1392"/>
  <c r="EJ445"/>
  <c r="EL445" s="1"/>
  <c r="DR299"/>
  <c r="DT299" s="1"/>
  <c r="DX212"/>
  <c r="DZ212" s="1"/>
  <c r="G69" i="5"/>
  <c r="M69"/>
  <c r="D69" s="1"/>
  <c r="N50"/>
  <c r="F50" s="1"/>
  <c r="O50" s="1"/>
  <c r="H50" s="1"/>
  <c r="L53"/>
  <c r="C53" s="1"/>
  <c r="AC53"/>
  <c r="S53"/>
  <c r="CR13" i="1"/>
  <c r="CS13" s="1"/>
  <c r="CT13" s="1"/>
  <c r="AO12"/>
  <c r="AP12" s="1"/>
  <c r="AQ12" s="1"/>
  <c r="R10" i="5"/>
  <c r="E10"/>
  <c r="DF1312" i="4"/>
  <c r="DH1312"/>
  <c r="AE15" i="1"/>
  <c r="AF15" s="1"/>
  <c r="AG15" s="1"/>
  <c r="BD78"/>
  <c r="BE78" s="1"/>
  <c r="BF78"/>
  <c r="AT78"/>
  <c r="AU78" s="1"/>
  <c r="AV78" s="1"/>
  <c r="AJ78"/>
  <c r="AK78" s="1"/>
  <c r="AL78" s="1"/>
  <c r="BD77"/>
  <c r="BE77"/>
  <c r="BF77"/>
  <c r="AT77"/>
  <c r="AU77" s="1"/>
  <c r="AV77" s="1"/>
  <c r="AT76"/>
  <c r="AU76"/>
  <c r="AV76" s="1"/>
  <c r="AT75"/>
  <c r="AU75" s="1"/>
  <c r="AV75" s="1"/>
  <c r="BD74"/>
  <c r="BE74"/>
  <c r="BF74" s="1"/>
  <c r="L50" i="5"/>
  <c r="C50" s="1"/>
  <c r="E50"/>
  <c r="AH13"/>
  <c r="R35"/>
  <c r="AH49"/>
  <c r="AA35"/>
  <c r="Y43"/>
  <c r="R53"/>
  <c r="AA41"/>
  <c r="DX703" i="4"/>
  <c r="DZ703" s="1"/>
  <c r="DX769"/>
  <c r="DZ769" s="1"/>
  <c r="DX863"/>
  <c r="DZ863"/>
  <c r="J54" i="5"/>
  <c r="DX16" i="4"/>
  <c r="DZ16"/>
  <c r="DX79"/>
  <c r="DZ79" s="1"/>
  <c r="DX251"/>
  <c r="DZ251" s="1"/>
  <c r="DX301"/>
  <c r="DZ301" s="1"/>
  <c r="DX381"/>
  <c r="DZ381" s="1"/>
  <c r="DX507"/>
  <c r="DZ507" s="1"/>
  <c r="AV106" i="5"/>
  <c r="AU106"/>
  <c r="AP52"/>
  <c r="R52"/>
  <c r="S52"/>
  <c r="AA52"/>
  <c r="N49"/>
  <c r="F49" s="1"/>
  <c r="O49" s="1"/>
  <c r="H49" s="1"/>
  <c r="M110"/>
  <c r="D110"/>
  <c r="DF1189" i="4"/>
  <c r="DH1189" s="1"/>
  <c r="DF516"/>
  <c r="DH516"/>
  <c r="EJ78"/>
  <c r="EL78" s="1"/>
  <c r="DF1646"/>
  <c r="DH1646"/>
  <c r="DF263"/>
  <c r="DH263" s="1"/>
  <c r="DF679"/>
  <c r="DH679"/>
  <c r="DF1240"/>
  <c r="DH1240" s="1"/>
  <c r="DF1363"/>
  <c r="DH1363"/>
  <c r="DF1510"/>
  <c r="DH1510" s="1"/>
  <c r="DF28"/>
  <c r="DH28"/>
  <c r="DF705"/>
  <c r="DH705" s="1"/>
  <c r="EJ191"/>
  <c r="EL191"/>
  <c r="DF1095"/>
  <c r="DH1095" s="1"/>
  <c r="EJ378"/>
  <c r="EL378"/>
  <c r="DF1273"/>
  <c r="DH1273" s="1"/>
  <c r="DR107"/>
  <c r="DT107"/>
  <c r="DF353"/>
  <c r="DH353" s="1"/>
  <c r="EJ582"/>
  <c r="EL582"/>
  <c r="DR147"/>
  <c r="DT147" s="1"/>
  <c r="AL18" i="5"/>
  <c r="DF804" i="4"/>
  <c r="DH804" s="1"/>
  <c r="DX510"/>
  <c r="DZ510" s="1"/>
  <c r="DX292"/>
  <c r="DZ292" s="1"/>
  <c r="ED48"/>
  <c r="EF48" s="1"/>
  <c r="DR362"/>
  <c r="DT362" s="1"/>
  <c r="DR249"/>
  <c r="DT249" s="1"/>
  <c r="EJ645"/>
  <c r="EL645" s="1"/>
  <c r="DR613"/>
  <c r="DT613"/>
  <c r="DF1278"/>
  <c r="DH1278" s="1"/>
  <c r="U41" i="5"/>
  <c r="G89"/>
  <c r="Y46"/>
  <c r="T49"/>
  <c r="E53"/>
  <c r="T52"/>
  <c r="AV110"/>
  <c r="AU110" s="1"/>
  <c r="EJ418" i="4"/>
  <c r="EL418" s="1"/>
  <c r="DF1415"/>
  <c r="DH1415" s="1"/>
  <c r="DX165"/>
  <c r="DZ165"/>
  <c r="DF910"/>
  <c r="DH910" s="1"/>
  <c r="DF119"/>
  <c r="DH119"/>
  <c r="DF1239"/>
  <c r="DH1239" s="1"/>
  <c r="DF1224"/>
  <c r="DH1224" s="1"/>
  <c r="DR133"/>
  <c r="DT133" s="1"/>
  <c r="DF1657"/>
  <c r="DH1657" s="1"/>
  <c r="DR83"/>
  <c r="DT83" s="1"/>
  <c r="DF597"/>
  <c r="DH597" s="1"/>
  <c r="DF165"/>
  <c r="DH165" s="1"/>
  <c r="DF713"/>
  <c r="DH713"/>
  <c r="DF590"/>
  <c r="DH590" s="1"/>
  <c r="EJ208"/>
  <c r="EL208" s="1"/>
  <c r="DF380"/>
  <c r="DH380" s="1"/>
  <c r="DF53"/>
  <c r="DH53" s="1"/>
  <c r="DF1269"/>
  <c r="DH1269" s="1"/>
  <c r="DR390"/>
  <c r="DT390"/>
  <c r="DF500"/>
  <c r="DH500" s="1"/>
  <c r="DF201"/>
  <c r="DH201"/>
  <c r="DR668"/>
  <c r="DT668" s="1"/>
  <c r="DR743"/>
  <c r="DT743" s="1"/>
  <c r="DR678"/>
  <c r="DT678" s="1"/>
  <c r="AB16" i="5"/>
  <c r="E57"/>
  <c r="E61"/>
  <c r="X49"/>
  <c r="AC52"/>
  <c r="AJ52"/>
  <c r="AS52" s="1"/>
  <c r="J86"/>
  <c r="H86"/>
  <c r="F86"/>
  <c r="E110"/>
  <c r="ED63" i="4"/>
  <c r="EF63"/>
  <c r="DF684"/>
  <c r="DH684" s="1"/>
  <c r="DF294"/>
  <c r="DH294" s="1"/>
  <c r="DF557"/>
  <c r="DH557" s="1"/>
  <c r="DF438"/>
  <c r="DH438"/>
  <c r="DR59"/>
  <c r="DT59" s="1"/>
  <c r="DF1638"/>
  <c r="DH1638"/>
  <c r="DF259"/>
  <c r="DH259" s="1"/>
  <c r="EJ261"/>
  <c r="EL261"/>
  <c r="DF310"/>
  <c r="DH310" s="1"/>
  <c r="DF902"/>
  <c r="DH902" s="1"/>
  <c r="DF34"/>
  <c r="DH34" s="1"/>
  <c r="DF1467"/>
  <c r="DH1467" s="1"/>
  <c r="DF169"/>
  <c r="DH169" s="1"/>
  <c r="DF721"/>
  <c r="DH721"/>
  <c r="DF90"/>
  <c r="DH90" s="1"/>
  <c r="DF769"/>
  <c r="DH769"/>
  <c r="DF782"/>
  <c r="DH782" s="1"/>
  <c r="DF281"/>
  <c r="DH281" s="1"/>
  <c r="EJ423"/>
  <c r="EL423" s="1"/>
  <c r="DR295"/>
  <c r="DT295"/>
  <c r="DL13"/>
  <c r="DN13" s="1"/>
  <c r="EJ24"/>
  <c r="EL24"/>
  <c r="DR26"/>
  <c r="DT26" s="1"/>
  <c r="EJ16"/>
  <c r="EL16"/>
  <c r="DX935"/>
  <c r="DZ935" s="1"/>
  <c r="G80" i="5"/>
  <c r="E106"/>
  <c r="DF320" i="4"/>
  <c r="DH320" s="1"/>
  <c r="L94" i="5"/>
  <c r="C94"/>
  <c r="E93"/>
  <c r="N98"/>
  <c r="F98" s="1"/>
  <c r="O98" s="1"/>
  <c r="H98" s="1"/>
  <c r="AV98"/>
  <c r="AU98" s="1"/>
  <c r="AV87"/>
  <c r="AU87" s="1"/>
  <c r="L77"/>
  <c r="C77" s="1"/>
  <c r="AA19"/>
  <c r="E76"/>
  <c r="U22"/>
  <c r="R49"/>
  <c r="AJ77" i="1"/>
  <c r="AK77" s="1"/>
  <c r="AL77" s="1"/>
  <c r="L76" i="5"/>
  <c r="C76"/>
  <c r="E95"/>
  <c r="L98"/>
  <c r="C98" s="1"/>
  <c r="E97"/>
  <c r="AB46"/>
  <c r="G95"/>
  <c r="J92"/>
  <c r="AC10"/>
  <c r="DF999" i="4"/>
  <c r="DH999" s="1"/>
  <c r="M97" i="5"/>
  <c r="D97"/>
  <c r="AB40"/>
  <c r="J70"/>
  <c r="AH10"/>
  <c r="AC20"/>
  <c r="G19"/>
  <c r="G72"/>
  <c r="Y16"/>
  <c r="G34"/>
  <c r="G9"/>
  <c r="E9"/>
  <c r="M15"/>
  <c r="D15"/>
  <c r="L15"/>
  <c r="C15" s="1"/>
  <c r="G43"/>
  <c r="DX14" i="4"/>
  <c r="DZ14"/>
  <c r="DX65"/>
  <c r="DZ65" s="1"/>
  <c r="DX77"/>
  <c r="DZ77" s="1"/>
  <c r="DX171"/>
  <c r="DZ171" s="1"/>
  <c r="DX183"/>
  <c r="DZ183" s="1"/>
  <c r="DX263"/>
  <c r="DZ263" s="1"/>
  <c r="DX297"/>
  <c r="DZ297" s="1"/>
  <c r="DX309"/>
  <c r="DZ309" s="1"/>
  <c r="DX413"/>
  <c r="DZ413"/>
  <c r="DX475"/>
  <c r="DZ475" s="1"/>
  <c r="DX539"/>
  <c r="DZ539"/>
  <c r="DX569"/>
  <c r="DZ569" s="1"/>
  <c r="DX920"/>
  <c r="DZ920" s="1"/>
  <c r="M18" i="5"/>
  <c r="D18" s="1"/>
  <c r="L18"/>
  <c r="C18" s="1"/>
  <c r="EJ636" i="4"/>
  <c r="EL636" s="1"/>
  <c r="DR184"/>
  <c r="DT184"/>
  <c r="DF1367"/>
  <c r="DH1367" s="1"/>
  <c r="DF1664"/>
  <c r="DH1664" s="1"/>
  <c r="DF1120"/>
  <c r="DH1120" s="1"/>
  <c r="DF1670"/>
  <c r="DH1670" s="1"/>
  <c r="DF1361"/>
  <c r="DH1361" s="1"/>
  <c r="DF435"/>
  <c r="DH435" s="1"/>
  <c r="DF130"/>
  <c r="DH130" s="1"/>
  <c r="DX807"/>
  <c r="DZ807"/>
  <c r="DX913"/>
  <c r="DZ913" s="1"/>
  <c r="DF1658"/>
  <c r="DH1658"/>
  <c r="DF695"/>
  <c r="DH695" s="1"/>
  <c r="DF1244"/>
  <c r="DH1244" s="1"/>
  <c r="DF593"/>
  <c r="DH593" s="1"/>
  <c r="DF1232"/>
  <c r="DH1232" s="1"/>
  <c r="DF383"/>
  <c r="DH383" s="1"/>
  <c r="DF166"/>
  <c r="DH166"/>
  <c r="DF342"/>
  <c r="DH342" s="1"/>
  <c r="DX184"/>
  <c r="DZ184" s="1"/>
  <c r="EJ393"/>
  <c r="EL393" s="1"/>
  <c r="EJ655"/>
  <c r="EL655" s="1"/>
  <c r="DF1400"/>
  <c r="DH1400" s="1"/>
  <c r="DF678"/>
  <c r="DH678" s="1"/>
  <c r="DF1072"/>
  <c r="DH1072" s="1"/>
  <c r="DF584"/>
  <c r="DH584" s="1"/>
  <c r="DF473"/>
  <c r="DH473" s="1"/>
  <c r="DF379"/>
  <c r="DH379"/>
  <c r="DF280"/>
  <c r="DH280" s="1"/>
  <c r="EJ312"/>
  <c r="EL312" s="1"/>
  <c r="DF1547"/>
  <c r="DH1547" s="1"/>
  <c r="DF495"/>
  <c r="DH495" s="1"/>
  <c r="DR118"/>
  <c r="DT118" s="1"/>
  <c r="DF1568"/>
  <c r="DH1568"/>
  <c r="DF571"/>
  <c r="DH571" s="1"/>
  <c r="DF1160"/>
  <c r="DH1160" s="1"/>
  <c r="DF328"/>
  <c r="DH328" s="1"/>
  <c r="EJ416"/>
  <c r="EL416" s="1"/>
  <c r="DF1438"/>
  <c r="DH1438" s="1"/>
  <c r="DF1090"/>
  <c r="DH1090" s="1"/>
  <c r="DF1589"/>
  <c r="DH1589" s="1"/>
  <c r="DF276"/>
  <c r="DH276"/>
  <c r="DX692"/>
  <c r="DZ692" s="1"/>
  <c r="ED58"/>
  <c r="EF58"/>
  <c r="DF223"/>
  <c r="DH223" s="1"/>
  <c r="DF606"/>
  <c r="DH606" s="1"/>
  <c r="DF1616"/>
  <c r="DH1616" s="1"/>
  <c r="DF726"/>
  <c r="DH726" s="1"/>
  <c r="DF1157"/>
  <c r="DH1157" s="1"/>
  <c r="EJ12"/>
  <c r="EL12"/>
  <c r="EJ124"/>
  <c r="EL124" s="1"/>
  <c r="DF196"/>
  <c r="DH196" s="1"/>
  <c r="DF527"/>
  <c r="DH527" s="1"/>
  <c r="DF1625"/>
  <c r="DH1625" s="1"/>
  <c r="DF742"/>
  <c r="DH742" s="1"/>
  <c r="DF1165"/>
  <c r="DH1165" s="1"/>
  <c r="EJ90"/>
  <c r="EL90" s="1"/>
  <c r="DR544"/>
  <c r="DT544"/>
  <c r="DF57"/>
  <c r="DH57" s="1"/>
  <c r="DF313"/>
  <c r="DH313"/>
  <c r="DF1066"/>
  <c r="DH1066" s="1"/>
  <c r="DF884"/>
  <c r="DH884" s="1"/>
  <c r="DF1350"/>
  <c r="DH1350" s="1"/>
  <c r="EJ547"/>
  <c r="EL547" s="1"/>
  <c r="EJ491"/>
  <c r="EL491" s="1"/>
  <c r="DX606"/>
  <c r="DZ606"/>
  <c r="DF348"/>
  <c r="DH348" s="1"/>
  <c r="DF406"/>
  <c r="DH406" s="1"/>
  <c r="DF1242"/>
  <c r="DH1242" s="1"/>
  <c r="DF603"/>
  <c r="DH603" s="1"/>
  <c r="DF1084"/>
  <c r="DH1084" s="1"/>
  <c r="DX938"/>
  <c r="DZ938" s="1"/>
  <c r="DX561"/>
  <c r="DZ561" s="1"/>
  <c r="DF211"/>
  <c r="DH211"/>
  <c r="DF1455"/>
  <c r="DH1455" s="1"/>
  <c r="DF1185"/>
  <c r="DH1185"/>
  <c r="DF870"/>
  <c r="DH870" s="1"/>
  <c r="EJ291"/>
  <c r="EL291" s="1"/>
  <c r="EJ409"/>
  <c r="EL409" s="1"/>
  <c r="DR327"/>
  <c r="DT327" s="1"/>
  <c r="AL66" i="5"/>
  <c r="EJ404" i="4"/>
  <c r="EL404"/>
  <c r="DR199"/>
  <c r="DT199"/>
  <c r="DR601"/>
  <c r="DT601"/>
  <c r="DX131"/>
  <c r="DZ131"/>
  <c r="DX755"/>
  <c r="DZ755"/>
  <c r="EJ139"/>
  <c r="EL139"/>
  <c r="DF20"/>
  <c r="DH20"/>
  <c r="DR581"/>
  <c r="DT581"/>
  <c r="DX727"/>
  <c r="DZ727"/>
  <c r="DX963"/>
  <c r="DZ963"/>
  <c r="DL19"/>
  <c r="DN19"/>
  <c r="DX113"/>
  <c r="DZ113"/>
  <c r="EJ607"/>
  <c r="EL607"/>
  <c r="EJ613"/>
  <c r="EL613"/>
  <c r="DR795"/>
  <c r="DT795"/>
  <c r="DR164"/>
  <c r="DT164"/>
  <c r="DR403"/>
  <c r="DT403"/>
  <c r="DX902"/>
  <c r="DZ902"/>
  <c r="DR332"/>
  <c r="DT332"/>
  <c r="DX789"/>
  <c r="DZ789"/>
  <c r="DL33"/>
  <c r="DN33"/>
  <c r="DX536"/>
  <c r="DZ536"/>
  <c r="EJ426"/>
  <c r="EL426"/>
  <c r="DF800"/>
  <c r="DH800"/>
  <c r="EJ365"/>
  <c r="EL365"/>
  <c r="G52" i="5"/>
  <c r="M52"/>
  <c r="D52" s="1"/>
  <c r="E52"/>
  <c r="EJ443" i="4"/>
  <c r="EL443" s="1"/>
  <c r="ED65"/>
  <c r="EF65"/>
  <c r="DR805"/>
  <c r="DT805" s="1"/>
  <c r="EJ466"/>
  <c r="EL466"/>
  <c r="DR32"/>
  <c r="DT32" s="1"/>
  <c r="EJ618"/>
  <c r="EL618"/>
  <c r="DR158"/>
  <c r="DT158" s="1"/>
  <c r="DX575"/>
  <c r="DZ575" s="1"/>
  <c r="EJ606"/>
  <c r="EL606" s="1"/>
  <c r="EJ528"/>
  <c r="EL528" s="1"/>
  <c r="DR43"/>
  <c r="DT43" s="1"/>
  <c r="EJ238"/>
  <c r="EL238"/>
  <c r="EJ178"/>
  <c r="EL178" s="1"/>
  <c r="EJ149"/>
  <c r="EL149"/>
  <c r="DR106"/>
  <c r="DT106" s="1"/>
  <c r="EJ452"/>
  <c r="EL452" s="1"/>
  <c r="DR144"/>
  <c r="DT144" s="1"/>
  <c r="EJ650"/>
  <c r="EL650"/>
  <c r="DF1401"/>
  <c r="DH1401" s="1"/>
  <c r="DF1108"/>
  <c r="DH1108"/>
  <c r="DF672"/>
  <c r="DH672" s="1"/>
  <c r="DF1429"/>
  <c r="DH1429"/>
  <c r="DF1205"/>
  <c r="DH1205" s="1"/>
  <c r="DF793"/>
  <c r="DH793" s="1"/>
  <c r="DF1575"/>
  <c r="DH1575" s="1"/>
  <c r="DF1374"/>
  <c r="DH1374" s="1"/>
  <c r="DF1043"/>
  <c r="DH1043" s="1"/>
  <c r="DF641"/>
  <c r="DH641"/>
  <c r="DF1406"/>
  <c r="DH1406" s="1"/>
  <c r="DF1105"/>
  <c r="DH1105"/>
  <c r="DF685"/>
  <c r="DH685" s="1"/>
  <c r="DF1528"/>
  <c r="DH1528" s="1"/>
  <c r="DF1170"/>
  <c r="DH1170" s="1"/>
  <c r="DF814"/>
  <c r="DH814"/>
  <c r="DF546"/>
  <c r="DH546" s="1"/>
  <c r="DF1347"/>
  <c r="DH1347"/>
  <c r="DF1060"/>
  <c r="DH1060" s="1"/>
  <c r="DF699"/>
  <c r="DH699"/>
  <c r="DF1678"/>
  <c r="DH1678" s="1"/>
  <c r="DF1297"/>
  <c r="DH1297" s="1"/>
  <c r="DF882"/>
  <c r="DH882" s="1"/>
  <c r="DF731"/>
  <c r="DH731" s="1"/>
  <c r="DF1369"/>
  <c r="DH1369" s="1"/>
  <c r="DF544"/>
  <c r="DH544"/>
  <c r="DF488"/>
  <c r="DH488" s="1"/>
  <c r="DF715"/>
  <c r="DH715"/>
  <c r="DF507"/>
  <c r="DH507" s="1"/>
  <c r="DF598"/>
  <c r="DH598" s="1"/>
  <c r="DF515"/>
  <c r="DH515" s="1"/>
  <c r="DF329"/>
  <c r="DH329"/>
  <c r="DF198"/>
  <c r="DH198" s="1"/>
  <c r="DF324"/>
  <c r="DH324"/>
  <c r="AJ64" i="5"/>
  <c r="AS64" s="1"/>
  <c r="DF193" i="4"/>
  <c r="DH193"/>
  <c r="DF315"/>
  <c r="DH315" s="1"/>
  <c r="DF184"/>
  <c r="DH184" s="1"/>
  <c r="DF306"/>
  <c r="DH306" s="1"/>
  <c r="DF159"/>
  <c r="DH159" s="1"/>
  <c r="DF73"/>
  <c r="DH73" s="1"/>
  <c r="EJ574"/>
  <c r="EL574"/>
  <c r="EJ534"/>
  <c r="EL534" s="1"/>
  <c r="EJ221"/>
  <c r="EL221"/>
  <c r="DR680"/>
  <c r="DT680" s="1"/>
  <c r="DF51"/>
  <c r="DH51" s="1"/>
  <c r="DF213"/>
  <c r="DH213" s="1"/>
  <c r="DF1207"/>
  <c r="DH1207"/>
  <c r="DF1193"/>
  <c r="DH1193" s="1"/>
  <c r="DF1163"/>
  <c r="DH1163"/>
  <c r="DF619"/>
  <c r="DH619" s="1"/>
  <c r="EJ265"/>
  <c r="EL265"/>
  <c r="DR848"/>
  <c r="DT848" s="1"/>
  <c r="DF129"/>
  <c r="DH129" s="1"/>
  <c r="DF62"/>
  <c r="DH62" s="1"/>
  <c r="DF79"/>
  <c r="DH79" s="1"/>
  <c r="DF84"/>
  <c r="DH84" s="1"/>
  <c r="DF393"/>
  <c r="DH393"/>
  <c r="DF437"/>
  <c r="DH437" s="1"/>
  <c r="DF397"/>
  <c r="DH397"/>
  <c r="DF449"/>
  <c r="DH449" s="1"/>
  <c r="DF1487"/>
  <c r="DH1487" s="1"/>
  <c r="DF1378"/>
  <c r="DH1378" s="1"/>
  <c r="DF716"/>
  <c r="DH716"/>
  <c r="DF1465"/>
  <c r="DH1465" s="1"/>
  <c r="DF1012"/>
  <c r="DH1012"/>
  <c r="DF1609"/>
  <c r="DH1609" s="1"/>
  <c r="DF1203"/>
  <c r="DH1203"/>
  <c r="DF662"/>
  <c r="DH662" s="1"/>
  <c r="DF1492"/>
  <c r="DH1492" s="1"/>
  <c r="DF903"/>
  <c r="DH903" s="1"/>
  <c r="DF1667"/>
  <c r="DH1667" s="1"/>
  <c r="DF1206"/>
  <c r="DH1206" s="1"/>
  <c r="EJ205"/>
  <c r="EL205"/>
  <c r="EJ490"/>
  <c r="EL490" s="1"/>
  <c r="DX982"/>
  <c r="DZ982"/>
  <c r="DR71"/>
  <c r="DT71" s="1"/>
  <c r="DR850"/>
  <c r="DT850" s="1"/>
  <c r="DR229"/>
  <c r="DT229" s="1"/>
  <c r="EJ663"/>
  <c r="EL663"/>
  <c r="EJ635"/>
  <c r="EL635" s="1"/>
  <c r="EJ186"/>
  <c r="EL186"/>
  <c r="EJ400"/>
  <c r="EL400" s="1"/>
  <c r="EJ633"/>
  <c r="EL633"/>
  <c r="EJ259"/>
  <c r="EL259" s="1"/>
  <c r="DF921"/>
  <c r="DH921" s="1"/>
  <c r="EJ110"/>
  <c r="EL110" s="1"/>
  <c r="DX334"/>
  <c r="DZ334" s="1"/>
  <c r="DR150"/>
  <c r="DT150" s="1"/>
  <c r="EJ693"/>
  <c r="EL693"/>
  <c r="ED64"/>
  <c r="EF64" s="1"/>
  <c r="ED13"/>
  <c r="EF13"/>
  <c r="DX916"/>
  <c r="DZ916" s="1"/>
  <c r="DX825"/>
  <c r="DZ825" s="1"/>
  <c r="DX802"/>
  <c r="DZ802" s="1"/>
  <c r="DX753"/>
  <c r="DZ753"/>
  <c r="DX721"/>
  <c r="DZ721" s="1"/>
  <c r="DX632"/>
  <c r="DZ632"/>
  <c r="DX567"/>
  <c r="DZ567" s="1"/>
  <c r="DX516"/>
  <c r="DZ516"/>
  <c r="DX462"/>
  <c r="DZ462" s="1"/>
  <c r="DX372"/>
  <c r="DZ372" s="1"/>
  <c r="DX408"/>
  <c r="DZ408" s="1"/>
  <c r="DX252"/>
  <c r="DZ252" s="1"/>
  <c r="DX234"/>
  <c r="DZ234" s="1"/>
  <c r="DX176"/>
  <c r="DZ176"/>
  <c r="DX166"/>
  <c r="DZ166" s="1"/>
  <c r="DX76"/>
  <c r="DZ76"/>
  <c r="DX47"/>
  <c r="DZ47" s="1"/>
  <c r="DR838"/>
  <c r="DT838" s="1"/>
  <c r="DR797"/>
  <c r="DT797" s="1"/>
  <c r="DR750"/>
  <c r="DT750"/>
  <c r="DR726"/>
  <c r="DT726" s="1"/>
  <c r="DR676"/>
  <c r="DT676"/>
  <c r="DR653"/>
  <c r="DT653" s="1"/>
  <c r="DR622"/>
  <c r="DT622"/>
  <c r="DR572"/>
  <c r="DT572" s="1"/>
  <c r="DR548"/>
  <c r="DT548" s="1"/>
  <c r="DR499"/>
  <c r="DT499" s="1"/>
  <c r="DR463"/>
  <c r="DT463" s="1"/>
  <c r="DR407"/>
  <c r="DT407" s="1"/>
  <c r="DR384"/>
  <c r="DT384"/>
  <c r="DR350"/>
  <c r="DT350" s="1"/>
  <c r="DR310"/>
  <c r="DT310"/>
  <c r="DR271"/>
  <c r="DT271" s="1"/>
  <c r="DR234"/>
  <c r="DT234" s="1"/>
  <c r="DR202"/>
  <c r="DT202" s="1"/>
  <c r="DL21"/>
  <c r="DN21"/>
  <c r="DF978"/>
  <c r="DH978" s="1"/>
  <c r="DF932"/>
  <c r="DH932"/>
  <c r="DF761"/>
  <c r="DH761" s="1"/>
  <c r="EJ14"/>
  <c r="EL14"/>
  <c r="EJ29"/>
  <c r="EL29" s="1"/>
  <c r="EJ407"/>
  <c r="EL407" s="1"/>
  <c r="EJ185"/>
  <c r="EL185" s="1"/>
  <c r="DR178"/>
  <c r="DT178" s="1"/>
  <c r="EJ391"/>
  <c r="EL391" s="1"/>
  <c r="EJ642"/>
  <c r="EL642"/>
  <c r="EJ258"/>
  <c r="EL258" s="1"/>
  <c r="DF920"/>
  <c r="DH920"/>
  <c r="EJ145"/>
  <c r="EL145" s="1"/>
  <c r="DX338"/>
  <c r="DZ338" s="1"/>
  <c r="DR177"/>
  <c r="DT177" s="1"/>
  <c r="DR35"/>
  <c r="DT35"/>
  <c r="ED79"/>
  <c r="EF79" s="1"/>
  <c r="ED24"/>
  <c r="EF24"/>
  <c r="DX932"/>
  <c r="DZ932" s="1"/>
  <c r="DX875"/>
  <c r="DZ875"/>
  <c r="DX764"/>
  <c r="DZ764" s="1"/>
  <c r="DX743"/>
  <c r="DZ743" s="1"/>
  <c r="DX699"/>
  <c r="DZ699" s="1"/>
  <c r="DX664"/>
  <c r="DZ664" s="1"/>
  <c r="DX572"/>
  <c r="DZ572" s="1"/>
  <c r="DX543"/>
  <c r="DZ543"/>
  <c r="DX496"/>
  <c r="DZ496" s="1"/>
  <c r="DX434"/>
  <c r="DZ434"/>
  <c r="DX346"/>
  <c r="DZ346" s="1"/>
  <c r="DX264"/>
  <c r="DZ264" s="1"/>
  <c r="DX244"/>
  <c r="DZ244" s="1"/>
  <c r="DX194"/>
  <c r="DZ194"/>
  <c r="DX145"/>
  <c r="DZ145" s="1"/>
  <c r="DX128"/>
  <c r="DZ128"/>
  <c r="DX68"/>
  <c r="DZ68" s="1"/>
  <c r="DR830"/>
  <c r="DT830"/>
  <c r="DR787"/>
  <c r="DT787" s="1"/>
  <c r="DR748"/>
  <c r="DT748" s="1"/>
  <c r="DR724"/>
  <c r="DT724" s="1"/>
  <c r="DR703"/>
  <c r="DT703" s="1"/>
  <c r="DR673"/>
  <c r="DT673" s="1"/>
  <c r="DR641"/>
  <c r="DT641"/>
  <c r="DR586"/>
  <c r="DT586" s="1"/>
  <c r="DR565"/>
  <c r="DT565"/>
  <c r="DR541"/>
  <c r="DT541" s="1"/>
  <c r="DR476"/>
  <c r="DT476" s="1"/>
  <c r="DR424"/>
  <c r="DT424" s="1"/>
  <c r="DR459"/>
  <c r="DT459"/>
  <c r="DR391"/>
  <c r="DT391" s="1"/>
  <c r="DR346"/>
  <c r="DT346"/>
  <c r="DR294"/>
  <c r="DT294" s="1"/>
  <c r="DR256"/>
  <c r="DT256"/>
  <c r="DR240"/>
  <c r="DT240" s="1"/>
  <c r="DR194"/>
  <c r="DT194" s="1"/>
  <c r="DL36"/>
  <c r="DN36" s="1"/>
  <c r="AK36" i="5"/>
  <c r="DF975" i="4"/>
  <c r="DH975" s="1"/>
  <c r="DF922"/>
  <c r="DH922" s="1"/>
  <c r="DF19"/>
  <c r="DH19"/>
  <c r="EJ563"/>
  <c r="EL563" s="1"/>
  <c r="EJ571"/>
  <c r="EL571" s="1"/>
  <c r="EJ82"/>
  <c r="EL82" s="1"/>
  <c r="EJ168"/>
  <c r="EL168" s="1"/>
  <c r="DR99"/>
  <c r="DT99" s="1"/>
  <c r="EJ394"/>
  <c r="EL394"/>
  <c r="EJ154"/>
  <c r="EL154" s="1"/>
  <c r="EJ360"/>
  <c r="EL360"/>
  <c r="DF915"/>
  <c r="DH915" s="1"/>
  <c r="EJ196"/>
  <c r="EL196" s="1"/>
  <c r="DX340"/>
  <c r="DZ340" s="1"/>
  <c r="DR182"/>
  <c r="DT182" s="1"/>
  <c r="DR50"/>
  <c r="DT50" s="1"/>
  <c r="ED71"/>
  <c r="EF71" s="1"/>
  <c r="ED20"/>
  <c r="EF20" s="1"/>
  <c r="DX908"/>
  <c r="DZ908" s="1"/>
  <c r="DX776"/>
  <c r="DZ776" s="1"/>
  <c r="DX853"/>
  <c r="DZ853" s="1"/>
  <c r="DX734"/>
  <c r="DZ734" s="1"/>
  <c r="DX674"/>
  <c r="DZ674" s="1"/>
  <c r="DX614"/>
  <c r="DZ614" s="1"/>
  <c r="DX596"/>
  <c r="DZ596"/>
  <c r="DX528"/>
  <c r="DZ528" s="1"/>
  <c r="DX418"/>
  <c r="DZ418"/>
  <c r="DX464"/>
  <c r="DZ464" s="1"/>
  <c r="DX370"/>
  <c r="DZ370" s="1"/>
  <c r="DX254"/>
  <c r="DZ254" s="1"/>
  <c r="DX208"/>
  <c r="DZ208" s="1"/>
  <c r="DX148"/>
  <c r="DZ148" s="1"/>
  <c r="DX142"/>
  <c r="DZ142" s="1"/>
  <c r="DX87"/>
  <c r="DZ87" s="1"/>
  <c r="DX59"/>
  <c r="DZ59"/>
  <c r="DR817"/>
  <c r="DT817" s="1"/>
  <c r="DR794"/>
  <c r="DT794" s="1"/>
  <c r="DR758"/>
  <c r="DT758" s="1"/>
  <c r="DR734"/>
  <c r="DT734" s="1"/>
  <c r="DR686"/>
  <c r="DT686" s="1"/>
  <c r="DR661"/>
  <c r="DT661"/>
  <c r="DR630"/>
  <c r="DT630" s="1"/>
  <c r="DR580"/>
  <c r="DT580"/>
  <c r="DR557"/>
  <c r="DT557" s="1"/>
  <c r="DR507"/>
  <c r="DT507" s="1"/>
  <c r="DR474"/>
  <c r="DT474" s="1"/>
  <c r="DR416"/>
  <c r="DT416" s="1"/>
  <c r="DR392"/>
  <c r="DT392" s="1"/>
  <c r="DX824"/>
  <c r="DZ824" s="1"/>
  <c r="DF203"/>
  <c r="DH203" s="1"/>
  <c r="DX979"/>
  <c r="DZ979" s="1"/>
  <c r="ED62"/>
  <c r="EF62" s="1"/>
  <c r="EJ62"/>
  <c r="EL62"/>
  <c r="DR85"/>
  <c r="DT85" s="1"/>
  <c r="DR75"/>
  <c r="DT75" s="1"/>
  <c r="EJ297"/>
  <c r="EL297" s="1"/>
  <c r="DF1553"/>
  <c r="DH1553" s="1"/>
  <c r="DF1116"/>
  <c r="DH1116" s="1"/>
  <c r="DF1585"/>
  <c r="DH1585"/>
  <c r="DF1383"/>
  <c r="DH1383" s="1"/>
  <c r="DF801"/>
  <c r="DH801"/>
  <c r="DF1428"/>
  <c r="DH1428" s="1"/>
  <c r="DF1212"/>
  <c r="DH1212" s="1"/>
  <c r="DF657"/>
  <c r="DH657" s="1"/>
  <c r="DF1300"/>
  <c r="DH1300"/>
  <c r="DF815"/>
  <c r="DH815" s="1"/>
  <c r="DF1519"/>
  <c r="DH1519"/>
  <c r="DF1061"/>
  <c r="DH1061" s="1"/>
  <c r="DF700"/>
  <c r="DH700" s="1"/>
  <c r="DF1355"/>
  <c r="DH1355" s="1"/>
  <c r="DF829"/>
  <c r="DH829" s="1"/>
  <c r="DF482"/>
  <c r="DH482" s="1"/>
  <c r="DF1305"/>
  <c r="DH1305"/>
  <c r="DF1644"/>
  <c r="DH1644" s="1"/>
  <c r="DF865"/>
  <c r="DH865" s="1"/>
  <c r="DF487"/>
  <c r="DH487" s="1"/>
  <c r="DF497"/>
  <c r="DH497" s="1"/>
  <c r="DF1109"/>
  <c r="DH1109" s="1"/>
  <c r="DF520"/>
  <c r="DH520"/>
  <c r="DF459"/>
  <c r="DH459" s="1"/>
  <c r="DF194"/>
  <c r="DH194"/>
  <c r="DF245"/>
  <c r="DH245" s="1"/>
  <c r="DF147"/>
  <c r="DH147" s="1"/>
  <c r="DF180"/>
  <c r="DH180"/>
  <c r="DF366"/>
  <c r="DH366" s="1"/>
  <c r="DF104"/>
  <c r="DH104"/>
  <c r="DF26"/>
  <c r="DH26" s="1"/>
  <c r="DX983"/>
  <c r="DZ983"/>
  <c r="ED52"/>
  <c r="EF52" s="1"/>
  <c r="DF257"/>
  <c r="DH257" s="1"/>
  <c r="DF898"/>
  <c r="DH898" s="1"/>
  <c r="DF1194"/>
  <c r="DH1194" s="1"/>
  <c r="DF1015"/>
  <c r="DH1015" s="1"/>
  <c r="EJ65"/>
  <c r="EL65"/>
  <c r="DF49"/>
  <c r="DH49" s="1"/>
  <c r="DF330"/>
  <c r="DH330"/>
  <c r="DF106"/>
  <c r="DH106" s="1"/>
  <c r="DF282"/>
  <c r="DH282" s="1"/>
  <c r="DF394"/>
  <c r="DH394" s="1"/>
  <c r="AJ65" i="5"/>
  <c r="AS65"/>
  <c r="DF456" i="4"/>
  <c r="DH456" s="1"/>
  <c r="DF566"/>
  <c r="DH566" s="1"/>
  <c r="DF1200"/>
  <c r="DH1200" s="1"/>
  <c r="DF1019"/>
  <c r="DH1019" s="1"/>
  <c r="DF655"/>
  <c r="DH655" s="1"/>
  <c r="DF1466"/>
  <c r="DH1466" s="1"/>
  <c r="DF1381"/>
  <c r="DH1381"/>
  <c r="DF1082"/>
  <c r="DH1082" s="1"/>
  <c r="DF663"/>
  <c r="DH663" s="1"/>
  <c r="DF635"/>
  <c r="DH635" s="1"/>
  <c r="DF1430"/>
  <c r="DH1430"/>
  <c r="EJ546"/>
  <c r="EL546" s="1"/>
  <c r="EJ444"/>
  <c r="EL444" s="1"/>
  <c r="EJ207"/>
  <c r="EL207" s="1"/>
  <c r="EJ95"/>
  <c r="EL95"/>
  <c r="DX980"/>
  <c r="DZ980" s="1"/>
  <c r="EJ592"/>
  <c r="EL592" s="1"/>
  <c r="EJ17"/>
  <c r="EL17" s="1"/>
  <c r="EJ532"/>
  <c r="EL532" s="1"/>
  <c r="EJ70"/>
  <c r="EL70" s="1"/>
  <c r="EJ422"/>
  <c r="EL422" s="1"/>
  <c r="DX296"/>
  <c r="DZ296" s="1"/>
  <c r="DR95"/>
  <c r="DT95"/>
  <c r="ED75"/>
  <c r="EF75" s="1"/>
  <c r="AO61" i="5"/>
  <c r="DX985" i="4"/>
  <c r="DZ985" s="1"/>
  <c r="DX891"/>
  <c r="DZ891"/>
  <c r="DX856"/>
  <c r="DZ856" s="1"/>
  <c r="DX722"/>
  <c r="DZ722"/>
  <c r="DX647"/>
  <c r="DZ647" s="1"/>
  <c r="DX565"/>
  <c r="DZ565" s="1"/>
  <c r="DX511"/>
  <c r="DZ511" s="1"/>
  <c r="DX350"/>
  <c r="DZ350"/>
  <c r="DX469"/>
  <c r="DZ469" s="1"/>
  <c r="DX242"/>
  <c r="DZ242"/>
  <c r="DX193"/>
  <c r="DZ193" s="1"/>
  <c r="DX141"/>
  <c r="DZ141"/>
  <c r="DX78"/>
  <c r="DZ78" s="1"/>
  <c r="DX15"/>
  <c r="DZ15" s="1"/>
  <c r="DR796"/>
  <c r="DT796" s="1"/>
  <c r="DR755"/>
  <c r="DT755" s="1"/>
  <c r="DR695"/>
  <c r="DT695" s="1"/>
  <c r="DR635"/>
  <c r="DT635"/>
  <c r="DR585"/>
  <c r="DT585" s="1"/>
  <c r="DR561"/>
  <c r="DT561"/>
  <c r="AL42" i="5"/>
  <c r="DR526" i="4"/>
  <c r="DT526" s="1"/>
  <c r="DR456"/>
  <c r="DT456" s="1"/>
  <c r="DR455"/>
  <c r="DT455"/>
  <c r="DR344"/>
  <c r="DT344" s="1"/>
  <c r="DR325"/>
  <c r="DT325" s="1"/>
  <c r="DR301"/>
  <c r="DT301"/>
  <c r="DR237"/>
  <c r="DT237" s="1"/>
  <c r="DL38"/>
  <c r="DN38" s="1"/>
  <c r="DF971"/>
  <c r="DH971" s="1"/>
  <c r="DF931"/>
  <c r="DH931" s="1"/>
  <c r="DR98"/>
  <c r="DT98" s="1"/>
  <c r="EJ15"/>
  <c r="EL15" s="1"/>
  <c r="EJ320"/>
  <c r="EL320" s="1"/>
  <c r="DR16"/>
  <c r="DT16"/>
  <c r="EJ256"/>
  <c r="EL256" s="1"/>
  <c r="EJ361"/>
  <c r="EL361" s="1"/>
  <c r="EJ573"/>
  <c r="EL573" s="1"/>
  <c r="EJ248"/>
  <c r="EL248"/>
  <c r="EJ692"/>
  <c r="EL692" s="1"/>
  <c r="ED59"/>
  <c r="EF59" s="1"/>
  <c r="DX958"/>
  <c r="DZ958" s="1"/>
  <c r="DX832"/>
  <c r="DZ832" s="1"/>
  <c r="DX838"/>
  <c r="DZ838" s="1"/>
  <c r="DX670"/>
  <c r="DZ670" s="1"/>
  <c r="DX638"/>
  <c r="DZ638" s="1"/>
  <c r="DX592"/>
  <c r="DZ592" s="1"/>
  <c r="DX483"/>
  <c r="DZ483" s="1"/>
  <c r="DX378"/>
  <c r="DZ378" s="1"/>
  <c r="DX366"/>
  <c r="DZ366" s="1"/>
  <c r="DX243"/>
  <c r="DZ243"/>
  <c r="DX182"/>
  <c r="DZ182" s="1"/>
  <c r="DX137"/>
  <c r="DZ137" s="1"/>
  <c r="DX80"/>
  <c r="DZ80" s="1"/>
  <c r="DR816"/>
  <c r="DT816"/>
  <c r="DR801"/>
  <c r="DT801" s="1"/>
  <c r="DR759"/>
  <c r="DT759" s="1"/>
  <c r="DR699"/>
  <c r="DT699" s="1"/>
  <c r="DR657"/>
  <c r="DT657"/>
  <c r="DR590"/>
  <c r="DT590" s="1"/>
  <c r="DR531"/>
  <c r="DT531" s="1"/>
  <c r="DR502"/>
  <c r="DT502" s="1"/>
  <c r="DR464"/>
  <c r="DT464" s="1"/>
  <c r="DR423"/>
  <c r="DT423" s="1"/>
  <c r="DR356"/>
  <c r="DT356" s="1"/>
  <c r="DR303"/>
  <c r="DT303" s="1"/>
  <c r="AL65" i="5"/>
  <c r="DR273" i="4"/>
  <c r="DT273" s="1"/>
  <c r="DR206"/>
  <c r="DT206" s="1"/>
  <c r="DL42"/>
  <c r="DN42" s="1"/>
  <c r="AK61" i="5"/>
  <c r="DF976" i="4"/>
  <c r="DH976" s="1"/>
  <c r="DF939"/>
  <c r="DH939"/>
  <c r="DR88"/>
  <c r="DT88" s="1"/>
  <c r="EJ143"/>
  <c r="EL143"/>
  <c r="EJ74"/>
  <c r="EL74" s="1"/>
  <c r="EJ359"/>
  <c r="EL359"/>
  <c r="EJ567"/>
  <c r="EL567" s="1"/>
  <c r="EJ87"/>
  <c r="EL87"/>
  <c r="EJ212"/>
  <c r="EL212" s="1"/>
  <c r="DX321"/>
  <c r="DZ321"/>
  <c r="DR108"/>
  <c r="DT108" s="1"/>
  <c r="ED54"/>
  <c r="EF54"/>
  <c r="AO33" i="5"/>
  <c r="DX934" i="4"/>
  <c r="DZ934" s="1"/>
  <c r="DX839"/>
  <c r="DZ839"/>
  <c r="DX792"/>
  <c r="DZ792" s="1"/>
  <c r="DX706"/>
  <c r="DZ706" s="1"/>
  <c r="DX646"/>
  <c r="DZ646" s="1"/>
  <c r="DX542"/>
  <c r="DZ542"/>
  <c r="DX500"/>
  <c r="DZ500" s="1"/>
  <c r="DX386"/>
  <c r="DZ386"/>
  <c r="DX270"/>
  <c r="DZ270" s="1"/>
  <c r="DX219"/>
  <c r="DZ219"/>
  <c r="DX189"/>
  <c r="DZ189" s="1"/>
  <c r="DX167"/>
  <c r="DZ167" s="1"/>
  <c r="DX74"/>
  <c r="DZ74" s="1"/>
  <c r="DR821"/>
  <c r="DT821" s="1"/>
  <c r="DR773"/>
  <c r="DT773" s="1"/>
  <c r="DR728"/>
  <c r="DT728"/>
  <c r="DR685"/>
  <c r="DT685" s="1"/>
  <c r="DR628"/>
  <c r="DT628"/>
  <c r="DR591"/>
  <c r="DT591" s="1"/>
  <c r="DR535"/>
  <c r="DT535" s="1"/>
  <c r="DR508"/>
  <c r="DT508" s="1"/>
  <c r="DR428"/>
  <c r="DT428"/>
  <c r="DR427"/>
  <c r="DT427" s="1"/>
  <c r="DR361"/>
  <c r="DT361"/>
  <c r="DR318"/>
  <c r="DT318" s="1"/>
  <c r="DR279"/>
  <c r="DT279"/>
  <c r="DR243"/>
  <c r="DT243" s="1"/>
  <c r="DR210"/>
  <c r="DT210" s="1"/>
  <c r="DL30"/>
  <c r="DN30" s="1"/>
  <c r="DL15"/>
  <c r="DN15" s="1"/>
  <c r="DF977"/>
  <c r="DH977" s="1"/>
  <c r="DF906"/>
  <c r="DH906"/>
  <c r="DR130"/>
  <c r="DT130" s="1"/>
  <c r="EJ373"/>
  <c r="EL373"/>
  <c r="EJ535"/>
  <c r="EL535" s="1"/>
  <c r="DR170"/>
  <c r="DT170" s="1"/>
  <c r="EJ660"/>
  <c r="EL660" s="1"/>
  <c r="EJ566"/>
  <c r="EL566"/>
  <c r="EJ189"/>
  <c r="EL189" s="1"/>
  <c r="DF21"/>
  <c r="DH21"/>
  <c r="EJ231"/>
  <c r="EL231" s="1"/>
  <c r="ED32"/>
  <c r="EF32"/>
  <c r="DR186"/>
  <c r="DT186" s="1"/>
  <c r="EJ688"/>
  <c r="EL688" s="1"/>
  <c r="ED57"/>
  <c r="EF57" s="1"/>
  <c r="AO36" i="5"/>
  <c r="DX946" i="4"/>
  <c r="DZ946" s="1"/>
  <c r="DX885"/>
  <c r="DZ885"/>
  <c r="DX827"/>
  <c r="DZ827" s="1"/>
  <c r="DX796"/>
  <c r="DZ796" s="1"/>
  <c r="DX693"/>
  <c r="DZ693" s="1"/>
  <c r="DX662"/>
  <c r="DZ662"/>
  <c r="DX615"/>
  <c r="DZ615" s="1"/>
  <c r="DX548"/>
  <c r="DZ548"/>
  <c r="DX494"/>
  <c r="DZ494" s="1"/>
  <c r="DX371"/>
  <c r="DZ371"/>
  <c r="DX414"/>
  <c r="DZ414" s="1"/>
  <c r="DX277"/>
  <c r="DZ277" s="1"/>
  <c r="DX222"/>
  <c r="DZ222" s="1"/>
  <c r="DX209"/>
  <c r="DZ209" s="1"/>
  <c r="DX123"/>
  <c r="DZ123" s="1"/>
  <c r="DX109"/>
  <c r="DZ109"/>
  <c r="DX93"/>
  <c r="DZ93" s="1"/>
  <c r="DX36"/>
  <c r="DZ36"/>
  <c r="DR813"/>
  <c r="DT813" s="1"/>
  <c r="DR777"/>
  <c r="DT777" s="1"/>
  <c r="DR767"/>
  <c r="DT767" s="1"/>
  <c r="DR706"/>
  <c r="DT706"/>
  <c r="DR674"/>
  <c r="DT674" s="1"/>
  <c r="DR632"/>
  <c r="DT632"/>
  <c r="DR598"/>
  <c r="DT598" s="1"/>
  <c r="DR550"/>
  <c r="DT550"/>
  <c r="DR583"/>
  <c r="DT583" s="1"/>
  <c r="DR515"/>
  <c r="DT515" s="1"/>
  <c r="DR475"/>
  <c r="DT475" s="1"/>
  <c r="DR446"/>
  <c r="DT446" s="1"/>
  <c r="DR385"/>
  <c r="DT385" s="1"/>
  <c r="DR369"/>
  <c r="DT369"/>
  <c r="DR311"/>
  <c r="DT311" s="1"/>
  <c r="DR296"/>
  <c r="DT296"/>
  <c r="DR248"/>
  <c r="DT248" s="1"/>
  <c r="DR216"/>
  <c r="DT216" s="1"/>
  <c r="DL50"/>
  <c r="DN50" s="1"/>
  <c r="DF1052"/>
  <c r="DH1052"/>
  <c r="DF944"/>
  <c r="DH944" s="1"/>
  <c r="DF762"/>
  <c r="DH762"/>
  <c r="EJ453"/>
  <c r="EL453" s="1"/>
  <c r="EJ569"/>
  <c r="EL569"/>
  <c r="EJ26"/>
  <c r="EL26" s="1"/>
  <c r="EJ115"/>
  <c r="EL115" s="1"/>
  <c r="EJ595"/>
  <c r="EL595" s="1"/>
  <c r="EJ140"/>
  <c r="EL140" s="1"/>
  <c r="EJ188"/>
  <c r="EL188" s="1"/>
  <c r="EJ392"/>
  <c r="EL392"/>
  <c r="EJ18"/>
  <c r="EL18" s="1"/>
  <c r="EJ654"/>
  <c r="EL654"/>
  <c r="EJ396"/>
  <c r="EL396" s="1"/>
  <c r="DX327"/>
  <c r="DZ327" s="1"/>
  <c r="DR151"/>
  <c r="DT151" s="1"/>
  <c r="EJ686"/>
  <c r="EL686"/>
  <c r="ED56"/>
  <c r="EF56" s="1"/>
  <c r="ED12"/>
  <c r="EF12"/>
  <c r="DX888"/>
  <c r="DZ888" s="1"/>
  <c r="DX790"/>
  <c r="DZ790"/>
  <c r="DX766"/>
  <c r="DZ766" s="1"/>
  <c r="DX757"/>
  <c r="DZ757" s="1"/>
  <c r="DX691"/>
  <c r="DZ691" s="1"/>
  <c r="DX607"/>
  <c r="DZ607" s="1"/>
  <c r="DX547"/>
  <c r="DZ547" s="1"/>
  <c r="DX506"/>
  <c r="DZ506"/>
  <c r="AN59" i="5"/>
  <c r="DX437" i="4"/>
  <c r="DZ437" s="1"/>
  <c r="DX344"/>
  <c r="DZ344"/>
  <c r="DX382"/>
  <c r="DZ382" s="1"/>
  <c r="DX267"/>
  <c r="DZ267"/>
  <c r="DX217"/>
  <c r="DZ217" s="1"/>
  <c r="DX158"/>
  <c r="DZ158" s="1"/>
  <c r="DX150"/>
  <c r="DZ150" s="1"/>
  <c r="DX101"/>
  <c r="DZ101"/>
  <c r="DX13"/>
  <c r="DZ13" s="1"/>
  <c r="DR827"/>
  <c r="DT827"/>
  <c r="DR780"/>
  <c r="DT780" s="1"/>
  <c r="DR766"/>
  <c r="DT766"/>
  <c r="DR705"/>
  <c r="DT705" s="1"/>
  <c r="DR694"/>
  <c r="DT694" s="1"/>
  <c r="DR619"/>
  <c r="DT619" s="1"/>
  <c r="DR638"/>
  <c r="DT638" s="1"/>
  <c r="DR593"/>
  <c r="DT593" s="1"/>
  <c r="DR566"/>
  <c r="DT566"/>
  <c r="DR517"/>
  <c r="DT517" s="1"/>
  <c r="DR484"/>
  <c r="DT484"/>
  <c r="DR425"/>
  <c r="DT425" s="1"/>
  <c r="DR389"/>
  <c r="DT389" s="1"/>
  <c r="DR329"/>
  <c r="DT329" s="1"/>
  <c r="AL30" i="5"/>
  <c r="DR315" i="4"/>
  <c r="DT315" s="1"/>
  <c r="DR300"/>
  <c r="DT300"/>
  <c r="DR252"/>
  <c r="DT252" s="1"/>
  <c r="DR203"/>
  <c r="DT203" s="1"/>
  <c r="DL54"/>
  <c r="DN54" s="1"/>
  <c r="DF1051"/>
  <c r="DH1051"/>
  <c r="DF908"/>
  <c r="DH908" s="1"/>
  <c r="DF16"/>
  <c r="DH16"/>
  <c r="EJ667"/>
  <c r="EL667" s="1"/>
  <c r="DX1000"/>
  <c r="DZ1000"/>
  <c r="EJ210"/>
  <c r="EL210" s="1"/>
  <c r="DR127"/>
  <c r="DT127" s="1"/>
  <c r="EJ309"/>
  <c r="EL309" s="1"/>
  <c r="EJ94"/>
  <c r="EL94"/>
  <c r="ED83"/>
  <c r="EF83" s="1"/>
  <c r="DX859"/>
  <c r="DZ859"/>
  <c r="EJ101"/>
  <c r="EL101" s="1"/>
  <c r="EJ507"/>
  <c r="EL507"/>
  <c r="DR132"/>
  <c r="DT132" s="1"/>
  <c r="EJ187"/>
  <c r="EL187" s="1"/>
  <c r="EJ401"/>
  <c r="EL401" s="1"/>
  <c r="EJ35"/>
  <c r="EL35" s="1"/>
  <c r="EJ538"/>
  <c r="EL538" s="1"/>
  <c r="EJ25"/>
  <c r="EL25"/>
  <c r="DX337"/>
  <c r="DZ337" s="1"/>
  <c r="DR159"/>
  <c r="DT159"/>
  <c r="EJ691"/>
  <c r="EL691" s="1"/>
  <c r="ED60"/>
  <c r="EF60" s="1"/>
  <c r="AO39" i="5"/>
  <c r="ED22" i="4"/>
  <c r="EF22" s="1"/>
  <c r="DX898"/>
  <c r="DZ898" s="1"/>
  <c r="DX798"/>
  <c r="DZ798" s="1"/>
  <c r="DX774"/>
  <c r="DZ774"/>
  <c r="AN61" i="5"/>
  <c r="DX761" i="4"/>
  <c r="DZ761"/>
  <c r="DX695"/>
  <c r="DZ695" s="1"/>
  <c r="DX625"/>
  <c r="DZ625"/>
  <c r="DX549"/>
  <c r="DZ549" s="1"/>
  <c r="DX529"/>
  <c r="DZ529"/>
  <c r="DX444"/>
  <c r="DZ444" s="1"/>
  <c r="DX351"/>
  <c r="DZ351"/>
  <c r="DX388"/>
  <c r="DZ388" s="1"/>
  <c r="DX275"/>
  <c r="DZ275"/>
  <c r="DX221"/>
  <c r="DZ221" s="1"/>
  <c r="DX160"/>
  <c r="DZ160"/>
  <c r="DX154"/>
  <c r="DZ154" s="1"/>
  <c r="DX105"/>
  <c r="DZ105"/>
  <c r="DX20"/>
  <c r="DZ20" s="1"/>
  <c r="DR832"/>
  <c r="DT832"/>
  <c r="DR784"/>
  <c r="DT784" s="1"/>
  <c r="DR770"/>
  <c r="DT770"/>
  <c r="DR709"/>
  <c r="DT709" s="1"/>
  <c r="DR697"/>
  <c r="DT697"/>
  <c r="DR623"/>
  <c r="DT623" s="1"/>
  <c r="DR642"/>
  <c r="DT642"/>
  <c r="DR597"/>
  <c r="DT597" s="1"/>
  <c r="DR570"/>
  <c r="DT570"/>
  <c r="DR521"/>
  <c r="DT521" s="1"/>
  <c r="DR490"/>
  <c r="DT490"/>
  <c r="DR429"/>
  <c r="DT429" s="1"/>
  <c r="DR405"/>
  <c r="DT405"/>
  <c r="DR328"/>
  <c r="DT328" s="1"/>
  <c r="DR309"/>
  <c r="DT309"/>
  <c r="DR291"/>
  <c r="DT291" s="1"/>
  <c r="DR257"/>
  <c r="DT257"/>
  <c r="DR224"/>
  <c r="DT224" s="1"/>
  <c r="DL37"/>
  <c r="DN37"/>
  <c r="AK39" i="5"/>
  <c r="DL34" i="4"/>
  <c r="DN34" s="1"/>
  <c r="AK59" i="5"/>
  <c r="DF950" i="4"/>
  <c r="DH950"/>
  <c r="DF764"/>
  <c r="DH764"/>
  <c r="EJ219"/>
  <c r="EL219"/>
  <c r="AP73" i="5"/>
  <c r="EJ648" i="4"/>
  <c r="EL648"/>
  <c r="EJ434"/>
  <c r="EL434" s="1"/>
  <c r="EJ405"/>
  <c r="EL405"/>
  <c r="EJ568"/>
  <c r="EL568" s="1"/>
  <c r="EJ512"/>
  <c r="EL512" s="1"/>
  <c r="EJ86"/>
  <c r="EL86" s="1"/>
  <c r="EJ327"/>
  <c r="EL327"/>
  <c r="DF960"/>
  <c r="DH960" s="1"/>
  <c r="EJ383"/>
  <c r="EL383"/>
  <c r="EJ60"/>
  <c r="EL60" s="1"/>
  <c r="DR181"/>
  <c r="DT181"/>
  <c r="DR81"/>
  <c r="DT81" s="1"/>
  <c r="ED80"/>
  <c r="EF80" s="1"/>
  <c r="ED38"/>
  <c r="EF38" s="1"/>
  <c r="DX937"/>
  <c r="DZ937" s="1"/>
  <c r="DX877"/>
  <c r="DZ877" s="1"/>
  <c r="DX800"/>
  <c r="DZ800"/>
  <c r="DX775"/>
  <c r="DZ775" s="1"/>
  <c r="DX668"/>
  <c r="DZ668"/>
  <c r="DX663"/>
  <c r="DZ663" s="1"/>
  <c r="DX599"/>
  <c r="DZ599" s="1"/>
  <c r="DX578"/>
  <c r="DZ578" s="1"/>
  <c r="DX495"/>
  <c r="DZ495"/>
  <c r="DX467"/>
  <c r="DZ467" s="1"/>
  <c r="DX387"/>
  <c r="DZ387"/>
  <c r="DX291"/>
  <c r="DZ291" s="1"/>
  <c r="DX233"/>
  <c r="DZ233"/>
  <c r="DX180"/>
  <c r="DZ180" s="1"/>
  <c r="DX161"/>
  <c r="DZ161" s="1"/>
  <c r="DX147"/>
  <c r="DZ147" s="1"/>
  <c r="DX107"/>
  <c r="DZ107"/>
  <c r="DX31"/>
  <c r="DZ31" s="1"/>
  <c r="DR808"/>
  <c r="DT808"/>
  <c r="DR768"/>
  <c r="DT768" s="1"/>
  <c r="DR747"/>
  <c r="DT747"/>
  <c r="DR723"/>
  <c r="DT723" s="1"/>
  <c r="DR675"/>
  <c r="DT675" s="1"/>
  <c r="DR662"/>
  <c r="DT662" s="1"/>
  <c r="DR607"/>
  <c r="DT607"/>
  <c r="DR530"/>
  <c r="DT530" s="1"/>
  <c r="DR563"/>
  <c r="DT563"/>
  <c r="DR512"/>
  <c r="DT512" s="1"/>
  <c r="DR448"/>
  <c r="DT448"/>
  <c r="DR422"/>
  <c r="DT422" s="1"/>
  <c r="DR386"/>
  <c r="DT386" s="1"/>
  <c r="DR373"/>
  <c r="DT373" s="1"/>
  <c r="DR316"/>
  <c r="DT316" s="1"/>
  <c r="DR276"/>
  <c r="DT276" s="1"/>
  <c r="DR226"/>
  <c r="DT226"/>
  <c r="DR213"/>
  <c r="DT213" s="1"/>
  <c r="DL14"/>
  <c r="DN14"/>
  <c r="DF965"/>
  <c r="DH965" s="1"/>
  <c r="DF927"/>
  <c r="DH927" s="1"/>
  <c r="DF14"/>
  <c r="DH14" s="1"/>
  <c r="DF204"/>
  <c r="DH204"/>
  <c r="EJ484"/>
  <c r="EL484" s="1"/>
  <c r="DX993"/>
  <c r="DZ993"/>
  <c r="DR20"/>
  <c r="DT20" s="1"/>
  <c r="EJ222"/>
  <c r="EL222"/>
  <c r="ED73"/>
  <c r="EF73" s="1"/>
  <c r="DX630"/>
  <c r="DZ630" s="1"/>
  <c r="DX135"/>
  <c r="DZ135" s="1"/>
  <c r="DR691"/>
  <c r="DT691"/>
  <c r="DR414"/>
  <c r="DT414" s="1"/>
  <c r="DF925"/>
  <c r="DH925"/>
  <c r="EJ520"/>
  <c r="EL520" s="1"/>
  <c r="DX821"/>
  <c r="DZ821"/>
  <c r="DX368"/>
  <c r="DZ368" s="1"/>
  <c r="DR740"/>
  <c r="DT740" s="1"/>
  <c r="DR466"/>
  <c r="DT466" s="1"/>
  <c r="DR217"/>
  <c r="DT217"/>
  <c r="EJ427"/>
  <c r="EL427" s="1"/>
  <c r="DR76"/>
  <c r="DT76"/>
  <c r="DX657"/>
  <c r="DZ657" s="1"/>
  <c r="DX181"/>
  <c r="DZ181"/>
  <c r="DR727"/>
  <c r="DT727" s="1"/>
  <c r="DR426"/>
  <c r="DT426" s="1"/>
  <c r="DF928"/>
  <c r="DH928" s="1"/>
  <c r="EJ498"/>
  <c r="EL498" s="1"/>
  <c r="EJ510"/>
  <c r="EL510" s="1"/>
  <c r="EJ66"/>
  <c r="EL66"/>
  <c r="EJ242"/>
  <c r="EL242" s="1"/>
  <c r="DX319"/>
  <c r="DZ319"/>
  <c r="ED29"/>
  <c r="EF29" s="1"/>
  <c r="EJ83"/>
  <c r="EL83" s="1"/>
  <c r="EJ49"/>
  <c r="EL49" s="1"/>
  <c r="DX974"/>
  <c r="DZ974"/>
  <c r="AN73" i="5"/>
  <c r="EJ317" i="4"/>
  <c r="EL317"/>
  <c r="EJ99"/>
  <c r="EL99" s="1"/>
  <c r="EJ518"/>
  <c r="EL518"/>
  <c r="DR121"/>
  <c r="DT121" s="1"/>
  <c r="EJ616"/>
  <c r="EL616"/>
  <c r="DF1454"/>
  <c r="DH1454" s="1"/>
  <c r="DF1190"/>
  <c r="DH1190"/>
  <c r="DF818"/>
  <c r="DH818" s="1"/>
  <c r="DF589"/>
  <c r="DH589"/>
  <c r="DF1327"/>
  <c r="DH1327" s="1"/>
  <c r="DF1083"/>
  <c r="DH1083"/>
  <c r="DF720"/>
  <c r="DH720" s="1"/>
  <c r="DF510"/>
  <c r="DH510"/>
  <c r="DF1326"/>
  <c r="DH1326" s="1"/>
  <c r="DF1074"/>
  <c r="DH1074"/>
  <c r="DF719"/>
  <c r="DH719" s="1"/>
  <c r="DF1649"/>
  <c r="DH1649"/>
  <c r="DF1252"/>
  <c r="DH1252" s="1"/>
  <c r="DF1042"/>
  <c r="DH1042"/>
  <c r="DF709"/>
  <c r="DH709" s="1"/>
  <c r="DF1546"/>
  <c r="DH1546"/>
  <c r="DF1283"/>
  <c r="DH1283" s="1"/>
  <c r="DF1004"/>
  <c r="DH1004"/>
  <c r="DF615"/>
  <c r="DH615" s="1"/>
  <c r="DF1545"/>
  <c r="DH1545"/>
  <c r="DF1282"/>
  <c r="DH1282" s="1"/>
  <c r="DF1011"/>
  <c r="DH1011"/>
  <c r="DF622"/>
  <c r="DH622" s="1"/>
  <c r="DF1661"/>
  <c r="DH1661"/>
  <c r="DF1249"/>
  <c r="DH1249" s="1"/>
  <c r="DF1031"/>
  <c r="DH1031"/>
  <c r="DF1677"/>
  <c r="DH1677" s="1"/>
  <c r="DF1077"/>
  <c r="DH1077"/>
  <c r="DF674"/>
  <c r="DH674" s="1"/>
  <c r="DF485"/>
  <c r="DH485"/>
  <c r="AJ67" i="5"/>
  <c r="AS67" s="1"/>
  <c r="AV67"/>
  <c r="AU67"/>
  <c r="DF416" i="4"/>
  <c r="DH416" s="1"/>
  <c r="DF819"/>
  <c r="DH819"/>
  <c r="DF582"/>
  <c r="DH582" s="1"/>
  <c r="DF429"/>
  <c r="DH429"/>
  <c r="DF1093"/>
  <c r="DH1093" s="1"/>
  <c r="DF492"/>
  <c r="DH492"/>
  <c r="DF226"/>
  <c r="DH226" s="1"/>
  <c r="DF103"/>
  <c r="DH103"/>
  <c r="DF332"/>
  <c r="DH332" s="1"/>
  <c r="DF181"/>
  <c r="DH181"/>
  <c r="DF91"/>
  <c r="DH91" s="1"/>
  <c r="DF268"/>
  <c r="DH268"/>
  <c r="DF146"/>
  <c r="DH146" s="1"/>
  <c r="EJ448"/>
  <c r="EL448"/>
  <c r="EJ511"/>
  <c r="EL511" s="1"/>
  <c r="EJ694"/>
  <c r="EL694"/>
  <c r="DX640"/>
  <c r="DZ640" s="1"/>
  <c r="DX186"/>
  <c r="DZ186"/>
  <c r="DR722"/>
  <c r="DT722" s="1"/>
  <c r="DR402"/>
  <c r="DT402"/>
  <c r="DL44"/>
  <c r="DN44" s="1"/>
  <c r="EJ241"/>
  <c r="EL241"/>
  <c r="DR117"/>
  <c r="DT117" s="1"/>
  <c r="ED36"/>
  <c r="EF36"/>
  <c r="DX562"/>
  <c r="DZ562" s="1"/>
  <c r="DX162"/>
  <c r="DZ162"/>
  <c r="DR716"/>
  <c r="DT716" s="1"/>
  <c r="DR415"/>
  <c r="DT415"/>
  <c r="DL25"/>
  <c r="DN25" s="1"/>
  <c r="EJ437"/>
  <c r="EL437"/>
  <c r="DF207"/>
  <c r="DH207" s="1"/>
  <c r="EJ513"/>
  <c r="EL513"/>
  <c r="EJ229"/>
  <c r="EL229" s="1"/>
  <c r="DR142"/>
  <c r="DT142"/>
  <c r="DF1328"/>
  <c r="DH1328" s="1"/>
  <c r="DF810"/>
  <c r="DH810"/>
  <c r="DF1375"/>
  <c r="DH1375" s="1"/>
  <c r="DF642"/>
  <c r="DH642"/>
  <c r="DF1382"/>
  <c r="DH1382" s="1"/>
  <c r="DF792"/>
  <c r="DH792"/>
  <c r="DF1308"/>
  <c r="DH1308" s="1"/>
  <c r="DF547"/>
  <c r="DH547"/>
  <c r="DF1178"/>
  <c r="DH1178" s="1"/>
  <c r="DF562"/>
  <c r="DH562"/>
  <c r="DF1177"/>
  <c r="DH1177" s="1"/>
  <c r="DF553"/>
  <c r="DH553"/>
  <c r="DF1102"/>
  <c r="DH1102" s="1"/>
  <c r="DF612"/>
  <c r="DH612"/>
  <c r="DF489"/>
  <c r="DH489" s="1"/>
  <c r="DF463"/>
  <c r="DH463"/>
  <c r="AJ66" i="5"/>
  <c r="AS66" s="1"/>
  <c r="DF558" i="4"/>
  <c r="DH558" s="1"/>
  <c r="DF420"/>
  <c r="DH420" s="1"/>
  <c r="DF148"/>
  <c r="DH148"/>
  <c r="DF189"/>
  <c r="DH189" s="1"/>
  <c r="DF244"/>
  <c r="DH244"/>
  <c r="DF227"/>
  <c r="DH227" s="1"/>
  <c r="DF38"/>
  <c r="DH38"/>
  <c r="EJ516"/>
  <c r="EL516" s="1"/>
  <c r="DF17"/>
  <c r="DH17" s="1"/>
  <c r="DF231"/>
  <c r="DH231" s="1"/>
  <c r="DF1199"/>
  <c r="DH1199"/>
  <c r="AJ74" i="5"/>
  <c r="DF1564" i="4"/>
  <c r="DH1564" s="1"/>
  <c r="EJ544"/>
  <c r="EL544"/>
  <c r="EJ44"/>
  <c r="EL44" s="1"/>
  <c r="DF123"/>
  <c r="DH123" s="1"/>
  <c r="DF352"/>
  <c r="DH352" s="1"/>
  <c r="DF620"/>
  <c r="DH620" s="1"/>
  <c r="DF787"/>
  <c r="DH787" s="1"/>
  <c r="DF852"/>
  <c r="DH852"/>
  <c r="DF568"/>
  <c r="DH568" s="1"/>
  <c r="DF790"/>
  <c r="DH790"/>
  <c r="DF783"/>
  <c r="DH783" s="1"/>
  <c r="DF894"/>
  <c r="DH894" s="1"/>
  <c r="DF1091"/>
  <c r="DH1091" s="1"/>
  <c r="DF1000"/>
  <c r="DH1000" s="1"/>
  <c r="DR23"/>
  <c r="DT23" s="1"/>
  <c r="EJ674"/>
  <c r="EL674"/>
  <c r="DR137"/>
  <c r="DT137" s="1"/>
  <c r="DF1654"/>
  <c r="DH1654"/>
  <c r="DR31"/>
  <c r="DT31" s="1"/>
  <c r="EJ257"/>
  <c r="EL257" s="1"/>
  <c r="EJ155"/>
  <c r="EL155" s="1"/>
  <c r="EJ128"/>
  <c r="EL128" s="1"/>
  <c r="DR173"/>
  <c r="DT173" s="1"/>
  <c r="ED85"/>
  <c r="EF85"/>
  <c r="DX947"/>
  <c r="DZ947" s="1"/>
  <c r="DX763"/>
  <c r="DZ763"/>
  <c r="DX736"/>
  <c r="DZ736" s="1"/>
  <c r="DX660"/>
  <c r="DZ660" s="1"/>
  <c r="DX597"/>
  <c r="DZ597" s="1"/>
  <c r="DX404"/>
  <c r="DZ404" s="1"/>
  <c r="DX357"/>
  <c r="DZ357" s="1"/>
  <c r="DX240"/>
  <c r="DZ240"/>
  <c r="DX111"/>
  <c r="DZ111" s="1"/>
  <c r="DX73"/>
  <c r="DZ73"/>
  <c r="DR807"/>
  <c r="DT807" s="1"/>
  <c r="DR745"/>
  <c r="DT745" s="1"/>
  <c r="DR696"/>
  <c r="DT696" s="1"/>
  <c r="DR637"/>
  <c r="DT637" s="1"/>
  <c r="DR538"/>
  <c r="DT538" s="1"/>
  <c r="DR500"/>
  <c r="DT500"/>
  <c r="DR445"/>
  <c r="DT445" s="1"/>
  <c r="DR387"/>
  <c r="DT387"/>
  <c r="DR290"/>
  <c r="DT290" s="1"/>
  <c r="DR235"/>
  <c r="DT235" s="1"/>
  <c r="DL52"/>
  <c r="DN52" s="1"/>
  <c r="DF968"/>
  <c r="DH968" s="1"/>
  <c r="DX1001"/>
  <c r="DZ1001" s="1"/>
  <c r="EJ201"/>
  <c r="EL201"/>
  <c r="EJ455"/>
  <c r="EL455" s="1"/>
  <c r="EJ539"/>
  <c r="EL539"/>
  <c r="DX300"/>
  <c r="DZ300" s="1"/>
  <c r="DR143"/>
  <c r="DT143" s="1"/>
  <c r="ED67"/>
  <c r="EF67" s="1"/>
  <c r="DX915"/>
  <c r="DZ915" s="1"/>
  <c r="DX818"/>
  <c r="DZ818" s="1"/>
  <c r="DX726"/>
  <c r="DZ726"/>
  <c r="DX602"/>
  <c r="DZ602" s="1"/>
  <c r="DX527"/>
  <c r="DZ527"/>
  <c r="DX356"/>
  <c r="DZ356" s="1"/>
  <c r="DX262"/>
  <c r="DZ262" s="1"/>
  <c r="DX199"/>
  <c r="DZ199" s="1"/>
  <c r="DX112"/>
  <c r="DZ112" s="1"/>
  <c r="DX55"/>
  <c r="DZ55" s="1"/>
  <c r="DR809"/>
  <c r="DT809"/>
  <c r="DR754"/>
  <c r="DT754" s="1"/>
  <c r="DR679"/>
  <c r="DT679"/>
  <c r="DR659"/>
  <c r="DT659" s="1"/>
  <c r="DR542"/>
  <c r="DT542" s="1"/>
  <c r="DR505"/>
  <c r="DT505" s="1"/>
  <c r="DR412"/>
  <c r="DT412" s="1"/>
  <c r="DR349"/>
  <c r="DT349" s="1"/>
  <c r="DR262"/>
  <c r="DT262"/>
  <c r="DR239"/>
  <c r="DT239" s="1"/>
  <c r="DL24"/>
  <c r="DN24"/>
  <c r="DF972"/>
  <c r="DH972" s="1"/>
  <c r="DF18"/>
  <c r="DH18" s="1"/>
  <c r="EJ500"/>
  <c r="EL500" s="1"/>
  <c r="DR27"/>
  <c r="DT27" s="1"/>
  <c r="EJ669"/>
  <c r="EL669" s="1"/>
  <c r="EJ190"/>
  <c r="EL190"/>
  <c r="EJ281"/>
  <c r="EL281" s="1"/>
  <c r="DR175"/>
  <c r="DT175"/>
  <c r="ED78"/>
  <c r="EF78" s="1"/>
  <c r="DX924"/>
  <c r="DZ924" s="1"/>
  <c r="DX771"/>
  <c r="DZ771" s="1"/>
  <c r="DX678"/>
  <c r="DZ678" s="1"/>
  <c r="DX604"/>
  <c r="DZ604" s="1"/>
  <c r="DX531"/>
  <c r="DZ531"/>
  <c r="DX439"/>
  <c r="DZ439" s="1"/>
  <c r="DX271"/>
  <c r="DZ271"/>
  <c r="DX198"/>
  <c r="DZ198" s="1"/>
  <c r="DX116"/>
  <c r="DZ116" s="1"/>
  <c r="DX44"/>
  <c r="DZ44" s="1"/>
  <c r="DR791"/>
  <c r="DT791" s="1"/>
  <c r="DR763"/>
  <c r="DT763" s="1"/>
  <c r="DR669"/>
  <c r="DT669"/>
  <c r="DR663"/>
  <c r="DT663" s="1"/>
  <c r="DR569"/>
  <c r="DT569"/>
  <c r="DR482"/>
  <c r="DT482" s="1"/>
  <c r="DR441"/>
  <c r="DT441" s="1"/>
  <c r="DR354"/>
  <c r="DT354" s="1"/>
  <c r="DR307"/>
  <c r="DT307" s="1"/>
  <c r="DR260"/>
  <c r="DT260" s="1"/>
  <c r="DR246"/>
  <c r="DT246"/>
  <c r="DL46"/>
  <c r="DN46" s="1"/>
  <c r="DF979"/>
  <c r="DH979"/>
  <c r="DF937"/>
  <c r="DH937" s="1"/>
  <c r="EJ91"/>
  <c r="EL91" s="1"/>
  <c r="EJ288"/>
  <c r="EL288" s="1"/>
  <c r="DX967"/>
  <c r="DZ967" s="1"/>
  <c r="EJ153"/>
  <c r="EL153" s="1"/>
  <c r="EJ377"/>
  <c r="EL377"/>
  <c r="DF919"/>
  <c r="DH919" s="1"/>
  <c r="EJ247"/>
  <c r="EL247"/>
  <c r="DX324"/>
  <c r="DZ324" s="1"/>
  <c r="DR60"/>
  <c r="DT60" s="1"/>
  <c r="ED43"/>
  <c r="EF43" s="1"/>
  <c r="DX930"/>
  <c r="DZ930" s="1"/>
  <c r="DX787"/>
  <c r="DZ787" s="1"/>
  <c r="DX754"/>
  <c r="DZ754"/>
  <c r="DX725"/>
  <c r="DZ725" s="1"/>
  <c r="DX600"/>
  <c r="DZ600"/>
  <c r="DX560"/>
  <c r="DZ560" s="1"/>
  <c r="DX482"/>
  <c r="DZ482" s="1"/>
  <c r="DX468"/>
  <c r="DZ468" s="1"/>
  <c r="DX273"/>
  <c r="DZ273" s="1"/>
  <c r="DX220"/>
  <c r="DZ220" s="1"/>
  <c r="DX152"/>
  <c r="DZ152"/>
  <c r="DX134"/>
  <c r="DZ134" s="1"/>
  <c r="DX42"/>
  <c r="DZ42"/>
  <c r="DR822"/>
  <c r="DT822" s="1"/>
  <c r="DR756"/>
  <c r="DT756" s="1"/>
  <c r="DR733"/>
  <c r="DT733" s="1"/>
  <c r="DR689"/>
  <c r="DT689" s="1"/>
  <c r="DR650"/>
  <c r="DT650" s="1"/>
  <c r="DR592"/>
  <c r="DT592"/>
  <c r="DR562"/>
  <c r="DT562" s="1"/>
  <c r="DR487"/>
  <c r="DT487"/>
  <c r="DR457"/>
  <c r="DT457" s="1"/>
  <c r="DR396"/>
  <c r="DT396" s="1"/>
  <c r="DR357"/>
  <c r="DT357" s="1"/>
  <c r="DR270"/>
  <c r="DT270" s="1"/>
  <c r="DR247"/>
  <c r="DT247" s="1"/>
  <c r="DR193"/>
  <c r="DT193"/>
  <c r="DL17"/>
  <c r="DN17" s="1"/>
  <c r="DF981"/>
  <c r="DH981"/>
  <c r="DF12"/>
  <c r="DH12" s="1"/>
  <c r="EJ277"/>
  <c r="EL277" s="1"/>
  <c r="DX966"/>
  <c r="DZ966" s="1"/>
  <c r="EJ632"/>
  <c r="EL632" s="1"/>
  <c r="EJ292"/>
  <c r="EL292" s="1"/>
  <c r="DF25"/>
  <c r="DH25"/>
  <c r="EJ299"/>
  <c r="EL299" s="1"/>
  <c r="DX295"/>
  <c r="DZ295"/>
  <c r="DR55"/>
  <c r="DT55" s="1"/>
  <c r="ED69"/>
  <c r="EF69" s="1"/>
  <c r="AO42" i="5"/>
  <c r="DX957" i="4"/>
  <c r="DZ957" s="1"/>
  <c r="DX864"/>
  <c r="DZ864" s="1"/>
  <c r="DX828"/>
  <c r="DZ828"/>
  <c r="DX697"/>
  <c r="DZ697" s="1"/>
  <c r="DX648"/>
  <c r="DZ648"/>
  <c r="DX595"/>
  <c r="DZ595" s="1"/>
  <c r="DX498"/>
  <c r="DZ498" s="1"/>
  <c r="DX452"/>
  <c r="DZ452" s="1"/>
  <c r="DX436"/>
  <c r="DZ436" s="1"/>
  <c r="DX226"/>
  <c r="DZ226" s="1"/>
  <c r="DX214"/>
  <c r="DZ214"/>
  <c r="DX124"/>
  <c r="DZ124" s="1"/>
  <c r="DX102"/>
  <c r="DZ102"/>
  <c r="DX17"/>
  <c r="DZ17" s="1"/>
  <c r="DR790"/>
  <c r="DT790" s="1"/>
  <c r="DR771"/>
  <c r="DT771" s="1"/>
  <c r="DR715"/>
  <c r="DT715" s="1"/>
  <c r="DR652"/>
  <c r="DT652" s="1"/>
  <c r="DR602"/>
  <c r="DT602"/>
  <c r="DR577"/>
  <c r="DT577" s="1"/>
  <c r="DR513"/>
  <c r="DT513"/>
  <c r="DR480"/>
  <c r="DT480" s="1"/>
  <c r="DR413"/>
  <c r="DT413" s="1"/>
  <c r="DR372"/>
  <c r="DT372" s="1"/>
  <c r="DR308"/>
  <c r="DT308" s="1"/>
  <c r="DR285"/>
  <c r="DT285" s="1"/>
  <c r="DR219"/>
  <c r="DT219"/>
  <c r="DL47"/>
  <c r="DN47" s="1"/>
  <c r="DF952"/>
  <c r="DH952"/>
  <c r="DF760"/>
  <c r="DH760" s="1"/>
  <c r="DF209"/>
  <c r="DH209" s="1"/>
  <c r="EJ456"/>
  <c r="EL456" s="1"/>
  <c r="EJ209"/>
  <c r="EL209" s="1"/>
  <c r="EJ36"/>
  <c r="EL36" s="1"/>
  <c r="DR152"/>
  <c r="DT152"/>
  <c r="DX914"/>
  <c r="DZ914" s="1"/>
  <c r="EJ420"/>
  <c r="EL420"/>
  <c r="EJ295"/>
  <c r="EL295" s="1"/>
  <c r="EJ211"/>
  <c r="EL211" s="1"/>
  <c r="EJ617"/>
  <c r="EL617" s="1"/>
  <c r="EJ310"/>
  <c r="EL310" s="1"/>
  <c r="DF24"/>
  <c r="DH24" s="1"/>
  <c r="EJ366"/>
  <c r="EL366"/>
  <c r="DX298"/>
  <c r="DZ298" s="1"/>
  <c r="DR66"/>
  <c r="DT66"/>
  <c r="ED68"/>
  <c r="EF68" s="1"/>
  <c r="DX939"/>
  <c r="DZ939" s="1"/>
  <c r="DX873"/>
  <c r="DZ873" s="1"/>
  <c r="DX835"/>
  <c r="DZ835" s="1"/>
  <c r="DX704"/>
  <c r="DZ704" s="1"/>
  <c r="DX659"/>
  <c r="DZ659"/>
  <c r="DX538"/>
  <c r="DZ538" s="1"/>
  <c r="DX514"/>
  <c r="DZ514"/>
  <c r="DX463"/>
  <c r="DZ463" s="1"/>
  <c r="DX442"/>
  <c r="DZ442" s="1"/>
  <c r="DX230"/>
  <c r="DZ230" s="1"/>
  <c r="DX172"/>
  <c r="DZ172" s="1"/>
  <c r="DX129"/>
  <c r="DZ129" s="1"/>
  <c r="DX106"/>
  <c r="DZ106"/>
  <c r="DR798"/>
  <c r="DT798" s="1"/>
  <c r="DR738"/>
  <c r="DT738"/>
  <c r="DR719"/>
  <c r="DT719" s="1"/>
  <c r="DR656"/>
  <c r="DT656" s="1"/>
  <c r="DR606"/>
  <c r="DT606" s="1"/>
  <c r="EJ194"/>
  <c r="EL194" s="1"/>
  <c r="EJ438"/>
  <c r="EL438" s="1"/>
  <c r="EJ274"/>
  <c r="EL274"/>
  <c r="DF1676"/>
  <c r="DH1676" s="1"/>
  <c r="DF904"/>
  <c r="DH904"/>
  <c r="DF1437"/>
  <c r="DH1437" s="1"/>
  <c r="DF1007"/>
  <c r="DH1007" s="1"/>
  <c r="DF1436"/>
  <c r="DH1436" s="1"/>
  <c r="DF784"/>
  <c r="DH784" s="1"/>
  <c r="DF1325"/>
  <c r="DH1325" s="1"/>
  <c r="DF693"/>
  <c r="DH693"/>
  <c r="DF1356"/>
  <c r="DH1356" s="1"/>
  <c r="DF692"/>
  <c r="DH692"/>
  <c r="DF1169"/>
  <c r="DH1169" s="1"/>
  <c r="DF707"/>
  <c r="DH707" s="1"/>
  <c r="DF1322"/>
  <c r="DH1322" s="1"/>
  <c r="DF1659"/>
  <c r="DH1659" s="1"/>
  <c r="DF479"/>
  <c r="DH479" s="1"/>
  <c r="DF499"/>
  <c r="DH499"/>
  <c r="DF422"/>
  <c r="DH422" s="1"/>
  <c r="DF1167"/>
  <c r="DH1167"/>
  <c r="DF254"/>
  <c r="DH254" s="1"/>
  <c r="DF253"/>
  <c r="DH253" s="1"/>
  <c r="DF240"/>
  <c r="DH240" s="1"/>
  <c r="DF298"/>
  <c r="DH298" s="1"/>
  <c r="DF69"/>
  <c r="DH69" s="1"/>
  <c r="EJ562"/>
  <c r="EL562"/>
  <c r="DF993"/>
  <c r="DH993" s="1"/>
  <c r="DF1563"/>
  <c r="DH1563"/>
  <c r="DF1422"/>
  <c r="DH1422" s="1"/>
  <c r="EJ352"/>
  <c r="EL352" s="1"/>
  <c r="DF251"/>
  <c r="DH251" s="1"/>
  <c r="DF277"/>
  <c r="DH277" s="1"/>
  <c r="DF468"/>
  <c r="DH468" s="1"/>
  <c r="DF447"/>
  <c r="DH447"/>
  <c r="DF411"/>
  <c r="DH411" s="1"/>
  <c r="DF1571"/>
  <c r="DH1571"/>
  <c r="DF1608"/>
  <c r="DH1608" s="1"/>
  <c r="DF648"/>
  <c r="DH648" s="1"/>
  <c r="DF1565"/>
  <c r="DH1565" s="1"/>
  <c r="DF525"/>
  <c r="DH525" s="1"/>
  <c r="DF778"/>
  <c r="DH778" s="1"/>
  <c r="EJ501"/>
  <c r="EL501"/>
  <c r="DR112"/>
  <c r="DT112" s="1"/>
  <c r="EJ341"/>
  <c r="EL341"/>
  <c r="DX479"/>
  <c r="DZ479" s="1"/>
  <c r="EJ202"/>
  <c r="EL202" s="1"/>
  <c r="EJ564"/>
  <c r="EL564" s="1"/>
  <c r="EJ343"/>
  <c r="EL343" s="1"/>
  <c r="EJ519"/>
  <c r="EL519" s="1"/>
  <c r="DX312"/>
  <c r="DZ312"/>
  <c r="EJ681"/>
  <c r="EL681" s="1"/>
  <c r="ED25"/>
  <c r="EF25"/>
  <c r="DX867"/>
  <c r="DZ867" s="1"/>
  <c r="DX786"/>
  <c r="DZ786" s="1"/>
  <c r="DX729"/>
  <c r="DZ729" s="1"/>
  <c r="DX589"/>
  <c r="DZ589" s="1"/>
  <c r="DX493"/>
  <c r="DZ493" s="1"/>
  <c r="DX398"/>
  <c r="DZ398"/>
  <c r="DX239"/>
  <c r="DZ239" s="1"/>
  <c r="DX140"/>
  <c r="DZ140"/>
  <c r="DX122"/>
  <c r="DZ122" s="1"/>
  <c r="DR825"/>
  <c r="DT825" s="1"/>
  <c r="DR744"/>
  <c r="DT744" s="1"/>
  <c r="DR731"/>
  <c r="DT731" s="1"/>
  <c r="DR620"/>
  <c r="DT620" s="1"/>
  <c r="DR609"/>
  <c r="DT609"/>
  <c r="DR537"/>
  <c r="DT537" s="1"/>
  <c r="DR420"/>
  <c r="DT420"/>
  <c r="DR394"/>
  <c r="DT394" s="1"/>
  <c r="DR322"/>
  <c r="DT322" s="1"/>
  <c r="DR269"/>
  <c r="DT269" s="1"/>
  <c r="DR192"/>
  <c r="DT192" s="1"/>
  <c r="DF974"/>
  <c r="DH974" s="1"/>
  <c r="DF15"/>
  <c r="DH15"/>
  <c r="EJ158"/>
  <c r="EL158" s="1"/>
  <c r="EJ658"/>
  <c r="EL658"/>
  <c r="EJ550"/>
  <c r="EL550" s="1"/>
  <c r="DF958"/>
  <c r="DH958" s="1"/>
  <c r="EJ230"/>
  <c r="EL230" s="1"/>
  <c r="DR154"/>
  <c r="DT154" s="1"/>
  <c r="ED90"/>
  <c r="EF90" s="1"/>
  <c r="DX972"/>
  <c r="DZ972"/>
  <c r="DX770"/>
  <c r="DZ770" s="1"/>
  <c r="DX756"/>
  <c r="DZ756"/>
  <c r="DX649"/>
  <c r="DZ649" s="1"/>
  <c r="DX535"/>
  <c r="DZ535" s="1"/>
  <c r="DX410"/>
  <c r="DZ410" s="1"/>
  <c r="DX415"/>
  <c r="DZ415" s="1"/>
  <c r="DX241"/>
  <c r="DZ241" s="1"/>
  <c r="DX115"/>
  <c r="DZ115"/>
  <c r="DX85"/>
  <c r="DZ85" s="1"/>
  <c r="DR812"/>
  <c r="DT812"/>
  <c r="DR749"/>
  <c r="DT749" s="1"/>
  <c r="DR735"/>
  <c r="DT735" s="1"/>
  <c r="DR624"/>
  <c r="DT624" s="1"/>
  <c r="DR576"/>
  <c r="DT576" s="1"/>
  <c r="DR501"/>
  <c r="DT501" s="1"/>
  <c r="DR449"/>
  <c r="DT449"/>
  <c r="DR398"/>
  <c r="DT398" s="1"/>
  <c r="DR314"/>
  <c r="DT314"/>
  <c r="DR238"/>
  <c r="DT238" s="1"/>
  <c r="DR197"/>
  <c r="DT197" s="1"/>
  <c r="DF1054"/>
  <c r="DH1054" s="1"/>
  <c r="DF765"/>
  <c r="DH765" s="1"/>
  <c r="DR69"/>
  <c r="DT69" s="1"/>
  <c r="DR843"/>
  <c r="DT843"/>
  <c r="DR109"/>
  <c r="DT109" s="1"/>
  <c r="EJ530"/>
  <c r="EL530"/>
  <c r="EJ275"/>
  <c r="EL275" s="1"/>
  <c r="EJ440"/>
  <c r="EL440" s="1"/>
  <c r="DL26"/>
  <c r="DN26" s="1"/>
  <c r="ED88"/>
  <c r="EF88" s="1"/>
  <c r="DX941"/>
  <c r="DZ941" s="1"/>
  <c r="DX822"/>
  <c r="DZ822"/>
  <c r="DX760"/>
  <c r="DZ760" s="1"/>
  <c r="DX635"/>
  <c r="DZ635"/>
  <c r="DX551"/>
  <c r="DZ551" s="1"/>
  <c r="DX367"/>
  <c r="DZ367" s="1"/>
  <c r="DX423"/>
  <c r="DZ423" s="1"/>
  <c r="DX245"/>
  <c r="DZ245" s="1"/>
  <c r="DX149"/>
  <c r="DZ149" s="1"/>
  <c r="DX86"/>
  <c r="DZ86"/>
  <c r="DR806"/>
  <c r="DT806" s="1"/>
  <c r="DR753"/>
  <c r="DT753"/>
  <c r="DR707"/>
  <c r="DT707" s="1"/>
  <c r="DR646"/>
  <c r="DT646" s="1"/>
  <c r="DR546"/>
  <c r="DT546" s="1"/>
  <c r="DR504"/>
  <c r="DT504" s="1"/>
  <c r="DR453"/>
  <c r="DT453" s="1"/>
  <c r="DR395"/>
  <c r="DT395"/>
  <c r="DR342"/>
  <c r="DT342" s="1"/>
  <c r="DR292"/>
  <c r="DT292"/>
  <c r="DR245"/>
  <c r="DT245" s="1"/>
  <c r="DR201"/>
  <c r="DT201" s="1"/>
  <c r="DF1053"/>
  <c r="DH1053" s="1"/>
  <c r="DF930"/>
  <c r="DH930" s="1"/>
  <c r="DF13"/>
  <c r="DH13" s="1"/>
  <c r="DR157"/>
  <c r="DT157"/>
  <c r="DR128"/>
  <c r="DT128" s="1"/>
  <c r="EJ142"/>
  <c r="EL142"/>
  <c r="DR37"/>
  <c r="DT37" s="1"/>
  <c r="EJ495"/>
  <c r="EL495" s="1"/>
  <c r="EJ473"/>
  <c r="EL473" s="1"/>
  <c r="EJ19"/>
  <c r="EL19" s="1"/>
  <c r="EJ458"/>
  <c r="EL458" s="1"/>
  <c r="DX310"/>
  <c r="DZ310"/>
  <c r="DR114"/>
  <c r="DT114" s="1"/>
  <c r="ED66"/>
  <c r="EF66"/>
  <c r="DX943"/>
  <c r="DZ943" s="1"/>
  <c r="DX841"/>
  <c r="DZ841" s="1"/>
  <c r="DX857"/>
  <c r="DZ857" s="1"/>
  <c r="DX712"/>
  <c r="DZ712" s="1"/>
  <c r="DX661"/>
  <c r="DZ661" s="1"/>
  <c r="DX540"/>
  <c r="DZ540"/>
  <c r="DX471"/>
  <c r="DZ471" s="1"/>
  <c r="DX401"/>
  <c r="DZ401"/>
  <c r="DX375"/>
  <c r="DZ375" s="1"/>
  <c r="DX223"/>
  <c r="DZ223" s="1"/>
  <c r="DX197"/>
  <c r="DZ197" s="1"/>
  <c r="DX146"/>
  <c r="DZ146" s="1"/>
  <c r="DX81"/>
  <c r="DZ81" s="1"/>
  <c r="DR826"/>
  <c r="DT826"/>
  <c r="DR776"/>
  <c r="DT776" s="1"/>
  <c r="DR732"/>
  <c r="DT732"/>
  <c r="DR690"/>
  <c r="DT690" s="1"/>
  <c r="DR615"/>
  <c r="DT615" s="1"/>
  <c r="DR595"/>
  <c r="DT595" s="1"/>
  <c r="DR539"/>
  <c r="DT539" s="1"/>
  <c r="DR511"/>
  <c r="DT511" s="1"/>
  <c r="DR433"/>
  <c r="DT433"/>
  <c r="AL36" i="5"/>
  <c r="DR432" i="4"/>
  <c r="DT432" s="1"/>
  <c r="DR366"/>
  <c r="DT366"/>
  <c r="DR304"/>
  <c r="DT304" s="1"/>
  <c r="DR281"/>
  <c r="DT281"/>
  <c r="DR214"/>
  <c r="DT214" s="1"/>
  <c r="DL43"/>
  <c r="DN43" s="1"/>
  <c r="DF948"/>
  <c r="DH948" s="1"/>
  <c r="DF926"/>
  <c r="DH926"/>
  <c r="EJ233"/>
  <c r="EL233" s="1"/>
  <c r="EJ395"/>
  <c r="EL395" s="1"/>
  <c r="DR51"/>
  <c r="DT51" s="1"/>
  <c r="EJ472"/>
  <c r="EL472" s="1"/>
  <c r="EJ497"/>
  <c r="EL497" s="1"/>
  <c r="DF918"/>
  <c r="DH918" s="1"/>
  <c r="EJ298"/>
  <c r="EL298" s="1"/>
  <c r="DX314"/>
  <c r="DZ314" s="1"/>
  <c r="DR96"/>
  <c r="DT96" s="1"/>
  <c r="ED77"/>
  <c r="EF77" s="1"/>
  <c r="ED23"/>
  <c r="EF23" s="1"/>
  <c r="DX893"/>
  <c r="DZ893" s="1"/>
  <c r="DX788"/>
  <c r="DZ788" s="1"/>
  <c r="DX738"/>
  <c r="DZ738" s="1"/>
  <c r="DX675"/>
  <c r="DZ675" s="1"/>
  <c r="DX590"/>
  <c r="DZ590" s="1"/>
  <c r="DX515"/>
  <c r="DZ515" s="1"/>
  <c r="DX376"/>
  <c r="DZ376" s="1"/>
  <c r="DX373"/>
  <c r="DZ373" s="1"/>
  <c r="DX279"/>
  <c r="DZ279"/>
  <c r="DX213"/>
  <c r="DZ213" s="1"/>
  <c r="DX155"/>
  <c r="DZ155" s="1"/>
  <c r="DX104"/>
  <c r="DZ104" s="1"/>
  <c r="DX48"/>
  <c r="DZ48" s="1"/>
  <c r="DR799"/>
  <c r="DT799" s="1"/>
  <c r="DR761"/>
  <c r="DT761" s="1"/>
  <c r="DR710"/>
  <c r="DT710" s="1"/>
  <c r="DR667"/>
  <c r="DT667" s="1"/>
  <c r="DR621"/>
  <c r="DT621" s="1"/>
  <c r="DR554"/>
  <c r="DT554" s="1"/>
  <c r="DR553"/>
  <c r="DT553" s="1"/>
  <c r="DR488"/>
  <c r="DT488" s="1"/>
  <c r="DR450"/>
  <c r="DT450" s="1"/>
  <c r="DR365"/>
  <c r="DT365" s="1"/>
  <c r="DR305"/>
  <c r="DT305" s="1"/>
  <c r="DR268"/>
  <c r="DT268"/>
  <c r="DR254"/>
  <c r="DT254" s="1"/>
  <c r="DL35"/>
  <c r="DN35" s="1"/>
  <c r="AK33" i="5"/>
  <c r="DF951" i="4"/>
  <c r="DH951"/>
  <c r="DF934"/>
  <c r="DH934" s="1"/>
  <c r="EJ55"/>
  <c r="EL55"/>
  <c r="EJ50"/>
  <c r="EL50" s="1"/>
  <c r="EJ457"/>
  <c r="EL457"/>
  <c r="DR44"/>
  <c r="DT44" s="1"/>
  <c r="EJ584"/>
  <c r="EL584"/>
  <c r="DR189"/>
  <c r="DT189" s="1"/>
  <c r="ED18"/>
  <c r="EF18"/>
  <c r="EJ321"/>
  <c r="EL321" s="1"/>
  <c r="EJ364"/>
  <c r="EL364"/>
  <c r="DR74"/>
  <c r="DT74" s="1"/>
  <c r="EJ463"/>
  <c r="EL463"/>
  <c r="EJ496"/>
  <c r="EL496" s="1"/>
  <c r="DF956"/>
  <c r="DH956"/>
  <c r="EJ350"/>
  <c r="EL350" s="1"/>
  <c r="DX318"/>
  <c r="DZ318"/>
  <c r="DR113"/>
  <c r="DT113" s="1"/>
  <c r="ED76"/>
  <c r="EF76"/>
  <c r="ED27"/>
  <c r="EF27" s="1"/>
  <c r="DX900"/>
  <c r="DZ900"/>
  <c r="DX793"/>
  <c r="DZ793" s="1"/>
  <c r="DX744"/>
  <c r="DZ744"/>
  <c r="DX689"/>
  <c r="DZ689" s="1"/>
  <c r="DX594"/>
  <c r="DZ594"/>
  <c r="DX517"/>
  <c r="DZ517" s="1"/>
  <c r="DX383"/>
  <c r="DZ383"/>
  <c r="DX380"/>
  <c r="DZ380" s="1"/>
  <c r="DX288"/>
  <c r="DZ288"/>
  <c r="DX170"/>
  <c r="DZ170" s="1"/>
  <c r="DX157"/>
  <c r="DZ157"/>
  <c r="DX110"/>
  <c r="DZ110" s="1"/>
  <c r="DX56"/>
  <c r="DZ56"/>
  <c r="DR804"/>
  <c r="DT804" s="1"/>
  <c r="DR765"/>
  <c r="DT765"/>
  <c r="DR714"/>
  <c r="DT714" s="1"/>
  <c r="DR672"/>
  <c r="DT672"/>
  <c r="DR625"/>
  <c r="DT625" s="1"/>
  <c r="DR560"/>
  <c r="DT560"/>
  <c r="DR558"/>
  <c r="DT558" s="1"/>
  <c r="DR494"/>
  <c r="DT494"/>
  <c r="DR454"/>
  <c r="DT454" s="1"/>
  <c r="DR382"/>
  <c r="DT382"/>
  <c r="DR374"/>
  <c r="DT374" s="1"/>
  <c r="DR259"/>
  <c r="DT259"/>
  <c r="DR221"/>
  <c r="DT221" s="1"/>
  <c r="DR195"/>
  <c r="DT195"/>
  <c r="DF964"/>
  <c r="DH964" s="1"/>
  <c r="DF911"/>
  <c r="DH911"/>
  <c r="EJ521"/>
  <c r="EL521" s="1"/>
  <c r="EJ98"/>
  <c r="EL98"/>
  <c r="DF1303"/>
  <c r="DH1303" s="1"/>
  <c r="DF1213"/>
  <c r="DH1213"/>
  <c r="DF1204"/>
  <c r="DH1204" s="1"/>
  <c r="DF1113"/>
  <c r="DH1113"/>
  <c r="DF1050"/>
  <c r="DH1050" s="1"/>
  <c r="DF1024"/>
  <c r="DH1024"/>
  <c r="DF1110"/>
  <c r="DH1110" s="1"/>
  <c r="DF1248"/>
  <c r="DH1248"/>
  <c r="DF484"/>
  <c r="DH484" s="1"/>
  <c r="DF56"/>
  <c r="DH56"/>
  <c r="DF134"/>
  <c r="DH134" s="1"/>
  <c r="DF43"/>
  <c r="DH43"/>
  <c r="DR286"/>
  <c r="DT286" s="1"/>
  <c r="ED30"/>
  <c r="EF30"/>
  <c r="DX499"/>
  <c r="DZ499" s="1"/>
  <c r="DF614"/>
  <c r="DH614"/>
  <c r="EJ504"/>
  <c r="EL504" s="1"/>
  <c r="DF343"/>
  <c r="DH343"/>
  <c r="DF665"/>
  <c r="DH665" s="1"/>
  <c r="DF1432"/>
  <c r="DH1432"/>
  <c r="DF1251"/>
  <c r="DH1251" s="1"/>
  <c r="DF1650"/>
  <c r="DH1650"/>
  <c r="DF1577"/>
  <c r="DH1577" s="1"/>
  <c r="EJ161"/>
  <c r="EL161"/>
  <c r="EJ169"/>
  <c r="EL169" s="1"/>
  <c r="EJ428"/>
  <c r="EL428"/>
  <c r="EJ162"/>
  <c r="EL162" s="1"/>
  <c r="ED42"/>
  <c r="EF42"/>
  <c r="AO64" i="5"/>
  <c r="DX830" i="4"/>
  <c r="DZ830" s="1"/>
  <c r="DX616"/>
  <c r="DZ616"/>
  <c r="DX447"/>
  <c r="DZ447" s="1"/>
  <c r="DX188"/>
  <c r="DZ188" s="1"/>
  <c r="DX25"/>
  <c r="DZ25" s="1"/>
  <c r="DR721"/>
  <c r="DT721" s="1"/>
  <c r="DR612"/>
  <c r="DT612" s="1"/>
  <c r="DR467"/>
  <c r="DT467" s="1"/>
  <c r="DR341"/>
  <c r="DT341" s="1"/>
  <c r="DR204"/>
  <c r="DT204" s="1"/>
  <c r="DF929"/>
  <c r="DH929" s="1"/>
  <c r="DR65"/>
  <c r="DT65" s="1"/>
  <c r="EJ172"/>
  <c r="EL172" s="1"/>
  <c r="DX315"/>
  <c r="DZ315" s="1"/>
  <c r="ED37"/>
  <c r="EF37" s="1"/>
  <c r="DX808"/>
  <c r="DZ808" s="1"/>
  <c r="DX631"/>
  <c r="DZ631" s="1"/>
  <c r="AN39" i="5"/>
  <c r="DX461" i="4"/>
  <c r="DZ461" s="1"/>
  <c r="DX195"/>
  <c r="DZ195" s="1"/>
  <c r="DX32"/>
  <c r="DZ32" s="1"/>
  <c r="DR725"/>
  <c r="DT725"/>
  <c r="DR626"/>
  <c r="DT626" s="1"/>
  <c r="DR472"/>
  <c r="DT472" s="1"/>
  <c r="DR348"/>
  <c r="DT348" s="1"/>
  <c r="DR242"/>
  <c r="DT242" s="1"/>
  <c r="DF936"/>
  <c r="DH936" s="1"/>
  <c r="DX976"/>
  <c r="DZ976" s="1"/>
  <c r="EJ464"/>
  <c r="EL464" s="1"/>
  <c r="DX303"/>
  <c r="DZ303"/>
  <c r="ED28"/>
  <c r="EF28" s="1"/>
  <c r="DX745"/>
  <c r="DZ745" s="1"/>
  <c r="DX580"/>
  <c r="DZ580" s="1"/>
  <c r="DX354"/>
  <c r="DZ354" s="1"/>
  <c r="DX119"/>
  <c r="DZ119" s="1"/>
  <c r="DR835"/>
  <c r="DT835" s="1"/>
  <c r="DR702"/>
  <c r="DT702" s="1"/>
  <c r="DR587"/>
  <c r="DT587"/>
  <c r="DR470"/>
  <c r="DT470" s="1"/>
  <c r="DR352"/>
  <c r="DT352" s="1"/>
  <c r="DR244"/>
  <c r="DT244" s="1"/>
  <c r="DL56"/>
  <c r="DN56" s="1"/>
  <c r="EJ130"/>
  <c r="EL130" s="1"/>
  <c r="EJ358"/>
  <c r="EL358" s="1"/>
  <c r="EJ104"/>
  <c r="EL104" s="1"/>
  <c r="EJ316"/>
  <c r="EL316"/>
  <c r="ED82"/>
  <c r="EF82" s="1"/>
  <c r="DX872"/>
  <c r="DZ872" s="1"/>
  <c r="DX742"/>
  <c r="DZ742" s="1"/>
  <c r="DX591"/>
  <c r="DZ591" s="1"/>
  <c r="DX446"/>
  <c r="DZ446" s="1"/>
  <c r="DX260"/>
  <c r="DZ260" s="1"/>
  <c r="DX120"/>
  <c r="DZ120" s="1"/>
  <c r="DX54"/>
  <c r="DZ54"/>
  <c r="DR762"/>
  <c r="DT762" s="1"/>
  <c r="DR648"/>
  <c r="DT648" s="1"/>
  <c r="DR573"/>
  <c r="DT573" s="1"/>
  <c r="DR479"/>
  <c r="DT479" s="1"/>
  <c r="DR360"/>
  <c r="DT360" s="1"/>
  <c r="DR264"/>
  <c r="DT264" s="1"/>
  <c r="DL32"/>
  <c r="DN32" s="1"/>
  <c r="DF941"/>
  <c r="DH941"/>
  <c r="EJ640"/>
  <c r="EL640" s="1"/>
  <c r="DR115"/>
  <c r="DT115" s="1"/>
  <c r="EJ206"/>
  <c r="EL206" s="1"/>
  <c r="EJ349"/>
  <c r="EL349" s="1"/>
  <c r="DR14"/>
  <c r="DT14" s="1"/>
  <c r="DX949"/>
  <c r="DZ949" s="1"/>
  <c r="AN76" i="5"/>
  <c r="DX803" i="4"/>
  <c r="DZ803" s="1"/>
  <c r="DX665"/>
  <c r="DZ665" s="1"/>
  <c r="DX478"/>
  <c r="DZ478" s="1"/>
  <c r="DX286"/>
  <c r="DZ286"/>
  <c r="DX211"/>
  <c r="DZ211" s="1"/>
  <c r="DX89"/>
  <c r="DZ89" s="1"/>
  <c r="DR781"/>
  <c r="DT781" s="1"/>
  <c r="DR693"/>
  <c r="DT693" s="1"/>
  <c r="DR599"/>
  <c r="DT599" s="1"/>
  <c r="DR519"/>
  <c r="DT519" s="1"/>
  <c r="DR437"/>
  <c r="DT437" s="1"/>
  <c r="DR274"/>
  <c r="DT274" s="1"/>
  <c r="DR205"/>
  <c r="DT205" s="1"/>
  <c r="DF949"/>
  <c r="DH949" s="1"/>
  <c r="EJ266"/>
  <c r="EL266" s="1"/>
  <c r="DR57"/>
  <c r="DT57" s="1"/>
  <c r="EJ170"/>
  <c r="EL170" s="1"/>
  <c r="ED46"/>
  <c r="EF46" s="1"/>
  <c r="EJ245"/>
  <c r="EL245" s="1"/>
  <c r="EJ324"/>
  <c r="EL324" s="1"/>
  <c r="EJ121"/>
  <c r="EL121" s="1"/>
  <c r="EJ41"/>
  <c r="EL41" s="1"/>
  <c r="EJ677"/>
  <c r="EL677" s="1"/>
  <c r="DX922"/>
  <c r="DZ922" s="1"/>
  <c r="DX768"/>
  <c r="DZ768" s="1"/>
  <c r="DX626"/>
  <c r="DZ626" s="1"/>
  <c r="DX501"/>
  <c r="DZ501" s="1"/>
  <c r="DX287"/>
  <c r="DZ287" s="1"/>
  <c r="DX127"/>
  <c r="DZ127" s="1"/>
  <c r="DX41"/>
  <c r="DZ41" s="1"/>
  <c r="DR764"/>
  <c r="DT764" s="1"/>
  <c r="DR682"/>
  <c r="DT682" s="1"/>
  <c r="DR600"/>
  <c r="DT600" s="1"/>
  <c r="DR520"/>
  <c r="DT520" s="1"/>
  <c r="DR443"/>
  <c r="DT443" s="1"/>
  <c r="DR393"/>
  <c r="DT393"/>
  <c r="DR320"/>
  <c r="DT320" s="1"/>
  <c r="DR289"/>
  <c r="DT289" s="1"/>
  <c r="DR209"/>
  <c r="DT209" s="1"/>
  <c r="DF961"/>
  <c r="DH961" s="1"/>
  <c r="DF763"/>
  <c r="DH763" s="1"/>
  <c r="EJ439"/>
  <c r="EL439" s="1"/>
  <c r="EJ73"/>
  <c r="EL73" s="1"/>
  <c r="EJ250"/>
  <c r="EL250" s="1"/>
  <c r="EJ284"/>
  <c r="EL284" s="1"/>
  <c r="EJ223"/>
  <c r="EL223" s="1"/>
  <c r="EJ224"/>
  <c r="EL224" s="1"/>
  <c r="EJ556"/>
  <c r="EL556" s="1"/>
  <c r="EJ93"/>
  <c r="EL93" s="1"/>
  <c r="DR185"/>
  <c r="DT185" s="1"/>
  <c r="EJ690"/>
  <c r="EL690" s="1"/>
  <c r="ED53"/>
  <c r="EF53" s="1"/>
  <c r="DX927"/>
  <c r="DZ927" s="1"/>
  <c r="DX806"/>
  <c r="DZ806" s="1"/>
  <c r="DX820"/>
  <c r="DZ820" s="1"/>
  <c r="DX681"/>
  <c r="DZ681" s="1"/>
  <c r="DX627"/>
  <c r="DZ627" s="1"/>
  <c r="DX568"/>
  <c r="DZ568" s="1"/>
  <c r="DX472"/>
  <c r="DZ472" s="1"/>
  <c r="DX365"/>
  <c r="DZ365" s="1"/>
  <c r="DX348"/>
  <c r="DZ348" s="1"/>
  <c r="DX232"/>
  <c r="DZ232" s="1"/>
  <c r="DX164"/>
  <c r="DZ164" s="1"/>
  <c r="DX121"/>
  <c r="DZ121" s="1"/>
  <c r="DX40"/>
  <c r="DZ40" s="1"/>
  <c r="DR837"/>
  <c r="DT837" s="1"/>
  <c r="DR789"/>
  <c r="DT789" s="1"/>
  <c r="DR712"/>
  <c r="DT712"/>
  <c r="DR688"/>
  <c r="DT688" s="1"/>
  <c r="DR645"/>
  <c r="DT645" s="1"/>
  <c r="DR604"/>
  <c r="DT604" s="1"/>
  <c r="DR574"/>
  <c r="DT574" s="1"/>
  <c r="DR528"/>
  <c r="DT528" s="1"/>
  <c r="DR410"/>
  <c r="DT410" s="1"/>
  <c r="DR409"/>
  <c r="DT409" s="1"/>
  <c r="DR340"/>
  <c r="DT340" s="1"/>
  <c r="DR282"/>
  <c r="DT282" s="1"/>
  <c r="DR261"/>
  <c r="DT261" s="1"/>
  <c r="DR211"/>
  <c r="DT211" s="1"/>
  <c r="DL29"/>
  <c r="DN29" s="1"/>
  <c r="DF963"/>
  <c r="DH963" s="1"/>
  <c r="DF758"/>
  <c r="DH758" s="1"/>
  <c r="EJ334"/>
  <c r="EL334" s="1"/>
  <c r="DR86"/>
  <c r="DT86" s="1"/>
  <c r="EJ619"/>
  <c r="EL619" s="1"/>
  <c r="DX855"/>
  <c r="DZ855" s="1"/>
  <c r="DX238"/>
  <c r="DZ238" s="1"/>
  <c r="DR651"/>
  <c r="DT651" s="1"/>
  <c r="DR297"/>
  <c r="DT297" s="1"/>
  <c r="EJ583"/>
  <c r="EL583" s="1"/>
  <c r="DX739"/>
  <c r="DZ739" s="1"/>
  <c r="DX169"/>
  <c r="DZ169" s="1"/>
  <c r="DR556"/>
  <c r="DT556" s="1"/>
  <c r="DF935"/>
  <c r="DH935" s="1"/>
  <c r="EJ624"/>
  <c r="EL624" s="1"/>
  <c r="DX759"/>
  <c r="DZ759" s="1"/>
  <c r="DX118"/>
  <c r="DZ118" s="1"/>
  <c r="DR534"/>
  <c r="DT534" s="1"/>
  <c r="DR215"/>
  <c r="DT215" s="1"/>
  <c r="EJ79"/>
  <c r="EL79"/>
  <c r="DR149"/>
  <c r="DT149" s="1"/>
  <c r="EJ549"/>
  <c r="EL549" s="1"/>
  <c r="DR167"/>
  <c r="DT167" s="1"/>
  <c r="DX880"/>
  <c r="DZ880" s="1"/>
  <c r="EJ430"/>
  <c r="EL430" s="1"/>
  <c r="DR67"/>
  <c r="DT67" s="1"/>
  <c r="EJ413"/>
  <c r="EL413" s="1"/>
  <c r="EJ243"/>
  <c r="EL243" s="1"/>
  <c r="DX965"/>
  <c r="DZ965" s="1"/>
  <c r="DF1622"/>
  <c r="DH1622" s="1"/>
  <c r="DF1287"/>
  <c r="DH1287" s="1"/>
  <c r="DF794"/>
  <c r="DH794" s="1"/>
  <c r="DF1514"/>
  <c r="DH1514" s="1"/>
  <c r="DF1197"/>
  <c r="DH1197" s="1"/>
  <c r="DF687"/>
  <c r="DH687" s="1"/>
  <c r="DF1522"/>
  <c r="DH1522" s="1"/>
  <c r="DF1196"/>
  <c r="DH1196" s="1"/>
  <c r="DF686"/>
  <c r="DH686" s="1"/>
  <c r="DF1483"/>
  <c r="DH1483" s="1"/>
  <c r="DF1097"/>
  <c r="DH1097" s="1"/>
  <c r="DF578"/>
  <c r="DH578" s="1"/>
  <c r="DF1405"/>
  <c r="DH1405" s="1"/>
  <c r="DF1128"/>
  <c r="DH1128" s="1"/>
  <c r="DF585"/>
  <c r="DH585" s="1"/>
  <c r="DF1404"/>
  <c r="DH1404" s="1"/>
  <c r="DF1127"/>
  <c r="DH1127" s="1"/>
  <c r="DF592"/>
  <c r="DH592" s="1"/>
  <c r="DF1480"/>
  <c r="DH1480" s="1"/>
  <c r="DF1094"/>
  <c r="DH1094" s="1"/>
  <c r="DF1272"/>
  <c r="DH1272" s="1"/>
  <c r="DF501"/>
  <c r="DH501" s="1"/>
  <c r="DF583"/>
  <c r="DH583"/>
  <c r="DF375"/>
  <c r="DH375" s="1"/>
  <c r="DF1414"/>
  <c r="DH1414" s="1"/>
  <c r="DF542"/>
  <c r="DH542" s="1"/>
  <c r="DF599"/>
  <c r="DH599" s="1"/>
  <c r="DF309"/>
  <c r="DH309" s="1"/>
  <c r="DF190"/>
  <c r="DH190" s="1"/>
  <c r="DF364"/>
  <c r="DH364" s="1"/>
  <c r="DF131"/>
  <c r="DH131" s="1"/>
  <c r="DF236"/>
  <c r="DH236" s="1"/>
  <c r="DF74"/>
  <c r="DH74" s="1"/>
  <c r="EJ23"/>
  <c r="EL23" s="1"/>
  <c r="DR119"/>
  <c r="DT119" s="1"/>
  <c r="DX593"/>
  <c r="DZ593" s="1"/>
  <c r="DX53"/>
  <c r="DZ53" s="1"/>
  <c r="DR522"/>
  <c r="DT522" s="1"/>
  <c r="DR155"/>
  <c r="DT155" s="1"/>
  <c r="DR165"/>
  <c r="DT165" s="1"/>
  <c r="DX453"/>
  <c r="DZ453" s="1"/>
  <c r="DR779"/>
  <c r="DT779" s="1"/>
  <c r="DR533"/>
  <c r="DT533" s="1"/>
  <c r="DF966"/>
  <c r="DH966" s="1"/>
  <c r="DX884"/>
  <c r="DZ884" s="1"/>
  <c r="DR671"/>
  <c r="DT671" s="1"/>
  <c r="EJ441"/>
  <c r="EL441" s="1"/>
  <c r="DR82"/>
  <c r="DT82" s="1"/>
  <c r="EJ641"/>
  <c r="EL641" s="1"/>
  <c r="EJ332"/>
  <c r="EL332" s="1"/>
  <c r="ED81"/>
  <c r="EF81" s="1"/>
  <c r="EJ593"/>
  <c r="EL593" s="1"/>
  <c r="EJ529"/>
  <c r="EL529" s="1"/>
  <c r="DR162"/>
  <c r="DT162" s="1"/>
  <c r="DR141"/>
  <c r="DT141"/>
  <c r="EJ214"/>
  <c r="EL214" s="1"/>
  <c r="DR29"/>
  <c r="DT29" s="1"/>
  <c r="DF1643"/>
  <c r="DH1643" s="1"/>
  <c r="DF1271"/>
  <c r="DH1271" s="1"/>
  <c r="DF880"/>
  <c r="DH880" s="1"/>
  <c r="DF581"/>
  <c r="DH581" s="1"/>
  <c r="DF1270"/>
  <c r="DH1270" s="1"/>
  <c r="DF895"/>
  <c r="DH895" s="1"/>
  <c r="DF604"/>
  <c r="DH604" s="1"/>
  <c r="DF1484"/>
  <c r="DH1484" s="1"/>
  <c r="DF1138"/>
  <c r="DH1138" s="1"/>
  <c r="DF751"/>
  <c r="DH751" s="1"/>
  <c r="DF1427"/>
  <c r="DH1427" s="1"/>
  <c r="DF1195"/>
  <c r="DH1195" s="1"/>
  <c r="DF775"/>
  <c r="DH775" s="1"/>
  <c r="DF1600"/>
  <c r="DH1600" s="1"/>
  <c r="DF1243"/>
  <c r="DH1243" s="1"/>
  <c r="DF996"/>
  <c r="DH996" s="1"/>
  <c r="DF647"/>
  <c r="DH647" s="1"/>
  <c r="DF1457"/>
  <c r="DH1457" s="1"/>
  <c r="DF1225"/>
  <c r="DH1225" s="1"/>
  <c r="DF797"/>
  <c r="DH797" s="1"/>
  <c r="DF1562"/>
  <c r="DH1562" s="1"/>
  <c r="DF1370"/>
  <c r="DH1370" s="1"/>
  <c r="DF1023"/>
  <c r="DH1023" s="1"/>
  <c r="DF1423"/>
  <c r="DH1423" s="1"/>
  <c r="DF644"/>
  <c r="DH644" s="1"/>
  <c r="DF441"/>
  <c r="DH441" s="1"/>
  <c r="DF827"/>
  <c r="DH827" s="1"/>
  <c r="DF373"/>
  <c r="DH373" s="1"/>
  <c r="DF746"/>
  <c r="DH746" s="1"/>
  <c r="DF421"/>
  <c r="DH421"/>
  <c r="DF689"/>
  <c r="DH689" s="1"/>
  <c r="DF377"/>
  <c r="DH377" s="1"/>
  <c r="DF278"/>
  <c r="DH278" s="1"/>
  <c r="DF80"/>
  <c r="DH80" s="1"/>
  <c r="DF273"/>
  <c r="DH273" s="1"/>
  <c r="DF75"/>
  <c r="DH75" s="1"/>
  <c r="DF264"/>
  <c r="DH264" s="1"/>
  <c r="DF58"/>
  <c r="DH58" s="1"/>
  <c r="DF247"/>
  <c r="DH247" s="1"/>
  <c r="DF125"/>
  <c r="DH125" s="1"/>
  <c r="DF45"/>
  <c r="DH45" s="1"/>
  <c r="EJ659"/>
  <c r="EL659" s="1"/>
  <c r="EJ540"/>
  <c r="EL540" s="1"/>
  <c r="EJ386"/>
  <c r="EL386" s="1"/>
  <c r="EJ435"/>
  <c r="EL435" s="1"/>
  <c r="EJ67"/>
  <c r="EL67" s="1"/>
  <c r="EJ181"/>
  <c r="EL181" s="1"/>
  <c r="EJ76"/>
  <c r="EL76" s="1"/>
  <c r="DX38"/>
  <c r="DZ38" s="1"/>
  <c r="DL31"/>
  <c r="DN31" s="1"/>
  <c r="AK60" i="5"/>
  <c r="EJ306" i="4"/>
  <c r="EL306" s="1"/>
  <c r="EJ337"/>
  <c r="EL337" s="1"/>
  <c r="DR847"/>
  <c r="DT847" s="1"/>
  <c r="EJ264"/>
  <c r="EL264" s="1"/>
  <c r="DR48"/>
  <c r="DT48"/>
  <c r="EJ558"/>
  <c r="EL558" s="1"/>
  <c r="DR15"/>
  <c r="DT15" s="1"/>
  <c r="EJ278"/>
  <c r="EL278" s="1"/>
  <c r="EJ328"/>
  <c r="EL328" s="1"/>
  <c r="EJ581"/>
  <c r="EL581" s="1"/>
  <c r="DF1515"/>
  <c r="DH1515" s="1"/>
  <c r="DF1174"/>
  <c r="DH1174" s="1"/>
  <c r="DF842"/>
  <c r="DH842"/>
  <c r="DF1621"/>
  <c r="DH1621" s="1"/>
  <c r="DF1262"/>
  <c r="DH1262" s="1"/>
  <c r="DF887"/>
  <c r="DH887" s="1"/>
  <c r="DF596"/>
  <c r="DH596" s="1"/>
  <c r="DF1476"/>
  <c r="DH1476" s="1"/>
  <c r="DF1147"/>
  <c r="DH1147" s="1"/>
  <c r="AJ76" i="5"/>
  <c r="DF743" i="4"/>
  <c r="DH743" s="1"/>
  <c r="DF1520"/>
  <c r="DH1520" s="1"/>
  <c r="DF1187"/>
  <c r="DH1187" s="1"/>
  <c r="DF767"/>
  <c r="DH767"/>
  <c r="DF1591"/>
  <c r="DH1591" s="1"/>
  <c r="DF1396"/>
  <c r="DH1396" s="1"/>
  <c r="DF1021"/>
  <c r="DH1021" s="1"/>
  <c r="DF639"/>
  <c r="DH639" s="1"/>
  <c r="DF1441"/>
  <c r="DH1441" s="1"/>
  <c r="DF1217"/>
  <c r="DH1217" s="1"/>
  <c r="DF789"/>
  <c r="DH789" s="1"/>
  <c r="DF514"/>
  <c r="DH514" s="1"/>
  <c r="DF1362"/>
  <c r="DH1362" s="1"/>
  <c r="DF1059"/>
  <c r="DH1059" s="1"/>
  <c r="DF1534"/>
  <c r="DH1534" s="1"/>
  <c r="DF681"/>
  <c r="DH681" s="1"/>
  <c r="DF433"/>
  <c r="DH433" s="1"/>
  <c r="DF1009"/>
  <c r="DH1009" s="1"/>
  <c r="DF454"/>
  <c r="DH454" s="1"/>
  <c r="DF714"/>
  <c r="DH714" s="1"/>
  <c r="DF413"/>
  <c r="DH413" s="1"/>
  <c r="DF738"/>
  <c r="DH738" s="1"/>
  <c r="DF426"/>
  <c r="DH426" s="1"/>
  <c r="DF274"/>
  <c r="DH274" s="1"/>
  <c r="DF76"/>
  <c r="DH76" s="1"/>
  <c r="DF269"/>
  <c r="DH269" s="1"/>
  <c r="DF71"/>
  <c r="DH71" s="1"/>
  <c r="DF260"/>
  <c r="DH260" s="1"/>
  <c r="DF243"/>
  <c r="DH243" s="1"/>
  <c r="DF120"/>
  <c r="DH120" s="1"/>
  <c r="DF41"/>
  <c r="DH41" s="1"/>
  <c r="DR841"/>
  <c r="DT841" s="1"/>
  <c r="EJ545"/>
  <c r="EL545" s="1"/>
  <c r="EJ33"/>
  <c r="EL33" s="1"/>
  <c r="DX942"/>
  <c r="DZ942" s="1"/>
  <c r="DR751"/>
  <c r="DT751"/>
  <c r="DF205"/>
  <c r="DH205" s="1"/>
  <c r="EJ57"/>
  <c r="EL57" s="1"/>
  <c r="DR94"/>
  <c r="DT94" s="1"/>
  <c r="ED87"/>
  <c r="EF87" s="1"/>
  <c r="EJ89"/>
  <c r="EL89" s="1"/>
  <c r="EJ313"/>
  <c r="EL313" s="1"/>
  <c r="EJ508"/>
  <c r="EL508" s="1"/>
  <c r="EJ671"/>
  <c r="EL671" s="1"/>
  <c r="EJ354"/>
  <c r="EL354" s="1"/>
  <c r="EJ244"/>
  <c r="EL244" s="1"/>
  <c r="EJ447"/>
  <c r="EL447" s="1"/>
  <c r="DF1524"/>
  <c r="DH1524" s="1"/>
  <c r="DF1166"/>
  <c r="DH1166" s="1"/>
  <c r="DF834"/>
  <c r="DH834" s="1"/>
  <c r="DF1612"/>
  <c r="DH1612" s="1"/>
  <c r="DF1254"/>
  <c r="DH1254" s="1"/>
  <c r="DF871"/>
  <c r="DH871" s="1"/>
  <c r="DF588"/>
  <c r="DH588" s="1"/>
  <c r="DF1468"/>
  <c r="DH1468" s="1"/>
  <c r="DF1156"/>
  <c r="DH1156" s="1"/>
  <c r="DF735"/>
  <c r="DH735" s="1"/>
  <c r="DF1529"/>
  <c r="DH1529" s="1"/>
  <c r="DF1179"/>
  <c r="DH1179" s="1"/>
  <c r="DF839"/>
  <c r="DH839" s="1"/>
  <c r="DF1582"/>
  <c r="DH1582" s="1"/>
  <c r="DF1388"/>
  <c r="DH1388" s="1"/>
  <c r="DF1041"/>
  <c r="DH1041" s="1"/>
  <c r="DF631"/>
  <c r="DH631" s="1"/>
  <c r="DF1433"/>
  <c r="DH1433" s="1"/>
  <c r="DF1209"/>
  <c r="DH1209" s="1"/>
  <c r="DF773"/>
  <c r="DH773" s="1"/>
  <c r="DF506"/>
  <c r="DH506"/>
  <c r="DF1354"/>
  <c r="DH1354" s="1"/>
  <c r="DF1068"/>
  <c r="DH1068"/>
  <c r="DF1543"/>
  <c r="DH1543" s="1"/>
  <c r="DF730"/>
  <c r="DH730"/>
  <c r="DF425"/>
  <c r="DH425" s="1"/>
  <c r="DF1125"/>
  <c r="DH1125"/>
  <c r="DF430"/>
  <c r="DH430" s="1"/>
  <c r="DF779"/>
  <c r="DH779"/>
  <c r="DF477"/>
  <c r="DH477" s="1"/>
  <c r="DF771"/>
  <c r="DH771"/>
  <c r="DF512"/>
  <c r="DH512" s="1"/>
  <c r="DF270"/>
  <c r="DH270"/>
  <c r="DF68"/>
  <c r="DH68" s="1"/>
  <c r="DF265"/>
  <c r="DH265"/>
  <c r="DF67"/>
  <c r="DH67" s="1"/>
  <c r="DF256"/>
  <c r="DH256"/>
  <c r="DF86"/>
  <c r="DH86" s="1"/>
  <c r="DF271"/>
  <c r="DH271"/>
  <c r="DF149"/>
  <c r="DH149" s="1"/>
  <c r="DF27"/>
  <c r="DH27"/>
  <c r="EJ331"/>
  <c r="EL331" s="1"/>
  <c r="DX126"/>
  <c r="DZ126"/>
  <c r="DL49"/>
  <c r="DN49" s="1"/>
  <c r="EJ363"/>
  <c r="EL363"/>
  <c r="EJ429"/>
  <c r="EL429" s="1"/>
  <c r="EJ531"/>
  <c r="EL531"/>
  <c r="EJ503"/>
  <c r="EL503" s="1"/>
  <c r="EJ676"/>
  <c r="EL676"/>
  <c r="EJ252"/>
  <c r="EL252" s="1"/>
  <c r="EJ339"/>
  <c r="EL339"/>
  <c r="EJ588"/>
  <c r="EL588" s="1"/>
  <c r="EJ411"/>
  <c r="EL411"/>
  <c r="EJ381"/>
  <c r="EL381" s="1"/>
  <c r="EJ215"/>
  <c r="EL215"/>
  <c r="EJ371"/>
  <c r="EL371" s="1"/>
  <c r="DF1542"/>
  <c r="DH1542"/>
  <c r="DF1158"/>
  <c r="DH1158" s="1"/>
  <c r="DF826"/>
  <c r="DH826"/>
  <c r="DF1603"/>
  <c r="DH1603" s="1"/>
  <c r="DF1246"/>
  <c r="DH1246"/>
  <c r="DF863"/>
  <c r="DH863" s="1"/>
  <c r="DF580"/>
  <c r="DH580"/>
  <c r="DF1452"/>
  <c r="DH1452" s="1"/>
  <c r="DF1228"/>
  <c r="DH1228"/>
  <c r="DF727"/>
  <c r="DH727" s="1"/>
  <c r="DF1538"/>
  <c r="DH1538"/>
  <c r="DF1171"/>
  <c r="DH1171" s="1"/>
  <c r="DF831"/>
  <c r="DH831"/>
  <c r="DF1573"/>
  <c r="DH1573" s="1"/>
  <c r="DF1372"/>
  <c r="DH1372"/>
  <c r="DF1033"/>
  <c r="DH1033" s="1"/>
  <c r="DF623"/>
  <c r="DH623"/>
  <c r="DF1425"/>
  <c r="DH1425" s="1"/>
  <c r="DF1201"/>
  <c r="DH1201"/>
  <c r="DF853"/>
  <c r="DH853" s="1"/>
  <c r="DF498"/>
  <c r="DH498"/>
  <c r="DF1338"/>
  <c r="DH1338" s="1"/>
  <c r="DF1126"/>
  <c r="DH1126"/>
  <c r="DF1554"/>
  <c r="DH1554" s="1"/>
  <c r="DF795"/>
  <c r="DH795"/>
  <c r="DF417"/>
  <c r="DH417" s="1"/>
  <c r="DF1141"/>
  <c r="DH1141"/>
  <c r="DF398"/>
  <c r="DH398" s="1"/>
  <c r="DF897"/>
  <c r="DH897"/>
  <c r="DF505"/>
  <c r="DH505" s="1"/>
  <c r="DF881"/>
  <c r="DH881"/>
  <c r="DF491"/>
  <c r="DH491" s="1"/>
  <c r="DF266"/>
  <c r="DH266"/>
  <c r="DF64"/>
  <c r="DH64" s="1"/>
  <c r="DF261"/>
  <c r="DH261"/>
  <c r="DF59"/>
  <c r="DH59" s="1"/>
  <c r="DF252"/>
  <c r="DH252"/>
  <c r="DF94"/>
  <c r="DH94" s="1"/>
  <c r="DF346"/>
  <c r="DH346"/>
  <c r="DF199"/>
  <c r="DH199" s="1"/>
  <c r="DF50"/>
  <c r="DH50"/>
  <c r="EJ92"/>
  <c r="EL92" s="1"/>
  <c r="EJ338"/>
  <c r="EL338"/>
  <c r="DR28"/>
  <c r="DT28" s="1"/>
  <c r="EJ269"/>
  <c r="EL269"/>
  <c r="DR53"/>
  <c r="DT53" s="1"/>
  <c r="EJ446"/>
  <c r="EL446"/>
  <c r="DR160"/>
  <c r="DT160" s="1"/>
  <c r="DX878"/>
  <c r="DZ878"/>
  <c r="EJ368"/>
  <c r="EL368" s="1"/>
  <c r="DR46"/>
  <c r="DT46"/>
  <c r="DR792"/>
  <c r="DT792" s="1"/>
  <c r="EJ27"/>
  <c r="EL27"/>
  <c r="DF133"/>
  <c r="DH133" s="1"/>
  <c r="DF66"/>
  <c r="DH66"/>
  <c r="DF83"/>
  <c r="DH83" s="1"/>
  <c r="DF88"/>
  <c r="DH88"/>
  <c r="DF151"/>
  <c r="DH151" s="1"/>
  <c r="DF445"/>
  <c r="DH445"/>
  <c r="DF1353"/>
  <c r="DH1353" s="1"/>
  <c r="DF457"/>
  <c r="DH457"/>
  <c r="DF1321"/>
  <c r="DH1321" s="1"/>
  <c r="DF1386"/>
  <c r="DH1386"/>
  <c r="DF724"/>
  <c r="DH724" s="1"/>
  <c r="DF1473"/>
  <c r="DH1473"/>
  <c r="DF992"/>
  <c r="DH992" s="1"/>
  <c r="DF1630"/>
  <c r="DH1630"/>
  <c r="DF1211"/>
  <c r="DH1211" s="1"/>
  <c r="DF670"/>
  <c r="DH670"/>
  <c r="DF1420"/>
  <c r="DH1420" s="1"/>
  <c r="DF809"/>
  <c r="DH809"/>
  <c r="DF1675"/>
  <c r="DH1675" s="1"/>
  <c r="DF1214"/>
  <c r="DH1214"/>
  <c r="DR855"/>
  <c r="DT855" s="1"/>
  <c r="EJ237"/>
  <c r="EL237"/>
  <c r="EJ40"/>
  <c r="EL40" s="1"/>
  <c r="DF1594"/>
  <c r="DH1594"/>
  <c r="DF1584"/>
  <c r="DH1584" s="1"/>
  <c r="DF1558"/>
  <c r="DH1558"/>
  <c r="AJ94" i="5"/>
  <c r="DF1348" i="4"/>
  <c r="DH1348" s="1"/>
  <c r="AJ28" i="5"/>
  <c r="DF1518" i="4"/>
  <c r="DH1518"/>
  <c r="DF1403"/>
  <c r="DH1403" s="1"/>
  <c r="DF1256"/>
  <c r="DH1256"/>
  <c r="DF1150"/>
  <c r="DH1150" s="1"/>
  <c r="DF250"/>
  <c r="DH250"/>
  <c r="DF311"/>
  <c r="DH311" s="1"/>
  <c r="DF100"/>
  <c r="DH100"/>
  <c r="EJ637"/>
  <c r="EL637" s="1"/>
  <c r="DR265"/>
  <c r="DT265"/>
  <c r="DF1330"/>
  <c r="DH1330" s="1"/>
  <c r="EJ294"/>
  <c r="EL294"/>
  <c r="DF272"/>
  <c r="DH272" s="1"/>
  <c r="DF1101"/>
  <c r="DH1101"/>
  <c r="DF1039"/>
  <c r="DH1039" s="1"/>
  <c r="DF1234"/>
  <c r="DH1234"/>
  <c r="DF1277"/>
  <c r="DH1277" s="1"/>
  <c r="DF1376"/>
  <c r="DH1376"/>
  <c r="ED15"/>
  <c r="EF15" s="1"/>
  <c r="EJ459"/>
  <c r="EL459"/>
  <c r="EJ120"/>
  <c r="EL120" s="1"/>
  <c r="EJ213"/>
  <c r="EL213"/>
  <c r="ED55"/>
  <c r="EF55" s="1"/>
  <c r="DX809"/>
  <c r="DZ809"/>
  <c r="DX633"/>
  <c r="DZ633" s="1"/>
  <c r="DX430"/>
  <c r="DZ430"/>
  <c r="DX192"/>
  <c r="DZ192" s="1"/>
  <c r="DX61"/>
  <c r="DZ61"/>
  <c r="DR720"/>
  <c r="DT720" s="1"/>
  <c r="DR655"/>
  <c r="DT655"/>
  <c r="DR471"/>
  <c r="DT471" s="1"/>
  <c r="DR337"/>
  <c r="DT337"/>
  <c r="DR236"/>
  <c r="DT236" s="1"/>
  <c r="DF943"/>
  <c r="DH943"/>
  <c r="EJ474"/>
  <c r="EL474" s="1"/>
  <c r="EJ119"/>
  <c r="EL119"/>
  <c r="EJ179"/>
  <c r="EL179" s="1"/>
  <c r="EJ685"/>
  <c r="EL685"/>
  <c r="DX896"/>
  <c r="DZ896" s="1"/>
  <c r="DX667"/>
  <c r="DZ667"/>
  <c r="DX466"/>
  <c r="DZ466" s="1"/>
  <c r="DX247"/>
  <c r="DZ247"/>
  <c r="DX84"/>
  <c r="DZ84" s="1"/>
  <c r="DR802"/>
  <c r="DT802"/>
  <c r="DR639"/>
  <c r="DT639" s="1"/>
  <c r="DR575"/>
  <c r="DT575"/>
  <c r="DR388"/>
  <c r="DT388" s="1"/>
  <c r="DR288"/>
  <c r="DT288"/>
  <c r="DL12"/>
  <c r="DN12" s="1"/>
  <c r="EJ347"/>
  <c r="EL347"/>
  <c r="EJ651"/>
  <c r="EL651" s="1"/>
  <c r="EJ282"/>
  <c r="EL282"/>
  <c r="ED50"/>
  <c r="EF50" s="1"/>
  <c r="DX819"/>
  <c r="DZ819"/>
  <c r="DX579"/>
  <c r="DZ579" s="1"/>
  <c r="AN36" i="5"/>
  <c r="DX407" i="4"/>
  <c r="DZ407" s="1"/>
  <c r="DX201"/>
  <c r="DZ201" s="1"/>
  <c r="DX29"/>
  <c r="DZ29" s="1"/>
  <c r="DR729"/>
  <c r="DT729" s="1"/>
  <c r="DR594"/>
  <c r="DT594" s="1"/>
  <c r="DR478"/>
  <c r="DT478"/>
  <c r="DR358"/>
  <c r="DT358" s="1"/>
  <c r="DR277"/>
  <c r="DT277" s="1"/>
  <c r="DL39"/>
  <c r="DN39" s="1"/>
  <c r="DF759"/>
  <c r="DH759" s="1"/>
  <c r="AJ42" i="5"/>
  <c r="EJ81" i="4"/>
  <c r="EL81"/>
  <c r="EJ543"/>
  <c r="EL543" s="1"/>
  <c r="EJ554"/>
  <c r="EL554"/>
  <c r="EJ293"/>
  <c r="EL293" s="1"/>
  <c r="EJ333"/>
  <c r="EL333"/>
  <c r="EJ679"/>
  <c r="EL679" s="1"/>
  <c r="DX911"/>
  <c r="DZ911"/>
  <c r="DX731"/>
  <c r="DZ731" s="1"/>
  <c r="DX581"/>
  <c r="DZ581"/>
  <c r="DX433"/>
  <c r="DZ433" s="1"/>
  <c r="DX272"/>
  <c r="DZ272"/>
  <c r="DX153"/>
  <c r="DZ153" s="1"/>
  <c r="DX58"/>
  <c r="DZ58"/>
  <c r="DR757"/>
  <c r="DT757" s="1"/>
  <c r="DR681"/>
  <c r="DT681"/>
  <c r="DR589"/>
  <c r="DT589" s="1"/>
  <c r="DR483"/>
  <c r="DT483"/>
  <c r="DR399"/>
  <c r="DT399" s="1"/>
  <c r="DR283"/>
  <c r="DT283"/>
  <c r="DR196"/>
  <c r="DT196" s="1"/>
  <c r="DF938"/>
  <c r="DH938"/>
  <c r="EJ311"/>
  <c r="EL311" s="1"/>
  <c r="EJ585"/>
  <c r="EL585"/>
  <c r="EJ467"/>
  <c r="EL467" s="1"/>
  <c r="DR163"/>
  <c r="DT163"/>
  <c r="ED39"/>
  <c r="EF39" s="1"/>
  <c r="DX834"/>
  <c r="DZ834"/>
  <c r="DX672"/>
  <c r="DZ672" s="1"/>
  <c r="DX564"/>
  <c r="DZ564"/>
  <c r="DX420"/>
  <c r="DZ420" s="1"/>
  <c r="DX224"/>
  <c r="DZ224"/>
  <c r="DX139"/>
  <c r="DZ139" s="1"/>
  <c r="DR818"/>
  <c r="DT818"/>
  <c r="DR704"/>
  <c r="DT704" s="1"/>
  <c r="DR654"/>
  <c r="DT654"/>
  <c r="DR532"/>
  <c r="DT532" s="1"/>
  <c r="DR401"/>
  <c r="DT401"/>
  <c r="AL33" i="5"/>
  <c r="DR364" i="4"/>
  <c r="DT364" s="1"/>
  <c r="DR253"/>
  <c r="DT253"/>
  <c r="DL23"/>
  <c r="DN23" s="1"/>
  <c r="EJ84"/>
  <c r="EL84" s="1"/>
  <c r="EJ596"/>
  <c r="EL596" s="1"/>
  <c r="EJ482"/>
  <c r="EL482" s="1"/>
  <c r="DR21"/>
  <c r="DT21" s="1"/>
  <c r="EJ72"/>
  <c r="EL72" s="1"/>
  <c r="EJ225"/>
  <c r="EL225" s="1"/>
  <c r="EJ59"/>
  <c r="EL59" s="1"/>
  <c r="DR30"/>
  <c r="DT30" s="1"/>
  <c r="DX954"/>
  <c r="DZ954" s="1"/>
  <c r="DX817"/>
  <c r="DZ817" s="1"/>
  <c r="DX636"/>
  <c r="DZ636" s="1"/>
  <c r="DX484"/>
  <c r="DZ484" s="1"/>
  <c r="DX290"/>
  <c r="DZ290" s="1"/>
  <c r="AN18" i="5"/>
  <c r="DX215" i="4"/>
  <c r="DZ215"/>
  <c r="DX103"/>
  <c r="DZ103" s="1"/>
  <c r="DR785"/>
  <c r="DT785"/>
  <c r="DR698"/>
  <c r="DT698" s="1"/>
  <c r="DR603"/>
  <c r="DT603" s="1"/>
  <c r="DR536"/>
  <c r="DT536" s="1"/>
  <c r="DR486"/>
  <c r="DT486" s="1"/>
  <c r="DR442"/>
  <c r="DT442" s="1"/>
  <c r="DR368"/>
  <c r="DT368"/>
  <c r="DR272"/>
  <c r="DT272" s="1"/>
  <c r="DR207"/>
  <c r="DT207" s="1"/>
  <c r="DL22"/>
  <c r="DN22" s="1"/>
  <c r="DF942"/>
  <c r="DH942"/>
  <c r="EJ303"/>
  <c r="EL303" s="1"/>
  <c r="EJ348"/>
  <c r="EL348" s="1"/>
  <c r="EJ626"/>
  <c r="EL626" s="1"/>
  <c r="DR38"/>
  <c r="DT38"/>
  <c r="EJ599"/>
  <c r="EL599" s="1"/>
  <c r="EJ419"/>
  <c r="EL419" s="1"/>
  <c r="DF22"/>
  <c r="DH22" s="1"/>
  <c r="EJ77"/>
  <c r="EL77"/>
  <c r="DX302"/>
  <c r="DZ302" s="1"/>
  <c r="DR25"/>
  <c r="DT25" s="1"/>
  <c r="ED61"/>
  <c r="EF61" s="1"/>
  <c r="DX945"/>
  <c r="DZ945"/>
  <c r="DX862"/>
  <c r="DZ862" s="1"/>
  <c r="DX791"/>
  <c r="DZ791" s="1"/>
  <c r="DX711"/>
  <c r="DZ711" s="1"/>
  <c r="AN42" i="5"/>
  <c r="DX643" i="4"/>
  <c r="DZ643" s="1"/>
  <c r="DX558"/>
  <c r="DZ558" s="1"/>
  <c r="DX533"/>
  <c r="DZ533" s="1"/>
  <c r="DX419"/>
  <c r="DZ419" s="1"/>
  <c r="DX399"/>
  <c r="DZ399" s="1"/>
  <c r="DX236"/>
  <c r="DZ236" s="1"/>
  <c r="DX174"/>
  <c r="DZ174" s="1"/>
  <c r="DX159"/>
  <c r="DZ159" s="1"/>
  <c r="DX64"/>
  <c r="DZ64" s="1"/>
  <c r="DR814"/>
  <c r="DT814" s="1"/>
  <c r="DR788"/>
  <c r="DT788" s="1"/>
  <c r="DR742"/>
  <c r="DT742" s="1"/>
  <c r="DR687"/>
  <c r="DT687" s="1"/>
  <c r="DR627"/>
  <c r="DT627" s="1"/>
  <c r="DR610"/>
  <c r="DT610" s="1"/>
  <c r="DR551"/>
  <c r="DT551" s="1"/>
  <c r="DR527"/>
  <c r="DT527" s="1"/>
  <c r="DR491"/>
  <c r="DT491" s="1"/>
  <c r="DR447"/>
  <c r="DT447" s="1"/>
  <c r="DR333"/>
  <c r="DT333" s="1"/>
  <c r="DR324"/>
  <c r="DT324" s="1"/>
  <c r="DR293"/>
  <c r="DT293" s="1"/>
  <c r="DR228"/>
  <c r="DT228" s="1"/>
  <c r="AL63" i="5"/>
  <c r="DL16" i="4"/>
  <c r="DN16" s="1"/>
  <c r="DF962"/>
  <c r="DH962"/>
  <c r="DF907"/>
  <c r="DH907" s="1"/>
  <c r="EJ412"/>
  <c r="EL412"/>
  <c r="EJ150"/>
  <c r="EL150" s="1"/>
  <c r="EJ117"/>
  <c r="EL117"/>
  <c r="EJ615"/>
  <c r="EL615" s="1"/>
  <c r="DX955"/>
  <c r="DZ955"/>
  <c r="DX440"/>
  <c r="DZ440" s="1"/>
  <c r="DR741"/>
  <c r="DT741"/>
  <c r="DR336"/>
  <c r="DT336" s="1"/>
  <c r="EJ218"/>
  <c r="EL218"/>
  <c r="ED86"/>
  <c r="EF86" s="1"/>
  <c r="DX293"/>
  <c r="DZ293"/>
  <c r="DR633"/>
  <c r="DT633" s="1"/>
  <c r="DR280"/>
  <c r="DT280"/>
  <c r="EJ53"/>
  <c r="EL53" s="1"/>
  <c r="DX860"/>
  <c r="DZ860"/>
  <c r="DX250"/>
  <c r="DZ250" s="1"/>
  <c r="DR616"/>
  <c r="DT616"/>
  <c r="AL61" i="5"/>
  <c r="DR267" i="4"/>
  <c r="DT267" s="1"/>
  <c r="DR52"/>
  <c r="DT52" s="1"/>
  <c r="EJ631"/>
  <c r="EL631" s="1"/>
  <c r="EJ204"/>
  <c r="EL204" s="1"/>
  <c r="EJ195"/>
  <c r="EL195" s="1"/>
  <c r="DX959"/>
  <c r="DZ959" s="1"/>
  <c r="EJ75"/>
  <c r="EL75" s="1"/>
  <c r="EJ351"/>
  <c r="EL351" s="1"/>
  <c r="DR846"/>
  <c r="DT846" s="1"/>
  <c r="EJ64"/>
  <c r="EL64" s="1"/>
  <c r="DR77"/>
  <c r="DT77" s="1"/>
  <c r="EJ69"/>
  <c r="EL69" s="1"/>
  <c r="DF1384"/>
  <c r="DH1384" s="1"/>
  <c r="DF856"/>
  <c r="DH856" s="1"/>
  <c r="AJ61" i="5"/>
  <c r="DF1633" i="4"/>
  <c r="DH1633" s="1"/>
  <c r="DF1294"/>
  <c r="DH1294"/>
  <c r="DF841"/>
  <c r="DH841" s="1"/>
  <c r="DF1632"/>
  <c r="DH1632"/>
  <c r="DF1293"/>
  <c r="DH1293" s="1"/>
  <c r="DF832"/>
  <c r="DH832"/>
  <c r="DF1511"/>
  <c r="DH1511" s="1"/>
  <c r="DF1219"/>
  <c r="DH1219"/>
  <c r="DF734"/>
  <c r="DH734" s="1"/>
  <c r="DF1450"/>
  <c r="DH1450"/>
  <c r="DF1144"/>
  <c r="DH1144"/>
  <c r="DF741"/>
  <c r="DH741"/>
  <c r="DF1449"/>
  <c r="DH1449"/>
  <c r="DF1143"/>
  <c r="DH1143"/>
  <c r="DF756"/>
  <c r="DH756"/>
  <c r="DF1508"/>
  <c r="DH1508"/>
  <c r="DF1216"/>
  <c r="DH1216"/>
  <c r="DF1597"/>
  <c r="DH1597"/>
  <c r="DF611"/>
  <c r="DH611"/>
  <c r="DF465"/>
  <c r="DH465"/>
  <c r="DF636"/>
  <c r="DH636"/>
  <c r="DF508"/>
  <c r="DH508"/>
  <c r="DF772"/>
  <c r="DH772"/>
  <c r="DF1525"/>
  <c r="DH1525"/>
  <c r="DF466"/>
  <c r="DH466"/>
  <c r="DF158"/>
  <c r="DH158"/>
  <c r="DF300"/>
  <c r="DH300"/>
  <c r="DF98"/>
  <c r="DH98"/>
  <c r="DF351"/>
  <c r="DH351"/>
  <c r="DF113"/>
  <c r="DH113"/>
  <c r="DR33"/>
  <c r="DT33"/>
  <c r="DX325"/>
  <c r="DZ325"/>
  <c r="DX777"/>
  <c r="DZ777"/>
  <c r="DX151"/>
  <c r="DZ151"/>
  <c r="DR568"/>
  <c r="DT568"/>
  <c r="DR232"/>
  <c r="DT232"/>
  <c r="EJ127"/>
  <c r="EL127"/>
  <c r="EJ144"/>
  <c r="EL144"/>
  <c r="DX707"/>
  <c r="DZ707"/>
  <c r="DX35"/>
  <c r="DZ35"/>
  <c r="DR608"/>
  <c r="DT608"/>
  <c r="DR230"/>
  <c r="DT230"/>
  <c r="EJ111"/>
  <c r="EL111"/>
  <c r="DX19"/>
  <c r="DZ19"/>
  <c r="DF766"/>
  <c r="DH766"/>
  <c r="EJ557"/>
  <c r="EL557"/>
  <c r="EJ47"/>
  <c r="EL47"/>
  <c r="EJ307"/>
  <c r="EL307"/>
  <c r="DF916"/>
  <c r="DH916"/>
  <c r="DR90"/>
  <c r="DT90"/>
  <c r="DX871"/>
  <c r="DZ871"/>
  <c r="EJ175"/>
  <c r="EL175"/>
  <c r="EJ106"/>
  <c r="EL106"/>
  <c r="AP74" i="5"/>
  <c r="EJ408" i="4"/>
  <c r="EL408" s="1"/>
  <c r="EJ643"/>
  <c r="EL643" s="1"/>
  <c r="EJ621"/>
  <c r="EL621" s="1"/>
  <c r="AP96" i="5"/>
  <c r="EJ34" i="4"/>
  <c r="EL34"/>
  <c r="DF1360"/>
  <c r="DH1360" s="1"/>
  <c r="DF1037"/>
  <c r="DH1037" s="1"/>
  <c r="DF613"/>
  <c r="DH613" s="1"/>
  <c r="DF1359"/>
  <c r="DH1359"/>
  <c r="DF1036"/>
  <c r="DH1036" s="1"/>
  <c r="DF626"/>
  <c r="DH626"/>
  <c r="DF1504"/>
  <c r="DH1504" s="1"/>
  <c r="AJ14" i="5"/>
  <c r="DF1180" i="4"/>
  <c r="DH1180" s="1"/>
  <c r="DF768"/>
  <c r="DH768" s="1"/>
  <c r="DF1640"/>
  <c r="DH1640" s="1"/>
  <c r="DF1284"/>
  <c r="DH1284" s="1"/>
  <c r="DF893"/>
  <c r="DH893" s="1"/>
  <c r="DF531"/>
  <c r="DH531" s="1"/>
  <c r="DF1332"/>
  <c r="DH1332" s="1"/>
  <c r="DF1112"/>
  <c r="DH1112" s="1"/>
  <c r="DF676"/>
  <c r="DH676" s="1"/>
  <c r="DF1556"/>
  <c r="DH1556" s="1"/>
  <c r="AJ93" i="5"/>
  <c r="DF1314" i="4"/>
  <c r="DH1314"/>
  <c r="DF813"/>
  <c r="DH813" s="1"/>
  <c r="DF537"/>
  <c r="DH537" s="1"/>
  <c r="DF1496"/>
  <c r="DH1496" s="1"/>
  <c r="DF1078"/>
  <c r="DH1078"/>
  <c r="DF1624"/>
  <c r="DH1624" s="1"/>
  <c r="DF1215"/>
  <c r="DH1215"/>
  <c r="DF534"/>
  <c r="DH534" s="1"/>
  <c r="DF1402"/>
  <c r="DH1402"/>
  <c r="DF855"/>
  <c r="DH855" s="1"/>
  <c r="DF1296"/>
  <c r="DH1296" s="1"/>
  <c r="DF605"/>
  <c r="DH605" s="1"/>
  <c r="DF1329"/>
  <c r="DH1329"/>
  <c r="DF536"/>
  <c r="DH536" s="1"/>
  <c r="DF242"/>
  <c r="DH242"/>
  <c r="DF140"/>
  <c r="DH140" s="1"/>
  <c r="DF237"/>
  <c r="DH237"/>
  <c r="DF139"/>
  <c r="DH139" s="1"/>
  <c r="DF228"/>
  <c r="DH228" s="1"/>
  <c r="DF126"/>
  <c r="DH126" s="1"/>
  <c r="DF358"/>
  <c r="DH358"/>
  <c r="DF156"/>
  <c r="DH156" s="1"/>
  <c r="DF48"/>
  <c r="DH48"/>
  <c r="EJ402"/>
  <c r="EL402" s="1"/>
  <c r="EJ318"/>
  <c r="EL318"/>
  <c r="DR79"/>
  <c r="DT79" s="1"/>
  <c r="EJ20"/>
  <c r="EL20" s="1"/>
  <c r="EJ382"/>
  <c r="EL382" s="1"/>
  <c r="EJ300"/>
  <c r="EL300"/>
  <c r="EJ533"/>
  <c r="EL533" s="1"/>
  <c r="DX355"/>
  <c r="DZ355"/>
  <c r="DR317"/>
  <c r="DT317" s="1"/>
  <c r="EJ200"/>
  <c r="EL200"/>
  <c r="EJ580"/>
  <c r="EL580" s="1"/>
  <c r="EJ600"/>
  <c r="EL600" s="1"/>
  <c r="EJ414"/>
  <c r="EL414" s="1"/>
  <c r="ED91"/>
  <c r="EF91"/>
  <c r="DX890"/>
  <c r="DZ890" s="1"/>
  <c r="EJ160"/>
  <c r="EL160"/>
  <c r="EJ492"/>
  <c r="EL492" s="1"/>
  <c r="EJ198"/>
  <c r="EL198"/>
  <c r="EJ141"/>
  <c r="EL141" s="1"/>
  <c r="EJ421"/>
  <c r="EL421" s="1"/>
  <c r="DR105"/>
  <c r="DT105" s="1"/>
  <c r="DF1634"/>
  <c r="DH1634"/>
  <c r="DF1263"/>
  <c r="DH1263" s="1"/>
  <c r="DF872"/>
  <c r="DH872"/>
  <c r="DF573"/>
  <c r="DH573" s="1"/>
  <c r="DF1351"/>
  <c r="DH1351"/>
  <c r="DF1064"/>
  <c r="DH1064" s="1"/>
  <c r="DF618"/>
  <c r="DH618" s="1"/>
  <c r="DF1513"/>
  <c r="DH1513" s="1"/>
  <c r="DF1172"/>
  <c r="DH1172"/>
  <c r="DF848"/>
  <c r="DH848" s="1"/>
  <c r="DF1631"/>
  <c r="DH1631"/>
  <c r="DF1276"/>
  <c r="DH1276" s="1"/>
  <c r="DF877"/>
  <c r="DH877"/>
  <c r="DF523"/>
  <c r="DH523" s="1"/>
  <c r="DF1324"/>
  <c r="DH1324" s="1"/>
  <c r="DF1104"/>
  <c r="DH1104" s="1"/>
  <c r="DF668"/>
  <c r="DH668"/>
  <c r="DF1679"/>
  <c r="DH1679" s="1"/>
  <c r="DF1306"/>
  <c r="DH1306"/>
  <c r="DF899"/>
  <c r="DH899" s="1"/>
  <c r="DF529"/>
  <c r="DH529"/>
  <c r="DF1488"/>
  <c r="DH1488" s="1"/>
  <c r="DF1070"/>
  <c r="DH1070" s="1"/>
  <c r="DF1615"/>
  <c r="DH1615" s="1"/>
  <c r="DF1264"/>
  <c r="DH1264"/>
  <c r="DF591"/>
  <c r="DH591" s="1"/>
  <c r="DF1507"/>
  <c r="DH1507"/>
  <c r="DF407"/>
  <c r="DH407" s="1"/>
  <c r="DF1345"/>
  <c r="DH1345"/>
  <c r="DF575"/>
  <c r="DH575" s="1"/>
  <c r="DF1495"/>
  <c r="DH1495" s="1"/>
  <c r="DF873"/>
  <c r="DH873" s="1"/>
  <c r="DF238"/>
  <c r="DH238"/>
  <c r="DF132"/>
  <c r="DH132" s="1"/>
  <c r="DF233"/>
  <c r="DH233"/>
  <c r="DF135"/>
  <c r="DH135" s="1"/>
  <c r="DF224"/>
  <c r="DH224"/>
  <c r="DF121"/>
  <c r="DH121" s="1"/>
  <c r="DF354"/>
  <c r="DH354" s="1"/>
  <c r="DF218"/>
  <c r="DH218" s="1"/>
  <c r="DF40"/>
  <c r="DH40"/>
  <c r="EJ151"/>
  <c r="EL151" s="1"/>
  <c r="EJ323"/>
  <c r="EL323"/>
  <c r="EJ432"/>
  <c r="EL432" s="1"/>
  <c r="EJ367"/>
  <c r="EL367"/>
  <c r="DX66"/>
  <c r="DZ66" s="1"/>
  <c r="DL18"/>
  <c r="DN18" s="1"/>
  <c r="EJ135"/>
  <c r="EL135" s="1"/>
  <c r="DR844"/>
  <c r="DT844"/>
  <c r="DR120"/>
  <c r="DT120" s="1"/>
  <c r="DX906"/>
  <c r="DZ906"/>
  <c r="EJ147"/>
  <c r="EL147" s="1"/>
  <c r="EJ646"/>
  <c r="EL646"/>
  <c r="EJ270"/>
  <c r="EL270" s="1"/>
  <c r="EJ126"/>
  <c r="EL126" s="1"/>
  <c r="EJ450"/>
  <c r="EL450" s="1"/>
  <c r="DR64"/>
  <c r="DT64"/>
  <c r="DF1613"/>
  <c r="DH1613" s="1"/>
  <c r="DF1255"/>
  <c r="DH1255"/>
  <c r="DF864"/>
  <c r="DH864" s="1"/>
  <c r="DF565"/>
  <c r="DH565"/>
  <c r="DF1343"/>
  <c r="DH1343" s="1"/>
  <c r="DF1131"/>
  <c r="DH1131" s="1"/>
  <c r="DF661"/>
  <c r="DH661" s="1"/>
  <c r="DF1531"/>
  <c r="DH1531"/>
  <c r="DF1164"/>
  <c r="DH1164" s="1"/>
  <c r="DF840"/>
  <c r="DH840"/>
  <c r="DF1619"/>
  <c r="DH1619" s="1"/>
  <c r="DF1268"/>
  <c r="DH1268"/>
  <c r="DF869"/>
  <c r="DH869" s="1"/>
  <c r="DF602"/>
  <c r="DH602" s="1"/>
  <c r="DF1417"/>
  <c r="DH1417" s="1"/>
  <c r="DF1096"/>
  <c r="DH1096"/>
  <c r="DF749"/>
  <c r="DH749" s="1"/>
  <c r="DF1671"/>
  <c r="DH1671"/>
  <c r="DF1298"/>
  <c r="DH1298" s="1"/>
  <c r="DF891"/>
  <c r="DH891"/>
  <c r="DF521"/>
  <c r="DH521" s="1"/>
  <c r="DF1472"/>
  <c r="DH1472" s="1"/>
  <c r="DF1142"/>
  <c r="DH1142" s="1"/>
  <c r="DF1606"/>
  <c r="DH1606"/>
  <c r="DF1377"/>
  <c r="DH1377" s="1"/>
  <c r="DF637"/>
  <c r="DH637"/>
  <c r="DF405"/>
  <c r="DH405" s="1"/>
  <c r="DF399"/>
  <c r="DH399"/>
  <c r="DF1447"/>
  <c r="DH1447" s="1"/>
  <c r="DF653"/>
  <c r="DH653" s="1"/>
  <c r="DF1431"/>
  <c r="DH1431" s="1"/>
  <c r="DF403"/>
  <c r="DH403"/>
  <c r="DF234"/>
  <c r="DH234" s="1"/>
  <c r="DF128"/>
  <c r="DH128"/>
  <c r="DF229"/>
  <c r="DH229" s="1"/>
  <c r="DF127"/>
  <c r="DH127"/>
  <c r="DF367"/>
  <c r="DH367" s="1"/>
  <c r="DF54"/>
  <c r="DH54" s="1"/>
  <c r="DF239"/>
  <c r="DH239" s="1"/>
  <c r="DF116"/>
  <c r="DH116"/>
  <c r="DF31"/>
  <c r="DH31" s="1"/>
  <c r="DR166"/>
  <c r="DT166"/>
  <c r="DX389"/>
  <c r="DZ389" s="1"/>
  <c r="DR379"/>
  <c r="DT379"/>
  <c r="EJ125"/>
  <c r="EL125" s="1"/>
  <c r="EJ283"/>
  <c r="EL283" s="1"/>
  <c r="EJ345"/>
  <c r="EL345" s="1"/>
  <c r="EJ71"/>
  <c r="EL71"/>
  <c r="DR126"/>
  <c r="DT126" s="1"/>
  <c r="DX895"/>
  <c r="DZ895"/>
  <c r="EJ133"/>
  <c r="EL133" s="1"/>
  <c r="EJ398"/>
  <c r="EL398"/>
  <c r="EJ609"/>
  <c r="EL609" s="1"/>
  <c r="EJ113"/>
  <c r="EL113" s="1"/>
  <c r="DR41"/>
  <c r="DT41" s="1"/>
  <c r="DR62"/>
  <c r="DT62"/>
  <c r="DF1604"/>
  <c r="DH1604" s="1"/>
  <c r="DF1247"/>
  <c r="DH1247"/>
  <c r="DF988"/>
  <c r="DH988" s="1"/>
  <c r="DF659"/>
  <c r="DH659"/>
  <c r="DF1335"/>
  <c r="DH1335" s="1"/>
  <c r="DF1123"/>
  <c r="DH1123" s="1"/>
  <c r="DF703"/>
  <c r="DH703" s="1"/>
  <c r="DF1540"/>
  <c r="DH1540"/>
  <c r="DF1237"/>
  <c r="DH1237" s="1"/>
  <c r="AJ73" i="5"/>
  <c r="DF824" i="4"/>
  <c r="DH824" s="1"/>
  <c r="DF1610"/>
  <c r="DH1610" s="1"/>
  <c r="DF1260"/>
  <c r="DH1260" s="1"/>
  <c r="DF861"/>
  <c r="DH861" s="1"/>
  <c r="DF594"/>
  <c r="DH594" s="1"/>
  <c r="DF1498"/>
  <c r="DH1498" s="1"/>
  <c r="DF1088"/>
  <c r="DH1088" s="1"/>
  <c r="DF733"/>
  <c r="DH733" s="1"/>
  <c r="DF1662"/>
  <c r="DH1662" s="1"/>
  <c r="DF1290"/>
  <c r="DH1290" s="1"/>
  <c r="DF883"/>
  <c r="DH883" s="1"/>
  <c r="DF608"/>
  <c r="DH608" s="1"/>
  <c r="DF1464"/>
  <c r="DH1464" s="1"/>
  <c r="DF1151"/>
  <c r="DH1151" s="1"/>
  <c r="DF1588"/>
  <c r="DH1588" s="1"/>
  <c r="DF1479"/>
  <c r="DH1479" s="1"/>
  <c r="DF706"/>
  <c r="DH706" s="1"/>
  <c r="DF381"/>
  <c r="DH381" s="1"/>
  <c r="DF391"/>
  <c r="DH391" s="1"/>
  <c r="DF1516"/>
  <c r="DH1516" s="1"/>
  <c r="DF621"/>
  <c r="DH621" s="1"/>
  <c r="DF370"/>
  <c r="DH370" s="1"/>
  <c r="DF395"/>
  <c r="DH395" s="1"/>
  <c r="DF230"/>
  <c r="DH230" s="1"/>
  <c r="DF124"/>
  <c r="DH124" s="1"/>
  <c r="DF225"/>
  <c r="DH225" s="1"/>
  <c r="AJ63" i="5"/>
  <c r="AS63" s="1"/>
  <c r="N63"/>
  <c r="F63" s="1"/>
  <c r="O63" s="1"/>
  <c r="H63" s="1"/>
  <c r="X37" i="1"/>
  <c r="DF122" i="4"/>
  <c r="DH122" s="1"/>
  <c r="DF363"/>
  <c r="DH363" s="1"/>
  <c r="DF109"/>
  <c r="DH109" s="1"/>
  <c r="AJ58" i="5"/>
  <c r="DF314" i="4"/>
  <c r="DH314" s="1"/>
  <c r="DF167"/>
  <c r="DH167" s="1"/>
  <c r="DF81"/>
  <c r="DH81" s="1"/>
  <c r="DX994"/>
  <c r="DZ994" s="1"/>
  <c r="DF208"/>
  <c r="DH208" s="1"/>
  <c r="EJ305"/>
  <c r="EL305" s="1"/>
  <c r="DR12"/>
  <c r="DT12" s="1"/>
  <c r="EJ102"/>
  <c r="EL102" s="1"/>
  <c r="DX335"/>
  <c r="DZ335" s="1"/>
  <c r="ED21"/>
  <c r="EF21" s="1"/>
  <c r="EJ118"/>
  <c r="EL118" s="1"/>
  <c r="EJ272"/>
  <c r="EL272" s="1"/>
  <c r="DR80"/>
  <c r="DT80" s="1"/>
  <c r="DX136"/>
  <c r="DZ136" s="1"/>
  <c r="DF970"/>
  <c r="DH970" s="1"/>
  <c r="EJ346"/>
  <c r="EL346" s="1"/>
  <c r="DF33"/>
  <c r="DH33" s="1"/>
  <c r="DF334"/>
  <c r="DH334" s="1"/>
  <c r="DF347"/>
  <c r="DH347" s="1"/>
  <c r="DF356"/>
  <c r="DH356" s="1"/>
  <c r="DF361"/>
  <c r="DH361" s="1"/>
  <c r="DF418"/>
  <c r="DH418" s="1"/>
  <c r="DF471"/>
  <c r="DH471" s="1"/>
  <c r="DF414"/>
  <c r="DH414" s="1"/>
  <c r="DF450"/>
  <c r="DH450" s="1"/>
  <c r="DF1208"/>
  <c r="DH1208" s="1"/>
  <c r="DF576"/>
  <c r="DH576" s="1"/>
  <c r="DF1258"/>
  <c r="DH1258" s="1"/>
  <c r="DF798"/>
  <c r="DH798" s="1"/>
  <c r="DF1474"/>
  <c r="DH1474" s="1"/>
  <c r="DF1005"/>
  <c r="DH1005" s="1"/>
  <c r="DF1583"/>
  <c r="DH1583" s="1"/>
  <c r="DF1285"/>
  <c r="DH1285" s="1"/>
  <c r="DF671"/>
  <c r="DH671" s="1"/>
  <c r="DF1412"/>
  <c r="DH1412" s="1"/>
  <c r="DF1008"/>
  <c r="DH1008" s="1"/>
  <c r="DF1586"/>
  <c r="DH1586" s="1"/>
  <c r="EJ61"/>
  <c r="EL61" s="1"/>
  <c r="DR87"/>
  <c r="DT87" s="1"/>
  <c r="DX933"/>
  <c r="DZ933" s="1"/>
  <c r="EJ375"/>
  <c r="EL375" s="1"/>
  <c r="EJ13"/>
  <c r="EL13" s="1"/>
  <c r="DR187"/>
  <c r="DT187" s="1"/>
  <c r="DF188"/>
  <c r="DH188" s="1"/>
  <c r="DF262"/>
  <c r="DH262" s="1"/>
  <c r="DF389"/>
  <c r="DH389" s="1"/>
  <c r="DF843"/>
  <c r="DH843" s="1"/>
  <c r="DF845"/>
  <c r="DH845" s="1"/>
  <c r="DF1025"/>
  <c r="DH1025" s="1"/>
  <c r="DF1333"/>
  <c r="DH1333" s="1"/>
  <c r="DF572"/>
  <c r="DH572" s="1"/>
  <c r="DF770"/>
  <c r="DH770" s="1"/>
  <c r="EJ240"/>
  <c r="EL240" s="1"/>
  <c r="DR124"/>
  <c r="DT124" s="1"/>
  <c r="EJ483"/>
  <c r="EL483" s="1"/>
  <c r="DF917"/>
  <c r="DH917" s="1"/>
  <c r="DF108"/>
  <c r="DH108" s="1"/>
  <c r="DF402"/>
  <c r="DH402" s="1"/>
  <c r="DF645"/>
  <c r="DH645" s="1"/>
  <c r="DF830"/>
  <c r="DH830" s="1"/>
  <c r="DF1006"/>
  <c r="DH1006" s="1"/>
  <c r="DF1198"/>
  <c r="DH1198" s="1"/>
  <c r="EJ32"/>
  <c r="EL32" s="1"/>
  <c r="EJ541"/>
  <c r="EL541" s="1"/>
  <c r="DF191"/>
  <c r="DH191" s="1"/>
  <c r="DF101"/>
  <c r="DH101" s="1"/>
  <c r="DF157"/>
  <c r="DH157" s="1"/>
  <c r="DF162"/>
  <c r="DH162" s="1"/>
  <c r="DF574"/>
  <c r="DH574" s="1"/>
  <c r="DF628"/>
  <c r="DH628" s="1"/>
  <c r="DF754"/>
  <c r="DH754" s="1"/>
  <c r="DF519"/>
  <c r="DH519" s="1"/>
  <c r="DF994"/>
  <c r="DH994" s="1"/>
  <c r="DF1598"/>
  <c r="DH1598" s="1"/>
  <c r="DF1071"/>
  <c r="DH1071" s="1"/>
  <c r="DF577"/>
  <c r="DH577" s="1"/>
  <c r="DF1267"/>
  <c r="DH1267" s="1"/>
  <c r="DF799"/>
  <c r="DH799" s="1"/>
  <c r="DF1451"/>
  <c r="DH1451" s="1"/>
  <c r="DF1098"/>
  <c r="DH1098" s="1"/>
  <c r="DF549"/>
  <c r="DH549" s="1"/>
  <c r="DF1302"/>
  <c r="DH1302" s="1"/>
  <c r="DF802"/>
  <c r="DH802" s="1"/>
  <c r="DF1446"/>
  <c r="DH1446" s="1"/>
  <c r="EJ132"/>
  <c r="EL132" s="1"/>
  <c r="DR47"/>
  <c r="DT47" s="1"/>
  <c r="DX928"/>
  <c r="DZ928" s="1"/>
  <c r="EJ273"/>
  <c r="EL273" s="1"/>
  <c r="DR496"/>
  <c r="DT496" s="1"/>
  <c r="DX971"/>
  <c r="DZ971" s="1"/>
  <c r="DF141"/>
  <c r="DH141" s="1"/>
  <c r="DF78"/>
  <c r="DH78" s="1"/>
  <c r="DF87"/>
  <c r="DH87" s="1"/>
  <c r="DF292"/>
  <c r="DH292" s="1"/>
  <c r="DF297"/>
  <c r="DH297" s="1"/>
  <c r="DF461"/>
  <c r="DH461" s="1"/>
  <c r="DF1304"/>
  <c r="DH1304" s="1"/>
  <c r="DF376"/>
  <c r="DH376" s="1"/>
  <c r="DF1159"/>
  <c r="DH1159" s="1"/>
  <c r="DF1241"/>
  <c r="DH1241" s="1"/>
  <c r="DF740"/>
  <c r="DH740" s="1"/>
  <c r="DF1489"/>
  <c r="DH1489" s="1"/>
  <c r="DF860"/>
  <c r="DH860" s="1"/>
  <c r="DF1648"/>
  <c r="DH1648" s="1"/>
  <c r="DF1235"/>
  <c r="DH1235" s="1"/>
  <c r="DF694"/>
  <c r="DH694" s="1"/>
  <c r="DF1399"/>
  <c r="DH1399" s="1"/>
  <c r="DF825"/>
  <c r="DH825" s="1"/>
  <c r="DF1567"/>
  <c r="DH1567" s="1"/>
  <c r="DF1279"/>
  <c r="DH1279" s="1"/>
  <c r="DR36"/>
  <c r="DT36" s="1"/>
  <c r="EJ262"/>
  <c r="EL262" s="1"/>
  <c r="DX987"/>
  <c r="DZ987" s="1"/>
  <c r="DF23"/>
  <c r="DH23" s="1"/>
  <c r="DR853"/>
  <c r="DT853" s="1"/>
  <c r="EJ461"/>
  <c r="EL461" s="1"/>
  <c r="DF47"/>
  <c r="DH47" s="1"/>
  <c r="DF362"/>
  <c r="DH362" s="1"/>
  <c r="DF232"/>
  <c r="DH232" s="1"/>
  <c r="DF316"/>
  <c r="DH316" s="1"/>
  <c r="DF321"/>
  <c r="DH321" s="1"/>
  <c r="DF404"/>
  <c r="DH404" s="1"/>
  <c r="DF780"/>
  <c r="DH780" s="1"/>
  <c r="DF666"/>
  <c r="DH666" s="1"/>
  <c r="DF796"/>
  <c r="DH796" s="1"/>
  <c r="DF1289"/>
  <c r="DH1289" s="1"/>
  <c r="DF691"/>
  <c r="DH691" s="1"/>
  <c r="DF1339"/>
  <c r="DH1339" s="1"/>
  <c r="DF806"/>
  <c r="DH806" s="1"/>
  <c r="DF1537"/>
  <c r="DH1537" s="1"/>
  <c r="DF1089"/>
  <c r="DH1089" s="1"/>
  <c r="DF633"/>
  <c r="DH633" s="1"/>
  <c r="DF1366"/>
  <c r="DH1366" s="1"/>
  <c r="DF1044"/>
  <c r="DH1044" s="1"/>
  <c r="DF1576"/>
  <c r="DH1576" s="1"/>
  <c r="DF1295"/>
  <c r="DH1295" s="1"/>
  <c r="DR145"/>
  <c r="DT145" s="1"/>
  <c r="EJ570"/>
  <c r="EL570" s="1"/>
  <c r="EJ369"/>
  <c r="EL369" s="1"/>
  <c r="EJ136"/>
  <c r="EL136" s="1"/>
  <c r="DR58"/>
  <c r="DT58" s="1"/>
  <c r="DX852"/>
  <c r="DZ852" s="1"/>
  <c r="DF1656"/>
  <c r="DH1656" s="1"/>
  <c r="DR19"/>
  <c r="DT19" s="1"/>
  <c r="DF680"/>
  <c r="DH680" s="1"/>
  <c r="DF1673"/>
  <c r="DH1673" s="1"/>
  <c r="DF1527"/>
  <c r="DH1527" s="1"/>
  <c r="DF989"/>
  <c r="DH989" s="1"/>
  <c r="DF378"/>
  <c r="DH378" s="1"/>
  <c r="DF325"/>
  <c r="DH325" s="1"/>
  <c r="DF287"/>
  <c r="DH287" s="1"/>
  <c r="DF552"/>
  <c r="DH552" s="1"/>
  <c r="DF183"/>
  <c r="DH183" s="1"/>
  <c r="DF835"/>
  <c r="DH835" s="1"/>
  <c r="DF1435"/>
  <c r="DH1435" s="1"/>
  <c r="EJ417"/>
  <c r="EL417" s="1"/>
  <c r="DR17"/>
  <c r="DT17" s="1"/>
  <c r="DX694"/>
  <c r="DZ694" s="1"/>
  <c r="DX258"/>
  <c r="DZ258" s="1"/>
  <c r="DR786"/>
  <c r="DT786" s="1"/>
  <c r="DR571"/>
  <c r="DT571" s="1"/>
  <c r="DR284"/>
  <c r="DT284" s="1"/>
  <c r="EJ253"/>
  <c r="EL253" s="1"/>
  <c r="EJ431"/>
  <c r="EL431" s="1"/>
  <c r="DX903"/>
  <c r="DZ903" s="1"/>
  <c r="DX519"/>
  <c r="DZ519" s="1"/>
  <c r="DX163"/>
  <c r="DZ163" s="1"/>
  <c r="DR666"/>
  <c r="DT666" s="1"/>
  <c r="DR435"/>
  <c r="DT435" s="1"/>
  <c r="DL51"/>
  <c r="DN51" s="1"/>
  <c r="EJ610"/>
  <c r="EJ684"/>
  <c r="EL684" s="1"/>
  <c r="DX658"/>
  <c r="DZ658" s="1"/>
  <c r="DX218"/>
  <c r="DZ218" s="1"/>
  <c r="DR752"/>
  <c r="DT752" s="1"/>
  <c r="DR545"/>
  <c r="DT545" s="1"/>
  <c r="DR266"/>
  <c r="DT266" s="1"/>
  <c r="DF940"/>
  <c r="DH940" s="1"/>
  <c r="EJ614"/>
  <c r="EL614" s="1"/>
  <c r="EJ591"/>
  <c r="EL591" s="1"/>
  <c r="ED19"/>
  <c r="EF19" s="1"/>
  <c r="DX642"/>
  <c r="DZ642" s="1"/>
  <c r="DX432"/>
  <c r="DZ432" s="1"/>
  <c r="DX90"/>
  <c r="DZ90" s="1"/>
  <c r="DR711"/>
  <c r="DT711" s="1"/>
  <c r="DR509"/>
  <c r="DT509" s="1"/>
  <c r="DR323"/>
  <c r="DT323" s="1"/>
  <c r="DF947"/>
  <c r="DH947" s="1"/>
  <c r="EJ116"/>
  <c r="EL116" s="1"/>
  <c r="EJ122"/>
  <c r="EL122" s="1"/>
  <c r="EJ678"/>
  <c r="EL678" s="1"/>
  <c r="AR64" i="5"/>
  <c r="AQ64" s="1"/>
  <c r="DX758" i="4"/>
  <c r="DZ758" s="1"/>
  <c r="DX497"/>
  <c r="DZ497" s="1"/>
  <c r="DX125"/>
  <c r="DZ125" s="1"/>
  <c r="DR760"/>
  <c r="DT760" s="1"/>
  <c r="DR596"/>
  <c r="DT596" s="1"/>
  <c r="DR377"/>
  <c r="DT377" s="1"/>
  <c r="AL67" i="5"/>
  <c r="DR200" i="4"/>
  <c r="DT200" s="1"/>
  <c r="EJ39"/>
  <c r="EL39" s="1"/>
  <c r="EJ590"/>
  <c r="EL590" s="1"/>
  <c r="DR72"/>
  <c r="DT72" s="1"/>
  <c r="EJ602"/>
  <c r="EL602" s="1"/>
  <c r="DR180"/>
  <c r="DT180" s="1"/>
  <c r="DX840"/>
  <c r="DZ840" s="1"/>
  <c r="DX570"/>
  <c r="DZ570" s="1"/>
  <c r="DX228"/>
  <c r="DZ228" s="1"/>
  <c r="DR823"/>
  <c r="DT823" s="1"/>
  <c r="DR658"/>
  <c r="DT658" s="1"/>
  <c r="DR506"/>
  <c r="DT506" s="1"/>
  <c r="DR334"/>
  <c r="DT334" s="1"/>
  <c r="DR223"/>
  <c r="DT223" s="1"/>
  <c r="DF912"/>
  <c r="DH912" s="1"/>
  <c r="EJ254"/>
  <c r="EL254" s="1"/>
  <c r="EJ485"/>
  <c r="EL485" s="1"/>
  <c r="DR78"/>
  <c r="DT78" s="1"/>
  <c r="EJ514"/>
  <c r="EL514" s="1"/>
  <c r="EJ384"/>
  <c r="EL384" s="1"/>
  <c r="DR102"/>
  <c r="DT102" s="1"/>
  <c r="ED14"/>
  <c r="EF14" s="1"/>
  <c r="DX849"/>
  <c r="DZ849" s="1"/>
  <c r="DX696"/>
  <c r="DZ696" s="1"/>
  <c r="DX503"/>
  <c r="DZ503" s="1"/>
  <c r="DX450"/>
  <c r="DZ450" s="1"/>
  <c r="DX177"/>
  <c r="DZ177" s="1"/>
  <c r="DX62"/>
  <c r="DZ62" s="1"/>
  <c r="DR775"/>
  <c r="DT775" s="1"/>
  <c r="DR718"/>
  <c r="DT718" s="1"/>
  <c r="DR647"/>
  <c r="DT647" s="1"/>
  <c r="DR523"/>
  <c r="DT523" s="1"/>
  <c r="DR458"/>
  <c r="DT458" s="1"/>
  <c r="DR313"/>
  <c r="DT313" s="1"/>
  <c r="DR227"/>
  <c r="DT227" s="1"/>
  <c r="DF969"/>
  <c r="DH969" s="1"/>
  <c r="EJ289"/>
  <c r="EL289" s="1"/>
  <c r="EJ180"/>
  <c r="EL180" s="1"/>
  <c r="DF959"/>
  <c r="DH959" s="1"/>
  <c r="DX72"/>
  <c r="DZ72" s="1"/>
  <c r="DR198"/>
  <c r="DT198" s="1"/>
  <c r="DX629"/>
  <c r="DZ629" s="1"/>
  <c r="DR451"/>
  <c r="DT451" s="1"/>
  <c r="DX341"/>
  <c r="DZ341" s="1"/>
  <c r="DR819"/>
  <c r="DT819" s="1"/>
  <c r="EJ668"/>
  <c r="EL668" s="1"/>
  <c r="DR153"/>
  <c r="DT153" s="1"/>
  <c r="EJ689"/>
  <c r="EL689" s="1"/>
  <c r="EJ235"/>
  <c r="EL235" s="1"/>
  <c r="EJ329"/>
  <c r="EL329" s="1"/>
  <c r="EJ227"/>
  <c r="EL227" s="1"/>
  <c r="DF1076"/>
  <c r="DH1076" s="1"/>
  <c r="DF1461"/>
  <c r="DH1461" s="1"/>
  <c r="DF650"/>
  <c r="DH650" s="1"/>
  <c r="DF1063"/>
  <c r="DH1063" s="1"/>
  <c r="DF1349"/>
  <c r="DH1349" s="1"/>
  <c r="DF555"/>
  <c r="DH555" s="1"/>
  <c r="DF892"/>
  <c r="DH892" s="1"/>
  <c r="DF1379"/>
  <c r="DH1379" s="1"/>
  <c r="DF561"/>
  <c r="DH561" s="1"/>
  <c r="DF858"/>
  <c r="DH858" s="1"/>
  <c r="DF1133"/>
  <c r="DH1133" s="1"/>
  <c r="DF431"/>
  <c r="DH431" s="1"/>
  <c r="DF388"/>
  <c r="DH388" s="1"/>
  <c r="DF341"/>
  <c r="DH341" s="1"/>
  <c r="DF249"/>
  <c r="DH249" s="1"/>
  <c r="DF168"/>
  <c r="DH168" s="1"/>
  <c r="EJ598"/>
  <c r="EL598" s="1"/>
  <c r="DX343"/>
  <c r="DZ343" s="1"/>
  <c r="DR338"/>
  <c r="DT338" s="1"/>
  <c r="DR125"/>
  <c r="DT125" s="1"/>
  <c r="DX795"/>
  <c r="DZ795" s="1"/>
  <c r="DR665"/>
  <c r="DT665" s="1"/>
  <c r="EJ85"/>
  <c r="EL85" s="1"/>
  <c r="DR306"/>
  <c r="DT306" s="1"/>
  <c r="EJ129"/>
  <c r="EL129" s="1"/>
  <c r="EJ661"/>
  <c r="EL661" s="1"/>
  <c r="ED47"/>
  <c r="EF47" s="1"/>
  <c r="EJ249"/>
  <c r="EL249" s="1"/>
  <c r="EJ526"/>
  <c r="EL526" s="1"/>
  <c r="EJ662"/>
  <c r="EL662" s="1"/>
  <c r="DF1182"/>
  <c r="DH1182" s="1"/>
  <c r="DF1642"/>
  <c r="DH1642" s="1"/>
  <c r="DF777"/>
  <c r="DH777" s="1"/>
  <c r="DF1358"/>
  <c r="DH1358" s="1"/>
  <c r="DF625"/>
  <c r="DH625" s="1"/>
  <c r="DF1081"/>
  <c r="DH1081" s="1"/>
  <c r="DF1557"/>
  <c r="DH1557" s="1"/>
  <c r="DF900"/>
  <c r="DH900" s="1"/>
  <c r="DF1331"/>
  <c r="DH1331" s="1"/>
  <c r="DF683"/>
  <c r="DH683" s="1"/>
  <c r="DF1281"/>
  <c r="DH1281" s="1"/>
  <c r="DF851"/>
  <c r="DH851" s="1"/>
  <c r="DF408"/>
  <c r="DH408" s="1"/>
  <c r="DF1001"/>
  <c r="DH1001" s="1"/>
  <c r="DF396"/>
  <c r="DH396" s="1"/>
  <c r="DF317"/>
  <c r="DH317" s="1"/>
  <c r="DF312"/>
  <c r="DH312" s="1"/>
  <c r="DF303"/>
  <c r="DH303" s="1"/>
  <c r="DF290"/>
  <c r="DH290" s="1"/>
  <c r="DF61"/>
  <c r="DH61" s="1"/>
  <c r="DX961"/>
  <c r="DZ961" s="1"/>
  <c r="EJ553"/>
  <c r="EL553" s="1"/>
  <c r="EJ399"/>
  <c r="EL399" s="1"/>
  <c r="AP22" i="5"/>
  <c r="DX926" i="4"/>
  <c r="DZ926" s="1"/>
  <c r="DF923"/>
  <c r="DH923" s="1"/>
  <c r="DR103"/>
  <c r="DT103"/>
  <c r="DL27"/>
  <c r="DN27" s="1"/>
  <c r="DR73"/>
  <c r="DT73" s="1"/>
  <c r="DR13"/>
  <c r="DT13" s="1"/>
  <c r="EJ197"/>
  <c r="EL197"/>
  <c r="DF1352"/>
  <c r="DH1352" s="1"/>
  <c r="DF704"/>
  <c r="DH704" s="1"/>
  <c r="DF1139"/>
  <c r="DH1139" s="1"/>
  <c r="DF1620"/>
  <c r="DH1620"/>
  <c r="DF878"/>
  <c r="DH878" s="1"/>
  <c r="DF1365"/>
  <c r="DH1365" s="1"/>
  <c r="DF632"/>
  <c r="DH632" s="1"/>
  <c r="DF1218"/>
  <c r="DH1218"/>
  <c r="DF1590"/>
  <c r="DH1590" s="1"/>
  <c r="DF995"/>
  <c r="DH995" s="1"/>
  <c r="DF1517"/>
  <c r="DH1517" s="1"/>
  <c r="DF836"/>
  <c r="DH836"/>
  <c r="DF1017"/>
  <c r="DH1017" s="1"/>
  <c r="DF440"/>
  <c r="DH440" s="1"/>
  <c r="DF1288"/>
  <c r="DH1288" s="1"/>
  <c r="DF452"/>
  <c r="DH452"/>
  <c r="DF95"/>
  <c r="DH95" s="1"/>
  <c r="DF220"/>
  <c r="DH220" s="1"/>
  <c r="DF215"/>
  <c r="DH215" s="1"/>
  <c r="DF175"/>
  <c r="DH175"/>
  <c r="EJ522"/>
  <c r="EL522" s="1"/>
  <c r="DX465"/>
  <c r="DZ465" s="1"/>
  <c r="EJ335"/>
  <c r="EL335" s="1"/>
  <c r="DF957"/>
  <c r="DH957"/>
  <c r="EJ536"/>
  <c r="EL536" s="1"/>
  <c r="EJ560"/>
  <c r="EL560" s="1"/>
  <c r="EJ586"/>
  <c r="EL586" s="1"/>
  <c r="EJ137"/>
  <c r="EL137"/>
  <c r="DF1132"/>
  <c r="DH1132" s="1"/>
  <c r="DF1469"/>
  <c r="DH1469" s="1"/>
  <c r="DF736"/>
  <c r="DH736" s="1"/>
  <c r="DF1253"/>
  <c r="DH1253"/>
  <c r="DF587"/>
  <c r="DH587" s="1"/>
  <c r="DF1062"/>
  <c r="DH1062" s="1"/>
  <c r="DF1434"/>
  <c r="DH1434" s="1"/>
  <c r="DF846"/>
  <c r="DH846"/>
  <c r="DF1387"/>
  <c r="DH1387" s="1"/>
  <c r="DF638"/>
  <c r="DH638" s="1"/>
  <c r="DF1176"/>
  <c r="DH1176" s="1"/>
  <c r="DF503"/>
  <c r="DH503"/>
  <c r="DF455"/>
  <c r="DH455" s="1"/>
  <c r="DF607"/>
  <c r="DH607" s="1"/>
  <c r="DF513"/>
  <c r="DH513" s="1"/>
  <c r="DF345"/>
  <c r="DH345"/>
  <c r="DF340"/>
  <c r="DH340" s="1"/>
  <c r="DF331"/>
  <c r="DH331" s="1"/>
  <c r="DF350"/>
  <c r="DH350" s="1"/>
  <c r="DF29"/>
  <c r="DH29"/>
  <c r="DX690"/>
  <c r="DZ690" s="1"/>
  <c r="DF200"/>
  <c r="DH200" s="1"/>
  <c r="DR111"/>
  <c r="DT111" s="1"/>
  <c r="DX306"/>
  <c r="DZ306"/>
  <c r="EJ634"/>
  <c r="EL634" s="1"/>
  <c r="EJ672"/>
  <c r="EL672" s="1"/>
  <c r="DX995"/>
  <c r="DZ995" s="1"/>
  <c r="AN19" i="5"/>
  <c r="EJ171" i="4"/>
  <c r="EL171" s="1"/>
  <c r="DF1124"/>
  <c r="DH1124" s="1"/>
  <c r="DF1453"/>
  <c r="DH1453" s="1"/>
  <c r="DF728"/>
  <c r="DH728" s="1"/>
  <c r="DF1245"/>
  <c r="DH1245" s="1"/>
  <c r="DF579"/>
  <c r="DH579" s="1"/>
  <c r="DF1129"/>
  <c r="DH1129" s="1"/>
  <c r="DF1426"/>
  <c r="DH1426" s="1"/>
  <c r="DF838"/>
  <c r="DH838" s="1"/>
  <c r="DF1371"/>
  <c r="DH1371" s="1"/>
  <c r="DF630"/>
  <c r="DH630" s="1"/>
  <c r="DF1168"/>
  <c r="DH1168" s="1"/>
  <c r="DF567"/>
  <c r="DH567" s="1"/>
  <c r="DF439"/>
  <c r="DH439" s="1"/>
  <c r="DF629"/>
  <c r="DH629" s="1"/>
  <c r="DF481"/>
  <c r="DH481" s="1"/>
  <c r="DF337"/>
  <c r="DH337" s="1"/>
  <c r="DF336"/>
  <c r="DH336" s="1"/>
  <c r="DF327"/>
  <c r="DH327" s="1"/>
  <c r="DF82"/>
  <c r="DH82" s="1"/>
  <c r="DF145"/>
  <c r="DH145" s="1"/>
  <c r="DR110"/>
  <c r="DT110" s="1"/>
  <c r="EJ192"/>
  <c r="EL192" s="1"/>
  <c r="EJ184"/>
  <c r="EL184" s="1"/>
  <c r="EJ680"/>
  <c r="EL680" s="1"/>
  <c r="EJ176"/>
  <c r="EL176" s="1"/>
  <c r="DR231"/>
  <c r="DT231" s="1"/>
  <c r="EJ43"/>
  <c r="EL43" s="1"/>
  <c r="DF97"/>
  <c r="DH97" s="1"/>
  <c r="DF111"/>
  <c r="DH111" s="1"/>
  <c r="DF889"/>
  <c r="DH889" s="1"/>
  <c r="DF788"/>
  <c r="DH788" s="1"/>
  <c r="DF1440"/>
  <c r="DH1440" s="1"/>
  <c r="DF1629"/>
  <c r="DH1629" s="1"/>
  <c r="DF656"/>
  <c r="DH656" s="1"/>
  <c r="DR169"/>
  <c r="DT169" s="1"/>
  <c r="EJ279"/>
  <c r="EL279" s="1"/>
  <c r="DF1311"/>
  <c r="DH1311" s="1"/>
  <c r="DF998"/>
  <c r="DH998" s="1"/>
  <c r="DF822"/>
  <c r="DH822" s="1"/>
  <c r="DF890"/>
  <c r="DH890" s="1"/>
  <c r="DF1280"/>
  <c r="DH1280" s="1"/>
  <c r="DF138"/>
  <c r="DH138" s="1"/>
  <c r="DF248"/>
  <c r="DH248" s="1"/>
  <c r="DF36"/>
  <c r="DH36" s="1"/>
  <c r="DF475"/>
  <c r="DH475" s="1"/>
  <c r="DF997"/>
  <c r="DH997" s="1"/>
  <c r="DX975"/>
  <c r="DZ975" s="1"/>
  <c r="DR138"/>
  <c r="DT138" s="1"/>
  <c r="DR131"/>
  <c r="DT131" s="1"/>
  <c r="DX702"/>
  <c r="DZ702" s="1"/>
  <c r="DX255"/>
  <c r="DZ255" s="1"/>
  <c r="DR783"/>
  <c r="DT783" s="1"/>
  <c r="DR582"/>
  <c r="DT582" s="1"/>
  <c r="DR258"/>
  <c r="DT258" s="1"/>
  <c r="EJ88"/>
  <c r="EL88" s="1"/>
  <c r="ED16"/>
  <c r="EF16" s="1"/>
  <c r="DX574"/>
  <c r="DZ574" s="1"/>
  <c r="DX144"/>
  <c r="DZ144" s="1"/>
  <c r="DR730"/>
  <c r="DT730" s="1"/>
  <c r="DR468"/>
  <c r="DT468" s="1"/>
  <c r="DR208"/>
  <c r="DT208" s="1"/>
  <c r="DR842"/>
  <c r="DT842" s="1"/>
  <c r="DR139"/>
  <c r="DT139" s="1"/>
  <c r="DX728"/>
  <c r="DZ728" s="1"/>
  <c r="DX266"/>
  <c r="DZ266" s="1"/>
  <c r="DR774"/>
  <c r="DT774" s="1"/>
  <c r="DR579"/>
  <c r="DT579" s="1"/>
  <c r="DR298"/>
  <c r="DT298" s="1"/>
  <c r="DF980"/>
  <c r="DH980" s="1"/>
  <c r="DR174"/>
  <c r="DT174" s="1"/>
  <c r="EJ673"/>
  <c r="EL673" s="1"/>
  <c r="ED41"/>
  <c r="EF41" s="1"/>
  <c r="DX680"/>
  <c r="DZ680" s="1"/>
  <c r="DX369"/>
  <c r="DZ369" s="1"/>
  <c r="DX100"/>
  <c r="DZ100" s="1"/>
  <c r="DR701"/>
  <c r="DT701" s="1"/>
  <c r="DR549"/>
  <c r="DT549" s="1"/>
  <c r="DR353"/>
  <c r="DT353" s="1"/>
  <c r="DL20"/>
  <c r="DN20" s="1"/>
  <c r="EJ52"/>
  <c r="EL52" s="1"/>
  <c r="DR168"/>
  <c r="DT168" s="1"/>
  <c r="DX850"/>
  <c r="DZ850" s="1"/>
  <c r="DX559"/>
  <c r="DZ559" s="1"/>
  <c r="DX227"/>
  <c r="DZ227" s="1"/>
  <c r="DR831"/>
  <c r="DT831" s="1"/>
  <c r="DR636"/>
  <c r="DT636" s="1"/>
  <c r="DR438"/>
  <c r="DT438" s="1"/>
  <c r="DR251"/>
  <c r="DT251" s="1"/>
  <c r="DR116"/>
  <c r="DT116" s="1"/>
  <c r="EJ51"/>
  <c r="EL51" s="1"/>
  <c r="DR172"/>
  <c r="DT172" s="1"/>
  <c r="DX854"/>
  <c r="DZ854" s="1"/>
  <c r="DX563"/>
  <c r="DZ563" s="1"/>
  <c r="AN33" i="5"/>
  <c r="DX231" i="4"/>
  <c r="DZ231" s="1"/>
  <c r="DR836"/>
  <c r="DT836" s="1"/>
  <c r="DR640"/>
  <c r="DT640" s="1"/>
  <c r="DR524"/>
  <c r="DT524"/>
  <c r="DR370"/>
  <c r="DT370" s="1"/>
  <c r="DR220"/>
  <c r="DT220" s="1"/>
  <c r="DF953"/>
  <c r="DH953" s="1"/>
  <c r="DR91"/>
  <c r="DT91"/>
  <c r="EJ601"/>
  <c r="EL601" s="1"/>
  <c r="EJ502"/>
  <c r="EL502" s="1"/>
  <c r="DR156"/>
  <c r="DT156" s="1"/>
  <c r="ED26"/>
  <c r="EF26"/>
  <c r="DX851"/>
  <c r="DZ851" s="1"/>
  <c r="DX700"/>
  <c r="DZ700" s="1"/>
  <c r="DX526"/>
  <c r="DZ526" s="1"/>
  <c r="DX435"/>
  <c r="DZ435"/>
  <c r="DX225"/>
  <c r="DZ225" s="1"/>
  <c r="DX114"/>
  <c r="DZ114" s="1"/>
  <c r="DR828"/>
  <c r="DT828" s="1"/>
  <c r="DR713"/>
  <c r="DT713"/>
  <c r="DR629"/>
  <c r="DT629" s="1"/>
  <c r="DR540"/>
  <c r="DT540" s="1"/>
  <c r="DR434"/>
  <c r="DT434" s="1"/>
  <c r="DR330"/>
  <c r="DT330"/>
  <c r="DR225"/>
  <c r="DT225" s="1"/>
  <c r="DL40"/>
  <c r="DN40" s="1"/>
  <c r="AK42" i="5"/>
  <c r="EJ622" i="4"/>
  <c r="EL622" s="1"/>
  <c r="EJ330"/>
  <c r="EL330" s="1"/>
  <c r="DX504"/>
  <c r="DZ504" s="1"/>
  <c r="DR462"/>
  <c r="DT462" s="1"/>
  <c r="AL39" i="5"/>
  <c r="DR39" i="4"/>
  <c r="DT39" s="1"/>
  <c r="DR692"/>
  <c r="DT692" s="1"/>
  <c r="EJ537"/>
  <c r="EL537" s="1"/>
  <c r="DX421"/>
  <c r="DZ421" s="1"/>
  <c r="DR345"/>
  <c r="DT345" s="1"/>
  <c r="EJ193"/>
  <c r="EL193" s="1"/>
  <c r="EJ449"/>
  <c r="EL449" s="1"/>
  <c r="EJ340"/>
  <c r="EL340" s="1"/>
  <c r="DR18"/>
  <c r="DT18" s="1"/>
  <c r="EJ287"/>
  <c r="EL287" s="1"/>
  <c r="DF1320"/>
  <c r="DH1320" s="1"/>
  <c r="DF627"/>
  <c r="DH627" s="1"/>
  <c r="DF879"/>
  <c r="DH879" s="1"/>
  <c r="DF1390"/>
  <c r="DH1390" s="1"/>
  <c r="DF1574"/>
  <c r="DH1574" s="1"/>
  <c r="DF847"/>
  <c r="DH847" s="1"/>
  <c r="DF1186"/>
  <c r="DH1186" s="1"/>
  <c r="DF1617"/>
  <c r="DH1617" s="1"/>
  <c r="DF781"/>
  <c r="DH781" s="1"/>
  <c r="DF1313"/>
  <c r="DH1313" s="1"/>
  <c r="DF386"/>
  <c r="DH386" s="1"/>
  <c r="DF1030"/>
  <c r="DH1030" s="1"/>
  <c r="DF462"/>
  <c r="DH462" s="1"/>
  <c r="DF409"/>
  <c r="DH409" s="1"/>
  <c r="DF72"/>
  <c r="DH72" s="1"/>
  <c r="DF319"/>
  <c r="DH319" s="1"/>
  <c r="EJ597"/>
  <c r="EL597" s="1"/>
  <c r="DX882"/>
  <c r="DZ882" s="1"/>
  <c r="DR649"/>
  <c r="DT649" s="1"/>
  <c r="EJ58"/>
  <c r="EL58" s="1"/>
  <c r="DX917"/>
  <c r="DZ917" s="1"/>
  <c r="EJ255"/>
  <c r="EL255" s="1"/>
  <c r="DR503"/>
  <c r="DT503" s="1"/>
  <c r="EJ96"/>
  <c r="EL96" s="1"/>
  <c r="DR136"/>
  <c r="DT136" s="1"/>
  <c r="DR176"/>
  <c r="DT176" s="1"/>
  <c r="EJ470"/>
  <c r="EL470" s="1"/>
  <c r="EJ112"/>
  <c r="EL112" s="1"/>
  <c r="EJ322"/>
  <c r="EL322" s="1"/>
  <c r="DF1486"/>
  <c r="DH1486" s="1"/>
  <c r="DF737"/>
  <c r="DH737" s="1"/>
  <c r="DF1075"/>
  <c r="DH1075" s="1"/>
  <c r="DF1641"/>
  <c r="DH1641" s="1"/>
  <c r="DF886"/>
  <c r="DH886" s="1"/>
  <c r="DF1373"/>
  <c r="DH1373" s="1"/>
  <c r="DF640"/>
  <c r="DH640" s="1"/>
  <c r="DF1226"/>
  <c r="DH1226" s="1"/>
  <c r="DF1599"/>
  <c r="DH1599" s="1"/>
  <c r="DF1003"/>
  <c r="DH1003" s="1"/>
  <c r="DF1424"/>
  <c r="DH1424" s="1"/>
  <c r="DF844"/>
  <c r="DH844" s="1"/>
  <c r="DF857"/>
  <c r="DH857" s="1"/>
  <c r="DF448"/>
  <c r="DH448" s="1"/>
  <c r="DF1175"/>
  <c r="DH1175" s="1"/>
  <c r="DF460"/>
  <c r="DH460" s="1"/>
  <c r="DF99"/>
  <c r="DH99" s="1"/>
  <c r="DF102"/>
  <c r="DH102" s="1"/>
  <c r="DF219"/>
  <c r="DH219" s="1"/>
  <c r="DF179"/>
  <c r="DH179" s="1"/>
  <c r="DF160"/>
  <c r="DH160" s="1"/>
  <c r="EJ31"/>
  <c r="EL31" s="1"/>
  <c r="DR68"/>
  <c r="DT68" s="1"/>
  <c r="DR567"/>
  <c r="DT567" s="1"/>
  <c r="EJ100"/>
  <c r="EL100" s="1"/>
  <c r="DF955"/>
  <c r="DH955" s="1"/>
  <c r="DX953"/>
  <c r="DZ953" s="1"/>
  <c r="DR70"/>
  <c r="DT70" s="1"/>
  <c r="EJ551"/>
  <c r="EL551" s="1"/>
  <c r="DR845"/>
  <c r="DT845" s="1"/>
  <c r="DF1478"/>
  <c r="DH1478" s="1"/>
  <c r="DF729"/>
  <c r="DH729" s="1"/>
  <c r="DF1173"/>
  <c r="DH1173" s="1"/>
  <c r="DF494"/>
  <c r="DH494" s="1"/>
  <c r="DF1130"/>
  <c r="DH1130" s="1"/>
  <c r="DF1491"/>
  <c r="DH1491" s="1"/>
  <c r="DF750"/>
  <c r="DH750" s="1"/>
  <c r="DF1307"/>
  <c r="DH1307" s="1"/>
  <c r="DF522"/>
  <c r="DH522" s="1"/>
  <c r="DF1103"/>
  <c r="DH1103" s="1"/>
  <c r="DF1637"/>
  <c r="DH1637" s="1"/>
  <c r="DF990"/>
  <c r="DH990" s="1"/>
  <c r="DF442"/>
  <c r="DH442" s="1"/>
  <c r="DF532"/>
  <c r="DH532" s="1"/>
  <c r="DF543"/>
  <c r="DH543" s="1"/>
  <c r="DF483"/>
  <c r="DH483" s="1"/>
  <c r="DF178"/>
  <c r="DH178" s="1"/>
  <c r="DF173"/>
  <c r="DH173" s="1"/>
  <c r="DF164"/>
  <c r="DH164" s="1"/>
  <c r="DF275"/>
  <c r="DH275" s="1"/>
  <c r="DF35"/>
  <c r="DH35" s="1"/>
  <c r="EJ475"/>
  <c r="EL475" s="1"/>
  <c r="DX710"/>
  <c r="DZ710" s="1"/>
  <c r="EJ589"/>
  <c r="EL589" s="1"/>
  <c r="EJ565"/>
  <c r="EL565" s="1"/>
  <c r="EJ627"/>
  <c r="EL627" s="1"/>
  <c r="DR24"/>
  <c r="DT24" s="1"/>
  <c r="EJ183"/>
  <c r="EL183" s="1"/>
  <c r="EJ494"/>
  <c r="EL494" s="1"/>
  <c r="DF1149"/>
  <c r="DH1149" s="1"/>
  <c r="DF1523"/>
  <c r="DH1523" s="1"/>
  <c r="DF849"/>
  <c r="DH849" s="1"/>
  <c r="DF1342"/>
  <c r="DH1342" s="1"/>
  <c r="DF710"/>
  <c r="DH710" s="1"/>
  <c r="DF1145"/>
  <c r="DH1145" s="1"/>
  <c r="DF1672"/>
  <c r="DH1672" s="1"/>
  <c r="DF876"/>
  <c r="DH876" s="1"/>
  <c r="DF1416"/>
  <c r="DH1416" s="1"/>
  <c r="DF667"/>
  <c r="DH667" s="1"/>
  <c r="DF1265"/>
  <c r="DH1265" s="1"/>
  <c r="DF1085"/>
  <c r="DH1085" s="1"/>
  <c r="DF392"/>
  <c r="DH392" s="1"/>
  <c r="DF1117"/>
  <c r="DH1117" s="1"/>
  <c r="DF372"/>
  <c r="DH372" s="1"/>
  <c r="DF305"/>
  <c r="DH305" s="1"/>
  <c r="DF304"/>
  <c r="DH304" s="1"/>
  <c r="DF295"/>
  <c r="DH295" s="1"/>
  <c r="DF318"/>
  <c r="DH318" s="1"/>
  <c r="DF85"/>
  <c r="DH85" s="1"/>
  <c r="EJ480"/>
  <c r="EL480" s="1"/>
  <c r="DF967"/>
  <c r="DH967" s="1"/>
  <c r="EJ605"/>
  <c r="EL605" s="1"/>
  <c r="EJ315"/>
  <c r="EL315" s="1"/>
  <c r="EJ260"/>
  <c r="EL260" s="1"/>
  <c r="DR34"/>
  <c r="DT34" s="1"/>
  <c r="EJ163"/>
  <c r="EL163" s="1"/>
  <c r="EJ454"/>
  <c r="EL454" s="1"/>
  <c r="DF1230"/>
  <c r="DH1230" s="1"/>
  <c r="DF1532"/>
  <c r="DH1532" s="1"/>
  <c r="DF833"/>
  <c r="DH833" s="1"/>
  <c r="DF1334"/>
  <c r="DH1334" s="1"/>
  <c r="DF702"/>
  <c r="DH702" s="1"/>
  <c r="DF1154"/>
  <c r="DH1154" s="1"/>
  <c r="DF1663"/>
  <c r="DH1663" s="1"/>
  <c r="DF868"/>
  <c r="DH868" s="1"/>
  <c r="DF1497"/>
  <c r="DH1497" s="1"/>
  <c r="DF748"/>
  <c r="DH748" s="1"/>
  <c r="DF1257"/>
  <c r="DH1257" s="1"/>
  <c r="DF1223"/>
  <c r="DH1223" s="1"/>
  <c r="DF384"/>
  <c r="DH384" s="1"/>
  <c r="DF1191"/>
  <c r="DH1191" s="1"/>
  <c r="DF469"/>
  <c r="DH469" s="1"/>
  <c r="DF301"/>
  <c r="DH301" s="1"/>
  <c r="DF296"/>
  <c r="DH296" s="1"/>
  <c r="DF291"/>
  <c r="DH291" s="1"/>
  <c r="DF112"/>
  <c r="DH112" s="1"/>
  <c r="EJ487"/>
  <c r="EL487" s="1"/>
  <c r="DX984"/>
  <c r="DZ984" s="1"/>
  <c r="EJ42"/>
  <c r="EL42" s="1"/>
  <c r="EJ314"/>
  <c r="EL314" s="1"/>
  <c r="DR611"/>
  <c r="DT611" s="1"/>
  <c r="EJ493"/>
  <c r="EL493" s="1"/>
  <c r="DF255"/>
  <c r="DH255" s="1"/>
  <c r="DF285"/>
  <c r="DH285" s="1"/>
  <c r="DF652"/>
  <c r="DH652" s="1"/>
  <c r="DF722"/>
  <c r="DH722" s="1"/>
  <c r="DF1047"/>
  <c r="DH1047" s="1"/>
  <c r="DF1152"/>
  <c r="DH1152" s="1"/>
  <c r="DF1259"/>
  <c r="DH1259" s="1"/>
  <c r="DF1443"/>
  <c r="DH1443" s="1"/>
  <c r="DF541"/>
  <c r="DH541" s="1"/>
  <c r="DF786"/>
  <c r="DH786" s="1"/>
  <c r="EJ21"/>
  <c r="EL21" s="1"/>
  <c r="DR104"/>
  <c r="DT104" s="1"/>
  <c r="DX336"/>
  <c r="DZ336" s="1"/>
  <c r="EJ403"/>
  <c r="EL403" s="1"/>
  <c r="DF77"/>
  <c r="DH77" s="1"/>
  <c r="DF197"/>
  <c r="DH197" s="1"/>
  <c r="DF1231"/>
  <c r="DH1231" s="1"/>
  <c r="DF1669"/>
  <c r="DH1669" s="1"/>
  <c r="DF1509"/>
  <c r="DH1509" s="1"/>
  <c r="DF1121"/>
  <c r="DH1121" s="1"/>
  <c r="DF1221"/>
  <c r="DH1221" s="1"/>
  <c r="DF1368"/>
  <c r="DH1368" s="1"/>
  <c r="EJ425"/>
  <c r="EL425" s="1"/>
  <c r="EJ290"/>
  <c r="EL290" s="1"/>
  <c r="EJ357"/>
  <c r="EL357" s="1"/>
  <c r="DF60"/>
  <c r="DH60" s="1"/>
  <c r="DF1118"/>
  <c r="DH1118" s="1"/>
  <c r="DF823"/>
  <c r="DH823" s="1"/>
  <c r="DF1445"/>
  <c r="DH1445" s="1"/>
  <c r="EJ468"/>
  <c r="EL468" s="1"/>
  <c r="DF42"/>
  <c r="DH42" s="1"/>
  <c r="DF70"/>
  <c r="DH70" s="1"/>
  <c r="DF360"/>
  <c r="DH360" s="1"/>
  <c r="DF293"/>
  <c r="DH293" s="1"/>
  <c r="DF739"/>
  <c r="DH739" s="1"/>
  <c r="DF446"/>
  <c r="DH446" s="1"/>
  <c r="DF1385"/>
  <c r="DH1385" s="1"/>
  <c r="DF1448"/>
  <c r="DH1448" s="1"/>
  <c r="DF1266"/>
  <c r="DH1266" s="1"/>
  <c r="DF909"/>
  <c r="DH909" s="1"/>
  <c r="DF570"/>
  <c r="DH570" s="1"/>
  <c r="DF1592"/>
  <c r="DH1592" s="1"/>
  <c r="DF1411"/>
  <c r="DH1411" s="1"/>
  <c r="DF1107"/>
  <c r="DH1107" s="1"/>
  <c r="DF1016"/>
  <c r="DH1016" s="1"/>
  <c r="EJ342"/>
  <c r="EL342" s="1"/>
  <c r="EJ687"/>
  <c r="EL687" s="1"/>
  <c r="EJ362"/>
  <c r="EL362" s="1"/>
  <c r="EJ304"/>
  <c r="EL304" s="1"/>
  <c r="DF195"/>
  <c r="DH195" s="1"/>
  <c r="DF284"/>
  <c r="DH284" s="1"/>
  <c r="DF368"/>
  <c r="DH368" s="1"/>
  <c r="DF387"/>
  <c r="DH387" s="1"/>
  <c r="DF610"/>
  <c r="DH610" s="1"/>
  <c r="DF470"/>
  <c r="DH470" s="1"/>
  <c r="DF1579"/>
  <c r="DH1579" s="1"/>
  <c r="DF1607"/>
  <c r="DH1607" s="1"/>
  <c r="DF1274"/>
  <c r="DH1274" s="1"/>
  <c r="DF1080"/>
  <c r="DH1080" s="1"/>
  <c r="DF718"/>
  <c r="DH718" s="1"/>
  <c r="DF1601"/>
  <c r="DH1601" s="1"/>
  <c r="DF1552"/>
  <c r="DH1552" s="1"/>
  <c r="DF1310"/>
  <c r="DH1310" s="1"/>
  <c r="DF1092"/>
  <c r="DH1092" s="1"/>
  <c r="EJ517"/>
  <c r="EL517" s="1"/>
  <c r="DR161"/>
  <c r="DT161" s="1"/>
  <c r="DX307"/>
  <c r="DZ307" s="1"/>
  <c r="DR452"/>
  <c r="DT452" s="1"/>
  <c r="DX978"/>
  <c r="DZ978" s="1"/>
  <c r="DF283"/>
  <c r="DH283" s="1"/>
  <c r="DF307"/>
  <c r="DH307" s="1"/>
  <c r="DF186"/>
  <c r="DH186" s="1"/>
  <c r="DF1393"/>
  <c r="DH1393" s="1"/>
  <c r="DF560"/>
  <c r="DH560" s="1"/>
  <c r="DF1471"/>
  <c r="DH1471" s="1"/>
  <c r="DF1086"/>
  <c r="DH1086" s="1"/>
  <c r="DF821"/>
  <c r="DH821" s="1"/>
  <c r="DF538"/>
  <c r="DH538" s="1"/>
  <c r="DF1340"/>
  <c r="DH1340" s="1"/>
  <c r="DF1292"/>
  <c r="DH1292" s="1"/>
  <c r="DF1035"/>
  <c r="DH1035" s="1"/>
  <c r="DF785"/>
  <c r="DH785" s="1"/>
  <c r="DF753"/>
  <c r="DH753" s="1"/>
  <c r="DF1668"/>
  <c r="DH1668" s="1"/>
  <c r="EJ167"/>
  <c r="EL167" s="1"/>
  <c r="DX870"/>
  <c r="DZ870" s="1"/>
  <c r="DR61"/>
  <c r="DT61" s="1"/>
  <c r="DR439"/>
  <c r="DT439" s="1"/>
  <c r="DF1655"/>
  <c r="DH1655" s="1"/>
  <c r="EJ608"/>
  <c r="EJ48"/>
  <c r="EL48" s="1"/>
  <c r="DF658"/>
  <c r="DH658" s="1"/>
  <c r="DF518"/>
  <c r="DH518" s="1"/>
  <c r="AJ33" i="5"/>
  <c r="DF1555" i="4"/>
  <c r="DH1555"/>
  <c r="DF747"/>
  <c r="DH747"/>
  <c r="DF143"/>
  <c r="DH143"/>
  <c r="DR833"/>
  <c r="DT833"/>
  <c r="DF1593"/>
  <c r="DH1593"/>
  <c r="DF357"/>
  <c r="DH357"/>
  <c r="DF1250"/>
  <c r="DH1250"/>
  <c r="DF1493"/>
  <c r="DH1493"/>
  <c r="DR631"/>
  <c r="DT631"/>
  <c r="EJ555"/>
  <c r="EL555"/>
  <c r="DX889"/>
  <c r="DZ889"/>
  <c r="DX476"/>
  <c r="DZ476"/>
  <c r="DX156"/>
  <c r="DZ156"/>
  <c r="DR670"/>
  <c r="DT670"/>
  <c r="DR419"/>
  <c r="DT419"/>
  <c r="DL48"/>
  <c r="DN48"/>
  <c r="EJ548"/>
  <c r="EL548"/>
  <c r="DR101"/>
  <c r="DT101"/>
  <c r="DX724"/>
  <c r="DZ724"/>
  <c r="DX259"/>
  <c r="DZ259"/>
  <c r="DR800"/>
  <c r="DT800"/>
  <c r="DR552"/>
  <c r="DT552"/>
  <c r="DR275"/>
  <c r="DT275"/>
  <c r="EJ572"/>
  <c r="EL572"/>
  <c r="DX866"/>
  <c r="DZ866"/>
  <c r="DX474"/>
  <c r="DZ474"/>
  <c r="DX91"/>
  <c r="DZ91"/>
  <c r="DR644"/>
  <c r="DT644"/>
  <c r="DR381"/>
  <c r="DT381"/>
  <c r="DR191"/>
  <c r="DT191"/>
  <c r="EJ22"/>
  <c r="EL22"/>
  <c r="EJ670"/>
  <c r="EL670"/>
  <c r="DR135"/>
  <c r="DT135"/>
  <c r="DX823"/>
  <c r="DZ823"/>
  <c r="DX532"/>
  <c r="DZ532"/>
  <c r="DX210"/>
  <c r="DZ210"/>
  <c r="DR782"/>
  <c r="DT782"/>
  <c r="DR634"/>
  <c r="DT634"/>
  <c r="DR408"/>
  <c r="DT408"/>
  <c r="DR250"/>
  <c r="DT250"/>
  <c r="EJ325"/>
  <c r="EL325"/>
  <c r="ED33"/>
  <c r="EF33"/>
  <c r="DX923"/>
  <c r="DZ923"/>
  <c r="DX617"/>
  <c r="DZ617"/>
  <c r="DX276"/>
  <c r="DZ276"/>
  <c r="DX37"/>
  <c r="DZ37"/>
  <c r="DR677"/>
  <c r="DT677"/>
  <c r="DR492"/>
  <c r="DT492"/>
  <c r="DR287"/>
  <c r="DT287"/>
  <c r="DF945"/>
  <c r="DH945"/>
  <c r="EJ203"/>
  <c r="EL203"/>
  <c r="EJ649"/>
  <c r="EL649"/>
  <c r="EJ356"/>
  <c r="EL356"/>
  <c r="EJ476"/>
  <c r="EL476"/>
  <c r="ED45"/>
  <c r="EF45"/>
  <c r="DX679"/>
  <c r="DZ679"/>
  <c r="DX431"/>
  <c r="DZ431"/>
  <c r="DX143"/>
  <c r="DZ143"/>
  <c r="DR708"/>
  <c r="DT708"/>
  <c r="DR547"/>
  <c r="DT547"/>
  <c r="DR417"/>
  <c r="DT417"/>
  <c r="DR278"/>
  <c r="DT278"/>
  <c r="DL55"/>
  <c r="DN55"/>
  <c r="EJ232"/>
  <c r="EL232"/>
  <c r="EJ436"/>
  <c r="EL436"/>
  <c r="EJ54"/>
  <c r="EL54"/>
  <c r="DX339"/>
  <c r="DZ339"/>
  <c r="ED72"/>
  <c r="EF72"/>
  <c r="DX909"/>
  <c r="DZ909"/>
  <c r="DX732"/>
  <c r="DZ732"/>
  <c r="DX546"/>
  <c r="DZ546"/>
  <c r="DX391"/>
  <c r="DZ391"/>
  <c r="DX289"/>
  <c r="DZ289"/>
  <c r="DX132"/>
  <c r="DZ132"/>
  <c r="DX12"/>
  <c r="DZ12"/>
  <c r="DR737"/>
  <c r="DT737"/>
  <c r="DR660"/>
  <c r="DT660"/>
  <c r="DR564"/>
  <c r="DT564"/>
  <c r="DR495"/>
  <c r="DT495"/>
  <c r="DR378"/>
  <c r="DT378"/>
  <c r="DR263"/>
  <c r="DT263"/>
  <c r="AL64" i="5"/>
  <c r="DL41" i="4"/>
  <c r="DN41" s="1"/>
  <c r="DF913"/>
  <c r="DH913" s="1"/>
  <c r="EJ561"/>
  <c r="EL561" s="1"/>
  <c r="EJ267"/>
  <c r="EL267" s="1"/>
  <c r="EJ30"/>
  <c r="EL30" s="1"/>
  <c r="AP76" i="5"/>
  <c r="DX713" i="4"/>
  <c r="DZ713" s="1"/>
  <c r="DR578"/>
  <c r="DT578" s="1"/>
  <c r="DX308"/>
  <c r="DZ308" s="1"/>
  <c r="DX69"/>
  <c r="DZ69" s="1"/>
  <c r="DR179"/>
  <c r="DT179" s="1"/>
  <c r="DX530"/>
  <c r="DZ530" s="1"/>
  <c r="DR516"/>
  <c r="DT516" s="1"/>
  <c r="EJ389"/>
  <c r="EL389" s="1"/>
  <c r="DF914"/>
  <c r="DH914" s="1"/>
  <c r="DR856"/>
  <c r="DT856" s="1"/>
  <c r="DR140"/>
  <c r="DT140" s="1"/>
  <c r="EJ379"/>
  <c r="EL379" s="1"/>
  <c r="DF1533"/>
  <c r="DH1533" s="1"/>
  <c r="DF664"/>
  <c r="DH664" s="1"/>
  <c r="DF1028"/>
  <c r="DH1028" s="1"/>
  <c r="DF1460"/>
  <c r="DH1460" s="1"/>
  <c r="DF649"/>
  <c r="DH649" s="1"/>
  <c r="DF885"/>
  <c r="DH885" s="1"/>
  <c r="DF1380"/>
  <c r="DH1380" s="1"/>
  <c r="DF554"/>
  <c r="DH554" s="1"/>
  <c r="DF805"/>
  <c r="DH805" s="1"/>
  <c r="DF1346"/>
  <c r="DH1346" s="1"/>
  <c r="DF682"/>
  <c r="DH682" s="1"/>
  <c r="DF1463"/>
  <c r="DH1463" s="1"/>
  <c r="DF811"/>
  <c r="DH811" s="1"/>
  <c r="DF412"/>
  <c r="DH412" s="1"/>
  <c r="AJ30" i="5"/>
  <c r="DF136" i="4"/>
  <c r="DH136" s="1"/>
  <c r="DF63"/>
  <c r="DH63" s="1"/>
  <c r="DF302"/>
  <c r="DH302" s="1"/>
  <c r="ED17"/>
  <c r="EF17" s="1"/>
  <c r="DR793"/>
  <c r="DT793" s="1"/>
  <c r="EJ326"/>
  <c r="EL326" s="1"/>
  <c r="DX229"/>
  <c r="DZ229" s="1"/>
  <c r="DR321"/>
  <c r="DT321" s="1"/>
  <c r="DX235"/>
  <c r="DZ235" s="1"/>
  <c r="DF206"/>
  <c r="DH206" s="1"/>
  <c r="EJ665"/>
  <c r="EL665" s="1"/>
  <c r="ED34"/>
  <c r="EF34" s="1"/>
  <c r="EJ246"/>
  <c r="EL246" s="1"/>
  <c r="DR849"/>
  <c r="DT849" s="1"/>
  <c r="EJ620"/>
  <c r="EL620" s="1"/>
  <c r="DF1506"/>
  <c r="DH1506" s="1"/>
  <c r="DF850"/>
  <c r="DH850" s="1"/>
  <c r="DF1181"/>
  <c r="DH1181" s="1"/>
  <c r="DF502"/>
  <c r="DH502" s="1"/>
  <c r="DF1027"/>
  <c r="DH1027" s="1"/>
  <c r="DF1499"/>
  <c r="DH1499" s="1"/>
  <c r="DF669"/>
  <c r="DH669" s="1"/>
  <c r="DF1315"/>
  <c r="DH1315" s="1"/>
  <c r="DF530"/>
  <c r="DH530" s="1"/>
  <c r="DF1111"/>
  <c r="DH1111" s="1"/>
  <c r="DF1645"/>
  <c r="DH1645" s="1"/>
  <c r="DF866"/>
  <c r="DH866" s="1"/>
  <c r="DF385"/>
  <c r="DH385" s="1"/>
  <c r="DF548"/>
  <c r="DH548" s="1"/>
  <c r="DF559"/>
  <c r="DH559" s="1"/>
  <c r="DF493"/>
  <c r="DH493" s="1"/>
  <c r="DF182"/>
  <c r="DH182" s="1"/>
  <c r="DF177"/>
  <c r="DH177" s="1"/>
  <c r="DF172"/>
  <c r="DH172" s="1"/>
  <c r="DF279"/>
  <c r="DH279" s="1"/>
  <c r="DF30"/>
  <c r="DH30" s="1"/>
  <c r="EJ471"/>
  <c r="EL471" s="1"/>
  <c r="DR54"/>
  <c r="DT54" s="1"/>
  <c r="DR122"/>
  <c r="DT122" s="1"/>
  <c r="DR717"/>
  <c r="DT717" s="1"/>
  <c r="EJ164"/>
  <c r="EL164" s="1"/>
  <c r="EJ344"/>
  <c r="EL344" s="1"/>
  <c r="ED44"/>
  <c r="EF44" s="1"/>
  <c r="EJ220"/>
  <c r="EL220" s="1"/>
  <c r="DX970"/>
  <c r="DZ970" s="1"/>
  <c r="DR40"/>
  <c r="DT40" s="1"/>
  <c r="EJ103"/>
  <c r="EL103" s="1"/>
  <c r="DF1029"/>
  <c r="DH1029" s="1"/>
  <c r="DF1477"/>
  <c r="DH1477" s="1"/>
  <c r="DF744"/>
  <c r="DH744" s="1"/>
  <c r="DF1261"/>
  <c r="DH1261" s="1"/>
  <c r="DF595"/>
  <c r="DH595" s="1"/>
  <c r="DF1026"/>
  <c r="DH1026" s="1"/>
  <c r="DF1442"/>
  <c r="DH1442" s="1"/>
  <c r="DF774"/>
  <c r="DH774" s="1"/>
  <c r="DF1395"/>
  <c r="DH1395" s="1"/>
  <c r="DF646"/>
  <c r="DH646" s="1"/>
  <c r="DF1184"/>
  <c r="DH1184" s="1"/>
  <c r="DF419"/>
  <c r="DH419" s="1"/>
  <c r="DF390"/>
  <c r="DH390" s="1"/>
  <c r="DF528"/>
  <c r="DH528" s="1"/>
  <c r="DF443"/>
  <c r="DH443" s="1"/>
  <c r="DF349"/>
  <c r="DH349" s="1"/>
  <c r="DF344"/>
  <c r="DH344" s="1"/>
  <c r="DF335"/>
  <c r="DH335" s="1"/>
  <c r="DF322"/>
  <c r="DH322" s="1"/>
  <c r="DF89"/>
  <c r="DH89" s="1"/>
  <c r="EJ380"/>
  <c r="EL380" s="1"/>
  <c r="EJ486"/>
  <c r="EL486" s="1"/>
  <c r="DR383"/>
  <c r="DT383" s="1"/>
  <c r="EJ390"/>
  <c r="EL390" s="1"/>
  <c r="DX951"/>
  <c r="DZ951" s="1"/>
  <c r="EJ623"/>
  <c r="EL623" s="1"/>
  <c r="EJ301"/>
  <c r="EL301" s="1"/>
  <c r="DR852"/>
  <c r="DT852" s="1"/>
  <c r="DF1344"/>
  <c r="DH1344" s="1"/>
  <c r="DF696"/>
  <c r="DH696" s="1"/>
  <c r="DF1148"/>
  <c r="DH1148" s="1"/>
  <c r="DF1611"/>
  <c r="DH1611" s="1"/>
  <c r="DF862"/>
  <c r="DH862" s="1"/>
  <c r="DF1357"/>
  <c r="DH1357" s="1"/>
  <c r="DF624"/>
  <c r="DH624" s="1"/>
  <c r="DF1210"/>
  <c r="DH1210" s="1"/>
  <c r="DF1581"/>
  <c r="DH1581" s="1"/>
  <c r="DF1048"/>
  <c r="DH1048" s="1"/>
  <c r="DF1526"/>
  <c r="DH1526" s="1"/>
  <c r="DF820"/>
  <c r="DH820" s="1"/>
  <c r="DF1038"/>
  <c r="DH1038" s="1"/>
  <c r="DF432"/>
  <c r="DH432" s="1"/>
  <c r="DF1337"/>
  <c r="DH1337" s="1"/>
  <c r="DF444"/>
  <c r="DH444" s="1"/>
  <c r="DF221"/>
  <c r="DH221" s="1"/>
  <c r="DF216"/>
  <c r="DH216" s="1"/>
  <c r="DF117"/>
  <c r="DH117" s="1"/>
  <c r="DF214"/>
  <c r="DH214" s="1"/>
  <c r="DR134"/>
  <c r="DT134" s="1"/>
  <c r="DR605"/>
  <c r="DT605" s="1"/>
  <c r="EJ499"/>
  <c r="EL499" s="1"/>
  <c r="EJ410"/>
  <c r="EL410" s="1"/>
  <c r="DX950"/>
  <c r="DZ950" s="1"/>
  <c r="EJ603"/>
  <c r="EL603" s="1"/>
  <c r="EJ355"/>
  <c r="EL355" s="1"/>
  <c r="DR183"/>
  <c r="DT183" s="1"/>
  <c r="DF1336"/>
  <c r="DH1336" s="1"/>
  <c r="DF688"/>
  <c r="DH688" s="1"/>
  <c r="DF1229"/>
  <c r="DH1229" s="1"/>
  <c r="DF1602"/>
  <c r="DH1602" s="1"/>
  <c r="DF1014"/>
  <c r="DH1014" s="1"/>
  <c r="DF1341"/>
  <c r="DH1341" s="1"/>
  <c r="DF616"/>
  <c r="DH616" s="1"/>
  <c r="DF1202"/>
  <c r="DH1202" s="1"/>
  <c r="DF1572"/>
  <c r="DH1572" s="1"/>
  <c r="DF1040"/>
  <c r="DH1040" s="1"/>
  <c r="DF1535"/>
  <c r="DH1535" s="1"/>
  <c r="DF812"/>
  <c r="DH812" s="1"/>
  <c r="DF1069"/>
  <c r="DH1069" s="1"/>
  <c r="DF424"/>
  <c r="DH424" s="1"/>
  <c r="DF1439"/>
  <c r="DH1439" s="1"/>
  <c r="DF436"/>
  <c r="DH436" s="1"/>
  <c r="DF217"/>
  <c r="DH217" s="1"/>
  <c r="DF212"/>
  <c r="DH212" s="1"/>
  <c r="DF192"/>
  <c r="DH192" s="1"/>
  <c r="DF267"/>
  <c r="DH267" s="1"/>
  <c r="DF44"/>
  <c r="DH44" s="1"/>
  <c r="EJ630"/>
  <c r="EL630" s="1"/>
  <c r="DR49"/>
  <c r="DT49" s="1"/>
  <c r="EJ625"/>
  <c r="EL625" s="1"/>
  <c r="EJ575"/>
  <c r="EL575" s="1"/>
  <c r="DX962"/>
  <c r="DZ962" s="1"/>
  <c r="DX400"/>
  <c r="DZ400" s="1"/>
  <c r="DF187"/>
  <c r="DH187" s="1"/>
  <c r="DF110"/>
  <c r="DH110" s="1"/>
  <c r="DF371"/>
  <c r="DH371" s="1"/>
  <c r="DF464"/>
  <c r="DH464" s="1"/>
  <c r="DF1561"/>
  <c r="DH1561" s="1"/>
  <c r="DF859"/>
  <c r="DH859" s="1"/>
  <c r="DF1153"/>
  <c r="DH1153" s="1"/>
  <c r="DF1389"/>
  <c r="DH1389" s="1"/>
  <c r="DF1666"/>
  <c r="DH1666" s="1"/>
  <c r="DF643"/>
  <c r="DH643" s="1"/>
  <c r="EJ308"/>
  <c r="EL308" s="1"/>
  <c r="DR45"/>
  <c r="DT45" s="1"/>
  <c r="EJ174"/>
  <c r="EL174" s="1"/>
  <c r="DX237"/>
  <c r="DZ237" s="1"/>
  <c r="DF323"/>
  <c r="DH323" s="1"/>
  <c r="DF428"/>
  <c r="DH428" s="1"/>
  <c r="DF511"/>
  <c r="DH511" s="1"/>
  <c r="DF1032"/>
  <c r="DH1032" s="1"/>
  <c r="DF701"/>
  <c r="DH701" s="1"/>
  <c r="DF1318"/>
  <c r="DH1318" s="1"/>
  <c r="DF1045"/>
  <c r="DH1045" s="1"/>
  <c r="DR129"/>
  <c r="DT129" s="1"/>
  <c r="DR171"/>
  <c r="DT171" s="1"/>
  <c r="EJ527"/>
  <c r="EL527" s="1"/>
  <c r="DF55"/>
  <c r="DH55" s="1"/>
  <c r="DF423"/>
  <c r="DH423" s="1"/>
  <c r="DF1364"/>
  <c r="DH1364" s="1"/>
  <c r="DF712"/>
  <c r="DH712" s="1"/>
  <c r="ED31"/>
  <c r="EF31" s="1"/>
  <c r="DF37"/>
  <c r="DH37" s="1"/>
  <c r="DF338"/>
  <c r="DH338" s="1"/>
  <c r="DF114"/>
  <c r="DH114" s="1"/>
  <c r="DF365"/>
  <c r="DH365" s="1"/>
  <c r="DF453"/>
  <c r="DH453" s="1"/>
  <c r="DF472"/>
  <c r="DH472" s="1"/>
  <c r="DF474"/>
  <c r="DH474" s="1"/>
  <c r="DF1394"/>
  <c r="DH1394" s="1"/>
  <c r="DF867"/>
  <c r="DH867" s="1"/>
  <c r="DF717"/>
  <c r="DH717" s="1"/>
  <c r="DF1639"/>
  <c r="DH1639" s="1"/>
  <c r="DF1397"/>
  <c r="DH1397" s="1"/>
  <c r="DF1301"/>
  <c r="DH1301" s="1"/>
  <c r="DF817"/>
  <c r="DH817" s="1"/>
  <c r="DF651"/>
  <c r="DH651" s="1"/>
  <c r="DF1595"/>
  <c r="DH1595" s="1"/>
  <c r="EJ462"/>
  <c r="EL462" s="1"/>
  <c r="EJ639"/>
  <c r="EL639" s="1"/>
  <c r="EJ236"/>
  <c r="EL236" s="1"/>
  <c r="EJ465"/>
  <c r="EL465" s="1"/>
  <c r="DF46"/>
  <c r="DH46" s="1"/>
  <c r="DF105"/>
  <c r="DH105" s="1"/>
  <c r="DF161"/>
  <c r="DH161" s="1"/>
  <c r="DF289"/>
  <c r="DH289" s="1"/>
  <c r="DF690"/>
  <c r="DH690" s="1"/>
  <c r="DF673"/>
  <c r="DH673" s="1"/>
  <c r="DF401"/>
  <c r="DH401" s="1"/>
  <c r="DF1456"/>
  <c r="DH1456" s="1"/>
  <c r="DF1079"/>
  <c r="DH1079" s="1"/>
  <c r="DF725"/>
  <c r="DH725" s="1"/>
  <c r="DF586"/>
  <c r="DH586" s="1"/>
  <c r="DF1459"/>
  <c r="DH1459" s="1"/>
  <c r="DF1309"/>
  <c r="DH1309" s="1"/>
  <c r="DF1115"/>
  <c r="DH1115" s="1"/>
  <c r="DF888"/>
  <c r="DH888" s="1"/>
  <c r="EJ376"/>
  <c r="EL376" s="1"/>
  <c r="DR93"/>
  <c r="DT93" s="1"/>
  <c r="ED74"/>
  <c r="EF74" s="1"/>
  <c r="EJ157"/>
  <c r="EL157" s="1"/>
  <c r="EJ644"/>
  <c r="EL644" s="1"/>
  <c r="DF96"/>
  <c r="DH96" s="1"/>
  <c r="DF176"/>
  <c r="DH176" s="1"/>
  <c r="DF144"/>
  <c r="DH144" s="1"/>
  <c r="DF504"/>
  <c r="DH504" s="1"/>
  <c r="DF1183"/>
  <c r="DH1183" s="1"/>
  <c r="DF550"/>
  <c r="DH550" s="1"/>
  <c r="DF874"/>
  <c r="DH874" s="1"/>
  <c r="DF545"/>
  <c r="DH545" s="1"/>
  <c r="DF1536"/>
  <c r="DH1536" s="1"/>
  <c r="DF1162"/>
  <c r="DH1162" s="1"/>
  <c r="DF901"/>
  <c r="DH901" s="1"/>
  <c r="DF776"/>
  <c r="DH776" s="1"/>
  <c r="DF634"/>
  <c r="DH634" s="1"/>
  <c r="DF1421"/>
  <c r="DH1421" s="1"/>
  <c r="DF1413"/>
  <c r="DH1413" s="1"/>
  <c r="EJ286"/>
  <c r="EL286" s="1"/>
  <c r="EJ123"/>
  <c r="EL123" s="1"/>
  <c r="EJ579"/>
  <c r="EL579" s="1"/>
  <c r="DF973"/>
  <c r="DH973" s="1"/>
  <c r="DX918"/>
  <c r="DZ918" s="1"/>
  <c r="DX603"/>
  <c r="DZ603" s="1"/>
  <c r="DX571"/>
  <c r="DZ571" s="1"/>
  <c r="DX509"/>
  <c r="DZ509" s="1"/>
  <c r="AN67" i="5"/>
  <c r="DX477" i="4"/>
  <c r="DZ477" s="1"/>
  <c r="DX441"/>
  <c r="DZ441" s="1"/>
  <c r="DX379"/>
  <c r="DZ379" s="1"/>
  <c r="DX641"/>
  <c r="DZ641" s="1"/>
  <c r="DX735"/>
  <c r="DZ735" s="1"/>
  <c r="DX767"/>
  <c r="DZ767" s="1"/>
  <c r="DX801"/>
  <c r="DZ801" s="1"/>
  <c r="DX829"/>
  <c r="DZ829" s="1"/>
  <c r="DX881"/>
  <c r="DZ881" s="1"/>
  <c r="DX639"/>
  <c r="DZ639" s="1"/>
  <c r="DX669"/>
  <c r="DZ669" s="1"/>
  <c r="DX705"/>
  <c r="DZ705" s="1"/>
  <c r="DX799"/>
  <c r="DZ799" s="1"/>
  <c r="DX833"/>
  <c r="DZ833" s="1"/>
  <c r="DX861"/>
  <c r="DZ861" s="1"/>
  <c r="DX63"/>
  <c r="DZ63" s="1"/>
  <c r="DX30"/>
  <c r="DZ30" s="1"/>
  <c r="DX175"/>
  <c r="DZ175" s="1"/>
  <c r="DX187"/>
  <c r="DZ187" s="1"/>
  <c r="DX249"/>
  <c r="DZ249" s="1"/>
  <c r="DX299"/>
  <c r="DZ299" s="1"/>
  <c r="DX313"/>
  <c r="DZ313" s="1"/>
  <c r="DX347"/>
  <c r="DZ347" s="1"/>
  <c r="DX411"/>
  <c r="DZ411" s="1"/>
  <c r="DX445"/>
  <c r="DZ445" s="1"/>
  <c r="DX505"/>
  <c r="DZ505" s="1"/>
  <c r="DX573"/>
  <c r="DZ573" s="1"/>
  <c r="DX919"/>
  <c r="DZ919" s="1"/>
  <c r="EJ226"/>
  <c r="EL226" s="1"/>
  <c r="DR854"/>
  <c r="DT854" s="1"/>
  <c r="DF896"/>
  <c r="DH896" s="1"/>
  <c r="DF1188"/>
  <c r="DH1188" s="1"/>
  <c r="DF539"/>
  <c r="DH539" s="1"/>
  <c r="DF1119"/>
  <c r="DH1119" s="1"/>
  <c r="DF1046"/>
  <c r="DH1046" s="1"/>
  <c r="DF526"/>
  <c r="DH526" s="1"/>
  <c r="DF185"/>
  <c r="DH185" s="1"/>
  <c r="EJ587"/>
  <c r="EL587" s="1"/>
  <c r="EJ239"/>
  <c r="EL239" s="1"/>
  <c r="EJ271"/>
  <c r="EL271" s="1"/>
  <c r="DF1319"/>
  <c r="DH1319" s="1"/>
  <c r="DF816"/>
  <c r="DH816" s="1"/>
  <c r="DF1275"/>
  <c r="DH1275" s="1"/>
  <c r="DF600"/>
  <c r="DH600" s="1"/>
  <c r="DF755"/>
  <c r="DH755" s="1"/>
  <c r="DF524"/>
  <c r="DH524" s="1"/>
  <c r="DF359"/>
  <c r="DH359" s="1"/>
  <c r="EJ177"/>
  <c r="EL177" s="1"/>
  <c r="DX320"/>
  <c r="DZ320" s="1"/>
  <c r="EJ228"/>
  <c r="EL228" s="1"/>
  <c r="DF1541"/>
  <c r="DH1541" s="1"/>
  <c r="DF808"/>
  <c r="DH808" s="1"/>
  <c r="DF1482"/>
  <c r="DH1482" s="1"/>
  <c r="DF732"/>
  <c r="DH732" s="1"/>
  <c r="DF723"/>
  <c r="DH723" s="1"/>
  <c r="DF434"/>
  <c r="DH434" s="1"/>
  <c r="DF355"/>
  <c r="DH355" s="1"/>
  <c r="EJ505"/>
  <c r="EL505" s="1"/>
  <c r="DF1444"/>
  <c r="DH1444" s="1"/>
  <c r="DF374"/>
  <c r="DH374" s="1"/>
  <c r="DF202"/>
  <c r="DH202" s="1"/>
  <c r="EJ166"/>
  <c r="EL166" s="1"/>
  <c r="DF1220"/>
  <c r="DH1220" s="1"/>
  <c r="DF1544"/>
  <c r="DH1544" s="1"/>
  <c r="DF333"/>
  <c r="DH333" s="1"/>
  <c r="DR618"/>
  <c r="DT618" s="1"/>
  <c r="EJ652"/>
  <c r="EL652" s="1"/>
  <c r="EJ108"/>
  <c r="EL108" s="1"/>
  <c r="DF1099"/>
  <c r="DH1099" s="1"/>
  <c r="DF569"/>
  <c r="DH569" s="1"/>
  <c r="DF286"/>
  <c r="DH286" s="1"/>
  <c r="EJ578"/>
  <c r="EL578" s="1"/>
  <c r="EJ38"/>
  <c r="EL38" s="1"/>
  <c r="DF540"/>
  <c r="DH540" s="1"/>
  <c r="DF1010"/>
  <c r="DH1010" s="1"/>
  <c r="DF1291"/>
  <c r="DH1291" s="1"/>
  <c r="DF478"/>
  <c r="DH478" s="1"/>
  <c r="DR97"/>
  <c r="DT97" s="1"/>
  <c r="EJ68"/>
  <c r="EL68" s="1"/>
  <c r="DF171"/>
  <c r="DH171" s="1"/>
  <c r="DF556"/>
  <c r="DH556" s="1"/>
  <c r="DF1018"/>
  <c r="DH1018" s="1"/>
  <c r="DF1299"/>
  <c r="DH1299" s="1"/>
  <c r="DF486"/>
  <c r="DH486" s="1"/>
  <c r="DR56"/>
  <c r="DT56" s="1"/>
  <c r="EJ296"/>
  <c r="EL296" s="1"/>
  <c r="DF308"/>
  <c r="DH308" s="1"/>
  <c r="DF400"/>
  <c r="DH400" s="1"/>
  <c r="DF1323"/>
  <c r="DH1323" s="1"/>
  <c r="DF617"/>
  <c r="DH617" s="1"/>
  <c r="DF1140"/>
  <c r="DH1140" s="1"/>
  <c r="EJ653"/>
  <c r="EL653" s="1"/>
  <c r="DF210"/>
  <c r="DH210" s="1"/>
  <c r="EJ372"/>
  <c r="EL372" s="1"/>
  <c r="DF339"/>
  <c r="DH339" s="1"/>
  <c r="DF415"/>
  <c r="DH415" s="1"/>
  <c r="DF654"/>
  <c r="DH654" s="1"/>
  <c r="DF1034"/>
  <c r="DH1034" s="1"/>
  <c r="DF1485"/>
  <c r="DH1485" s="1"/>
  <c r="DR148"/>
  <c r="DT148" s="1"/>
  <c r="AL58" i="5"/>
  <c r="EJ374" i="4"/>
  <c r="EL374" s="1"/>
  <c r="EJ156"/>
  <c r="EL156" s="1"/>
  <c r="DF427"/>
  <c r="DH427" s="1"/>
  <c r="DF1580"/>
  <c r="DH1580" s="1"/>
  <c r="DF1316"/>
  <c r="DH1316" s="1"/>
  <c r="DF1065"/>
  <c r="DH1065" s="1"/>
  <c r="ED70"/>
  <c r="EF70" s="1"/>
  <c r="EJ682"/>
  <c r="EL682" s="1"/>
  <c r="DR811"/>
  <c r="DT811" s="1"/>
  <c r="DF924"/>
  <c r="DH924" s="1"/>
  <c r="DR461"/>
  <c r="DT461" s="1"/>
  <c r="DX27"/>
  <c r="DZ27" s="1"/>
  <c r="DX628"/>
  <c r="DZ628" s="1"/>
  <c r="DX323"/>
  <c r="DZ323" s="1"/>
  <c r="DR406"/>
  <c r="DT406" s="1"/>
  <c r="DX412"/>
  <c r="DZ412" s="1"/>
  <c r="EJ552"/>
  <c r="EL552" s="1"/>
  <c r="DR739"/>
  <c r="DT739" s="1"/>
  <c r="ED49"/>
  <c r="EF49" s="1"/>
  <c r="DR617"/>
  <c r="DT617" s="1"/>
  <c r="DX785"/>
  <c r="DZ785" s="1"/>
  <c r="DR212"/>
  <c r="DT212" s="1"/>
  <c r="DX485"/>
  <c r="DZ485" s="1"/>
  <c r="DF933"/>
  <c r="DH933" s="1"/>
  <c r="DX402"/>
  <c r="DZ402" s="1"/>
  <c r="DX133"/>
  <c r="DZ133" s="1"/>
  <c r="DF107"/>
  <c r="DH107" s="1"/>
  <c r="DF807"/>
  <c r="DH807" s="1"/>
  <c r="EJ159"/>
  <c r="EL159" s="1"/>
  <c r="DF1100"/>
  <c r="DH1100" s="1"/>
  <c r="DF1566"/>
  <c r="DH1566" s="1"/>
  <c r="AJ95" i="5"/>
  <c r="DF677" i="4"/>
  <c r="DH677"/>
  <c r="DF1161"/>
  <c r="DH1161"/>
  <c r="DF1635"/>
  <c r="DH1635"/>
  <c r="DF496"/>
  <c r="DH496"/>
  <c r="DF241"/>
  <c r="DH241"/>
  <c r="DF65"/>
  <c r="DH65"/>
  <c r="EJ280"/>
  <c r="EL280"/>
  <c r="EJ56"/>
  <c r="EL56"/>
  <c r="DF745"/>
  <c r="DH745"/>
  <c r="DF1106"/>
  <c r="DH1106"/>
  <c r="DF1490"/>
  <c r="DH1490"/>
  <c r="DF875"/>
  <c r="DH875"/>
  <c r="DF535"/>
  <c r="DH535"/>
  <c r="DF458"/>
  <c r="DH458"/>
  <c r="DF118"/>
  <c r="DH118"/>
  <c r="DF32"/>
  <c r="DH32"/>
  <c r="EJ138"/>
  <c r="EL138"/>
  <c r="DF1222"/>
  <c r="DH1222"/>
  <c r="DF1674"/>
  <c r="DH1674"/>
  <c r="DF1013"/>
  <c r="DH1013"/>
  <c r="DF1481"/>
  <c r="DH1481"/>
  <c r="DF1570"/>
  <c r="DH1570"/>
  <c r="DF382"/>
  <c r="DH382"/>
  <c r="DF92"/>
  <c r="DH92"/>
  <c r="DF137"/>
  <c r="DH137"/>
  <c r="DR22"/>
  <c r="DT22"/>
  <c r="DF490"/>
  <c r="DH490"/>
  <c r="EJ37"/>
  <c r="EL37"/>
  <c r="EJ107"/>
  <c r="EL107"/>
  <c r="DF1238"/>
  <c r="DH1238"/>
  <c r="DF708"/>
  <c r="DH708"/>
  <c r="DF698"/>
  <c r="DH698"/>
  <c r="DF163"/>
  <c r="DH163"/>
  <c r="EJ173"/>
  <c r="EL173"/>
  <c r="EJ477"/>
  <c r="EL477"/>
  <c r="DF1286"/>
  <c r="DH1286"/>
  <c r="DF791"/>
  <c r="DH791"/>
  <c r="DF697"/>
  <c r="DH697"/>
  <c r="EJ109"/>
  <c r="EL109"/>
  <c r="DF235"/>
  <c r="DH235"/>
  <c r="DF170"/>
  <c r="DH170"/>
  <c r="DF551"/>
  <c r="DH551"/>
  <c r="DF601"/>
  <c r="DH601"/>
  <c r="DF1114"/>
  <c r="DH1114"/>
  <c r="DF1462"/>
  <c r="DH1462"/>
  <c r="ED51"/>
  <c r="EF51"/>
  <c r="AO67" i="5"/>
  <c r="EJ385" i="4"/>
  <c r="EL385" s="1"/>
  <c r="DF174"/>
  <c r="DH174" s="1"/>
  <c r="DF480"/>
  <c r="DH480" s="1"/>
  <c r="DF564"/>
  <c r="DH564" s="1"/>
  <c r="DF1122"/>
  <c r="DH1122" s="1"/>
  <c r="DF1470"/>
  <c r="DH1470" s="1"/>
  <c r="ED40"/>
  <c r="EF40" s="1"/>
  <c r="DR100"/>
  <c r="DT100" s="1"/>
  <c r="DF299"/>
  <c r="DH299" s="1"/>
  <c r="DF1022"/>
  <c r="DH1022" s="1"/>
  <c r="DF675"/>
  <c r="DH675" s="1"/>
  <c r="DF1073"/>
  <c r="DH1073" s="1"/>
  <c r="DF1505"/>
  <c r="DH1505" s="1"/>
  <c r="AJ11" i="5"/>
  <c r="EJ604" i="4"/>
  <c r="EL604" s="1"/>
  <c r="AP95" i="5"/>
  <c r="DR851" i="4"/>
  <c r="DT851" s="1"/>
  <c r="EJ105"/>
  <c r="EL105" s="1"/>
  <c r="DF326"/>
  <c r="DH326" s="1"/>
  <c r="DF467"/>
  <c r="DH467" s="1"/>
  <c r="DF1192"/>
  <c r="DH1192" s="1"/>
  <c r="DF1458"/>
  <c r="DH1458" s="1"/>
  <c r="DF752"/>
  <c r="DH752" s="1"/>
  <c r="EJ152"/>
  <c r="EL152" s="1"/>
  <c r="EJ612"/>
  <c r="EL612" s="1"/>
  <c r="DX403"/>
  <c r="DZ403" s="1"/>
  <c r="AN27" i="5"/>
  <c r="DX248" i="4"/>
  <c r="DZ248" s="1"/>
  <c r="DF258"/>
  <c r="DH258" s="1"/>
  <c r="DF828"/>
  <c r="DH828" s="1"/>
  <c r="DF1618"/>
  <c r="DH1618" s="1"/>
  <c r="DF1391"/>
  <c r="DH1391" s="1"/>
  <c r="EJ515"/>
  <c r="EL515" s="1"/>
  <c r="DR778"/>
  <c r="DT778" s="1"/>
  <c r="DR89"/>
  <c r="DT89" s="1"/>
  <c r="DR397"/>
  <c r="DT397" s="1"/>
  <c r="DR769"/>
  <c r="DT769" s="1"/>
  <c r="DX451"/>
  <c r="DZ451" s="1"/>
  <c r="EJ683"/>
  <c r="EL683" s="1"/>
  <c r="EJ481"/>
  <c r="EL481" s="1"/>
  <c r="DR312"/>
  <c r="DT312" s="1"/>
  <c r="DX117"/>
  <c r="DZ117" s="1"/>
  <c r="EJ664"/>
  <c r="EL664" s="1"/>
  <c r="DR543"/>
  <c r="DT543" s="1"/>
  <c r="DX723"/>
  <c r="DZ723" s="1"/>
  <c r="DR421"/>
  <c r="DT421" s="1"/>
  <c r="DX508"/>
  <c r="DZ508" s="1"/>
  <c r="DX130"/>
  <c r="DZ130" s="1"/>
  <c r="EJ146"/>
  <c r="EL146" s="1"/>
  <c r="DR683"/>
  <c r="DT683" s="1"/>
  <c r="DF954"/>
  <c r="DH954" s="1"/>
  <c r="DF1233"/>
  <c r="DH1233" s="1"/>
  <c r="DF1652"/>
  <c r="DH1652" s="1"/>
  <c r="AJ104" i="5"/>
  <c r="AS104" s="1"/>
  <c r="DF837" i="4"/>
  <c r="DH837" s="1"/>
  <c r="EJ509"/>
  <c r="EL509" s="1"/>
  <c r="M49" i="5"/>
  <c r="D49" s="1"/>
  <c r="N82"/>
  <c r="F82" s="1"/>
  <c r="O82" s="1"/>
  <c r="H82" s="1"/>
  <c r="M82"/>
  <c r="D82" s="1"/>
  <c r="G48"/>
  <c r="E48"/>
  <c r="U46"/>
  <c r="AP47"/>
  <c r="S47"/>
  <c r="G75"/>
  <c r="E75"/>
  <c r="G83"/>
  <c r="E83"/>
  <c r="L101"/>
  <c r="C101" s="1"/>
  <c r="AV101"/>
  <c r="AU101" s="1"/>
  <c r="W93" i="1"/>
  <c r="T93" s="1"/>
  <c r="E58" i="5"/>
  <c r="E64"/>
  <c r="DX605" i="4"/>
  <c r="DZ605" s="1"/>
  <c r="W89" i="1"/>
  <c r="T89" s="1"/>
  <c r="G13" i="5"/>
  <c r="AJ23"/>
  <c r="AS23"/>
  <c r="T41"/>
  <c r="X43"/>
  <c r="N26"/>
  <c r="F26"/>
  <c r="O26" s="1"/>
  <c r="H26" s="1"/>
  <c r="E47"/>
  <c r="G23"/>
  <c r="M23" s="1"/>
  <c r="D23" s="1"/>
  <c r="G20"/>
  <c r="G29"/>
  <c r="L29" s="1"/>
  <c r="C29" s="1"/>
  <c r="AC50"/>
  <c r="AG52"/>
  <c r="T22"/>
  <c r="T31"/>
  <c r="AC35"/>
  <c r="AJ53"/>
  <c r="AS53" s="1"/>
  <c r="AJ25"/>
  <c r="T34"/>
  <c r="R44"/>
  <c r="AC32"/>
  <c r="E26"/>
  <c r="AC46"/>
  <c r="AC37"/>
  <c r="AJ40"/>
  <c r="AS40" s="1"/>
  <c r="T29"/>
  <c r="T25"/>
  <c r="AH22"/>
  <c r="AC22"/>
  <c r="AH37"/>
  <c r="R40"/>
  <c r="E40"/>
  <c r="R32"/>
  <c r="AA40"/>
  <c r="AC40"/>
  <c r="AH25"/>
  <c r="AJ35"/>
  <c r="AS35" s="1"/>
  <c r="AC41"/>
  <c r="AJ41"/>
  <c r="AS41" s="1"/>
  <c r="AN37"/>
  <c r="AP37"/>
  <c r="AP28"/>
  <c r="L26"/>
  <c r="C26"/>
  <c r="L44"/>
  <c r="C44"/>
  <c r="AC14"/>
  <c r="S19"/>
  <c r="E44"/>
  <c r="T35"/>
  <c r="AN52"/>
  <c r="AA46"/>
  <c r="T46"/>
  <c r="AC49"/>
  <c r="R26"/>
  <c r="E32"/>
  <c r="T44"/>
  <c r="T40"/>
  <c r="AP53"/>
  <c r="AP32"/>
  <c r="AJ29"/>
  <c r="AS29"/>
  <c r="T38"/>
  <c r="R29"/>
  <c r="X28"/>
  <c r="AA32"/>
  <c r="X37"/>
  <c r="R14"/>
  <c r="E14"/>
  <c r="S50"/>
  <c r="S49"/>
  <c r="AA49"/>
  <c r="AN49"/>
  <c r="AP25"/>
  <c r="G10"/>
  <c r="AC31"/>
  <c r="AC34"/>
  <c r="T19"/>
  <c r="L32"/>
  <c r="C32"/>
  <c r="M32"/>
  <c r="D32"/>
  <c r="N32"/>
  <c r="F32"/>
  <c r="O32" s="1"/>
  <c r="H32" s="1"/>
  <c r="AV26"/>
  <c r="AU26"/>
  <c r="N44"/>
  <c r="F44"/>
  <c r="O44" s="1"/>
  <c r="H44" s="1"/>
  <c r="T11"/>
  <c r="T14"/>
  <c r="AB19"/>
  <c r="AA11"/>
  <c r="M11"/>
  <c r="D11"/>
  <c r="AJ26"/>
  <c r="AS26"/>
  <c r="AV44"/>
  <c r="AU44"/>
  <c r="T32"/>
  <c r="AA38"/>
  <c r="AJ38"/>
  <c r="AS38"/>
  <c r="AP29"/>
  <c r="AP44"/>
  <c r="AC29"/>
  <c r="AA14"/>
  <c r="AC13"/>
  <c r="AC16"/>
  <c r="AJ46"/>
  <c r="AS46"/>
  <c r="R46"/>
  <c r="T50"/>
  <c r="T13"/>
  <c r="AP26"/>
  <c r="S46"/>
  <c r="AJ19"/>
  <c r="AC26"/>
  <c r="AA26"/>
  <c r="E35"/>
  <c r="AC44"/>
  <c r="AP46"/>
  <c r="AP35"/>
  <c r="T28"/>
  <c r="AJ44"/>
  <c r="AS44" s="1"/>
  <c r="AP40"/>
  <c r="AH19"/>
  <c r="AJ32"/>
  <c r="AS32" s="1"/>
  <c r="AP38"/>
  <c r="S38"/>
  <c r="S29"/>
  <c r="AC38"/>
  <c r="AC19"/>
  <c r="AC28"/>
  <c r="M28"/>
  <c r="D28" s="1"/>
  <c r="X25"/>
  <c r="AP41"/>
  <c r="S40"/>
  <c r="AC25"/>
  <c r="AP49"/>
  <c r="AP50"/>
  <c r="AJ49"/>
  <c r="AS49" s="1"/>
  <c r="AG22"/>
  <c r="Y28"/>
  <c r="AG16"/>
  <c r="X31"/>
  <c r="X10"/>
  <c r="S11"/>
  <c r="S44"/>
  <c r="R50"/>
  <c r="L96"/>
  <c r="C96" s="1"/>
  <c r="M96"/>
  <c r="D96" s="1"/>
  <c r="G16"/>
  <c r="L97"/>
  <c r="C97"/>
  <c r="L39"/>
  <c r="C39"/>
  <c r="L87"/>
  <c r="C87"/>
  <c r="R19"/>
  <c r="E19"/>
  <c r="AV100"/>
  <c r="AU100"/>
  <c r="L100"/>
  <c r="C100"/>
  <c r="M100"/>
  <c r="D100"/>
  <c r="N100"/>
  <c r="F100"/>
  <c r="O100" s="1"/>
  <c r="H100" s="1"/>
  <c r="M108"/>
  <c r="D108"/>
  <c r="N108"/>
  <c r="F108"/>
  <c r="O108" s="1"/>
  <c r="H108" s="1"/>
  <c r="AV108"/>
  <c r="AU108"/>
  <c r="L108"/>
  <c r="C108"/>
  <c r="M64"/>
  <c r="D64"/>
  <c r="L64"/>
  <c r="C64"/>
  <c r="M78"/>
  <c r="D78"/>
  <c r="L78"/>
  <c r="C78"/>
  <c r="AV78"/>
  <c r="AU78"/>
  <c r="N78"/>
  <c r="F78"/>
  <c r="O78" s="1"/>
  <c r="H78" s="1"/>
  <c r="M30"/>
  <c r="D30"/>
  <c r="L30"/>
  <c r="C30"/>
  <c r="M71"/>
  <c r="D71"/>
  <c r="L71"/>
  <c r="C71"/>
  <c r="L24"/>
  <c r="C24"/>
  <c r="M24"/>
  <c r="D24"/>
  <c r="E41"/>
  <c r="G41"/>
  <c r="M41" s="1"/>
  <c r="D41" s="1"/>
  <c r="N79"/>
  <c r="F79"/>
  <c r="O79" s="1"/>
  <c r="H79" s="1"/>
  <c r="DX901" i="4"/>
  <c r="DZ901"/>
  <c r="M21" i="5"/>
  <c r="D21"/>
  <c r="L57"/>
  <c r="C57"/>
  <c r="M57"/>
  <c r="D57"/>
  <c r="M60"/>
  <c r="D60"/>
  <c r="M58"/>
  <c r="D58"/>
  <c r="AO39" i="1"/>
  <c r="AP39"/>
  <c r="AQ39" s="1"/>
  <c r="AJ38"/>
  <c r="AK38" s="1"/>
  <c r="AL38" s="1"/>
  <c r="AB38" s="1"/>
  <c r="AV32" i="5"/>
  <c r="AU32" s="1"/>
  <c r="AJ50"/>
  <c r="AS50" s="1"/>
  <c r="G17"/>
  <c r="N17" s="1"/>
  <c r="F17" s="1"/>
  <c r="O17" s="1"/>
  <c r="H17" s="1"/>
  <c r="E17"/>
  <c r="T47"/>
  <c r="AC47"/>
  <c r="E38"/>
  <c r="G38"/>
  <c r="AV38" s="1"/>
  <c r="AU38" s="1"/>
  <c r="T10"/>
  <c r="M33"/>
  <c r="D33" s="1"/>
  <c r="L111"/>
  <c r="C111" s="1"/>
  <c r="AV111"/>
  <c r="AU111" s="1"/>
  <c r="N111"/>
  <c r="F111" s="1"/>
  <c r="O111" s="1"/>
  <c r="H111" s="1"/>
  <c r="M95"/>
  <c r="D95" s="1"/>
  <c r="L47"/>
  <c r="C47" s="1"/>
  <c r="M47"/>
  <c r="D47" s="1"/>
  <c r="AV47"/>
  <c r="AU47" s="1"/>
  <c r="R23"/>
  <c r="AA23"/>
  <c r="S23"/>
  <c r="S17"/>
  <c r="AA17"/>
  <c r="AJ17"/>
  <c r="AS17"/>
  <c r="R17"/>
  <c r="AG19"/>
  <c r="X46"/>
  <c r="AN46"/>
  <c r="AG46"/>
  <c r="S43"/>
  <c r="R43"/>
  <c r="E43"/>
  <c r="AA43"/>
  <c r="X40"/>
  <c r="AG40"/>
  <c r="AA34"/>
  <c r="AP34"/>
  <c r="R34"/>
  <c r="E34"/>
  <c r="AB34"/>
  <c r="S34"/>
  <c r="AC23"/>
  <c r="AA10"/>
  <c r="AP17"/>
  <c r="AO60"/>
  <c r="T23"/>
  <c r="AB10"/>
  <c r="T43"/>
  <c r="AC43"/>
  <c r="M63"/>
  <c r="D63" s="1"/>
  <c r="T17"/>
  <c r="AP43"/>
  <c r="AJ34"/>
  <c r="AS34" s="1"/>
  <c r="AP23"/>
  <c r="X19"/>
  <c r="AJ20"/>
  <c r="AS20" s="1"/>
  <c r="G84"/>
  <c r="E84"/>
  <c r="L74"/>
  <c r="C74" s="1"/>
  <c r="M74"/>
  <c r="D74" s="1"/>
  <c r="AH31"/>
  <c r="Y31"/>
  <c r="Y34"/>
  <c r="AH34"/>
  <c r="AA47"/>
  <c r="R47"/>
  <c r="AJ47"/>
  <c r="AS47" s="1"/>
  <c r="E22"/>
  <c r="G22"/>
  <c r="E73"/>
  <c r="G73"/>
  <c r="G91"/>
  <c r="E91"/>
  <c r="S16"/>
  <c r="R16"/>
  <c r="E16"/>
  <c r="N52"/>
  <c r="F52" s="1"/>
  <c r="O52" s="1"/>
  <c r="H52" s="1"/>
  <c r="Y40"/>
  <c r="AH40"/>
  <c r="E37"/>
  <c r="G37"/>
  <c r="AV37" s="1"/>
  <c r="AU37" s="1"/>
  <c r="G25"/>
  <c r="E25"/>
  <c r="DX897" i="4"/>
  <c r="DZ897" s="1"/>
  <c r="DX899"/>
  <c r="DZ899" s="1"/>
  <c r="T26" i="5"/>
  <c r="N65"/>
  <c r="F65"/>
  <c r="O65" s="1"/>
  <c r="H65" s="1"/>
  <c r="X39" i="1"/>
  <c r="AV64" i="5"/>
  <c r="AU64" s="1"/>
  <c r="N64"/>
  <c r="F64" s="1"/>
  <c r="O64" s="1"/>
  <c r="H64" s="1"/>
  <c r="X38" i="1"/>
  <c r="N67" i="5"/>
  <c r="F67"/>
  <c r="O67" s="1"/>
  <c r="H67" s="1"/>
  <c r="X41" i="1"/>
  <c r="E11" i="5"/>
  <c r="J8"/>
  <c r="AV35"/>
  <c r="AU35" s="1"/>
  <c r="L35"/>
  <c r="C35" s="1"/>
  <c r="N35"/>
  <c r="F35" s="1"/>
  <c r="O35" s="1"/>
  <c r="H35" s="1"/>
  <c r="M35"/>
  <c r="D35" s="1"/>
  <c r="M53"/>
  <c r="D53" s="1"/>
  <c r="N53"/>
  <c r="F53" s="1"/>
  <c r="O53" s="1"/>
  <c r="H53" s="1"/>
  <c r="AV63"/>
  <c r="AU63" s="1"/>
  <c r="AV79"/>
  <c r="AU79" s="1"/>
  <c r="AV66"/>
  <c r="AU66" s="1"/>
  <c r="L52"/>
  <c r="C52" s="1"/>
  <c r="L68"/>
  <c r="C68" s="1"/>
  <c r="L85"/>
  <c r="C85" s="1"/>
  <c r="M79"/>
  <c r="D79" s="1"/>
  <c r="AV52"/>
  <c r="AU52" s="1"/>
  <c r="M68"/>
  <c r="D68" s="1"/>
  <c r="AV99"/>
  <c r="AU99" s="1"/>
  <c r="AP13"/>
  <c r="L45"/>
  <c r="C45"/>
  <c r="AN43"/>
  <c r="AJ31"/>
  <c r="AP31"/>
  <c r="AN30"/>
  <c r="AJ36"/>
  <c r="AS36" s="1"/>
  <c r="AV36"/>
  <c r="AU36"/>
  <c r="AJ39"/>
  <c r="AS39" s="1"/>
  <c r="N39"/>
  <c r="F39" s="1"/>
  <c r="O39" s="1"/>
  <c r="H39" s="1"/>
  <c r="L51"/>
  <c r="C51" s="1"/>
  <c r="AN40"/>
  <c r="AJ43"/>
  <c r="AS43" s="1"/>
  <c r="N43"/>
  <c r="F43" s="1"/>
  <c r="O43" s="1"/>
  <c r="H43" s="1"/>
  <c r="M102"/>
  <c r="D102" s="1"/>
  <c r="AN31"/>
  <c r="L102"/>
  <c r="C102" s="1"/>
  <c r="G86"/>
  <c r="AV45"/>
  <c r="AU45"/>
  <c r="L66"/>
  <c r="C66" s="1"/>
  <c r="N45"/>
  <c r="F45" s="1"/>
  <c r="O45" s="1"/>
  <c r="H45" s="1"/>
  <c r="AN25"/>
  <c r="AS25"/>
  <c r="N25"/>
  <c r="F25" s="1"/>
  <c r="O25" s="1"/>
  <c r="H25" s="1"/>
  <c r="AV102"/>
  <c r="AU102" s="1"/>
  <c r="N66"/>
  <c r="F66" s="1"/>
  <c r="O66" s="1"/>
  <c r="H66" s="1"/>
  <c r="X40" i="1"/>
  <c r="AN28" i="5"/>
  <c r="AS28"/>
  <c r="AN22"/>
  <c r="AN34"/>
  <c r="AV34"/>
  <c r="AU34" s="1"/>
  <c r="AJ37"/>
  <c r="AS37" s="1"/>
  <c r="AN10"/>
  <c r="AJ27"/>
  <c r="AS61"/>
  <c r="AV61"/>
  <c r="AU61" s="1"/>
  <c r="AO58"/>
  <c r="AL60"/>
  <c r="AJ60"/>
  <c r="AN60"/>
  <c r="AS33"/>
  <c r="N33"/>
  <c r="F33" s="1"/>
  <c r="O33" s="1"/>
  <c r="H33" s="1"/>
  <c r="AN21"/>
  <c r="AL59"/>
  <c r="AO59"/>
  <c r="AJ59"/>
  <c r="AN58"/>
  <c r="AK30"/>
  <c r="AK58"/>
  <c r="AN57"/>
  <c r="AL57"/>
  <c r="AJ57"/>
  <c r="AS42"/>
  <c r="AL27"/>
  <c r="M40"/>
  <c r="D40"/>
  <c r="L40"/>
  <c r="C40" s="1"/>
  <c r="M39"/>
  <c r="D39"/>
  <c r="L31"/>
  <c r="C31" s="1"/>
  <c r="M31"/>
  <c r="D31"/>
  <c r="AO66"/>
  <c r="AO30"/>
  <c r="E31"/>
  <c r="L28"/>
  <c r="C28" s="1"/>
  <c r="AO27"/>
  <c r="AP14"/>
  <c r="AS14"/>
  <c r="AJ10"/>
  <c r="AP19"/>
  <c r="AS19"/>
  <c r="N19"/>
  <c r="F19" s="1"/>
  <c r="O19" s="1"/>
  <c r="H19" s="1"/>
  <c r="AJ22"/>
  <c r="AJ16"/>
  <c r="AL15"/>
  <c r="AK15"/>
  <c r="AP16"/>
  <c r="M14"/>
  <c r="D14"/>
  <c r="AK55"/>
  <c r="AK24"/>
  <c r="AK27"/>
  <c r="AJ56"/>
  <c r="AN24"/>
  <c r="AJ24"/>
  <c r="AO24"/>
  <c r="AL21"/>
  <c r="AL24"/>
  <c r="AJ21"/>
  <c r="AJ13"/>
  <c r="AO55"/>
  <c r="L19"/>
  <c r="C19"/>
  <c r="AJ18"/>
  <c r="M19"/>
  <c r="D19" s="1"/>
  <c r="AN15"/>
  <c r="AN16"/>
  <c r="AN12"/>
  <c r="AN13"/>
  <c r="AO15"/>
  <c r="AJ15"/>
  <c r="AB69" i="1"/>
  <c r="AC69" s="1"/>
  <c r="W69" s="1"/>
  <c r="T69" s="1"/>
  <c r="AB73"/>
  <c r="AC73" s="1"/>
  <c r="U73"/>
  <c r="AB47"/>
  <c r="AC47" s="1"/>
  <c r="U47"/>
  <c r="AB77"/>
  <c r="AC77" s="1"/>
  <c r="U77"/>
  <c r="AB75"/>
  <c r="AC75" s="1"/>
  <c r="U75"/>
  <c r="AB59"/>
  <c r="AC59" s="1"/>
  <c r="W59" s="1"/>
  <c r="T59" s="1"/>
  <c r="AB53"/>
  <c r="AC53" s="1"/>
  <c r="W53" s="1"/>
  <c r="T53" s="1"/>
  <c r="AB56"/>
  <c r="AC56" s="1"/>
  <c r="W56" s="1"/>
  <c r="T56" s="1"/>
  <c r="AB82"/>
  <c r="AC82" s="1"/>
  <c r="W82" s="1"/>
  <c r="T82" s="1"/>
  <c r="AB14"/>
  <c r="AC14" s="1"/>
  <c r="U14"/>
  <c r="AB57"/>
  <c r="AC57" s="1"/>
  <c r="W57" s="1"/>
  <c r="T57" s="1"/>
  <c r="AB19"/>
  <c r="AC19" s="1"/>
  <c r="U19"/>
  <c r="AB21"/>
  <c r="AC21" s="1"/>
  <c r="U21"/>
  <c r="AB37"/>
  <c r="AC37" s="1"/>
  <c r="W37" s="1"/>
  <c r="T37" s="1"/>
  <c r="U37"/>
  <c r="AB20"/>
  <c r="AC20" s="1"/>
  <c r="U20"/>
  <c r="AB43"/>
  <c r="AC43" s="1"/>
  <c r="W43" s="1"/>
  <c r="T43" s="1"/>
  <c r="AB67"/>
  <c r="AC67" s="1"/>
  <c r="W67" s="1"/>
  <c r="T67" s="1"/>
  <c r="AB23"/>
  <c r="AC23" s="1"/>
  <c r="W23" s="1"/>
  <c r="T23" s="1"/>
  <c r="AB36"/>
  <c r="AC36" s="1"/>
  <c r="W36" s="1"/>
  <c r="T36" s="1"/>
  <c r="U36"/>
  <c r="AB48"/>
  <c r="AC48" s="1"/>
  <c r="U48"/>
  <c r="AB79"/>
  <c r="AC79" s="1"/>
  <c r="W79" s="1"/>
  <c r="T79" s="1"/>
  <c r="AB22"/>
  <c r="AC22" s="1"/>
  <c r="AB49"/>
  <c r="AC49" s="1"/>
  <c r="W49" s="1"/>
  <c r="T49" s="1"/>
  <c r="U49"/>
  <c r="AB24"/>
  <c r="AC24" s="1"/>
  <c r="W24" s="1"/>
  <c r="T24" s="1"/>
  <c r="AB41"/>
  <c r="AC41" s="1"/>
  <c r="U41"/>
  <c r="AB74"/>
  <c r="AC74" s="1"/>
  <c r="U74"/>
  <c r="AB15"/>
  <c r="AC15" s="1"/>
  <c r="U15"/>
  <c r="AB54"/>
  <c r="AC54" s="1"/>
  <c r="W54" s="1"/>
  <c r="T54" s="1"/>
  <c r="AB81"/>
  <c r="AC81"/>
  <c r="W81" s="1"/>
  <c r="T81" s="1"/>
  <c r="AB58"/>
  <c r="AC58" s="1"/>
  <c r="W58" s="1"/>
  <c r="T58" s="1"/>
  <c r="AB60"/>
  <c r="AC60"/>
  <c r="W60" s="1"/>
  <c r="T60" s="1"/>
  <c r="AB33"/>
  <c r="AC33" s="1"/>
  <c r="U33"/>
  <c r="AB51"/>
  <c r="AC51" s="1"/>
  <c r="U51"/>
  <c r="AB80"/>
  <c r="AC80" s="1"/>
  <c r="W80" s="1"/>
  <c r="T80" s="1"/>
  <c r="AB68"/>
  <c r="AC68" s="1"/>
  <c r="W68" s="1"/>
  <c r="T68" s="1"/>
  <c r="AB35"/>
  <c r="AC35"/>
  <c r="AB16"/>
  <c r="AC16" s="1"/>
  <c r="U16"/>
  <c r="AB50"/>
  <c r="AC50" s="1"/>
  <c r="AB61"/>
  <c r="AC61" s="1"/>
  <c r="W61" s="1"/>
  <c r="T61" s="1"/>
  <c r="AB39"/>
  <c r="AC39" s="1"/>
  <c r="U39"/>
  <c r="AP10" i="5"/>
  <c r="AB76" i="1"/>
  <c r="AC76" s="1"/>
  <c r="AB78"/>
  <c r="AC78" s="1"/>
  <c r="W78" s="1"/>
  <c r="T78" s="1"/>
  <c r="AB31"/>
  <c r="AC31" s="1"/>
  <c r="U31"/>
  <c r="AB18"/>
  <c r="AC18" s="1"/>
  <c r="AB55"/>
  <c r="AC55" s="1"/>
  <c r="W55" s="1"/>
  <c r="T55" s="1"/>
  <c r="AB34"/>
  <c r="AC34" s="1"/>
  <c r="U34"/>
  <c r="AB12"/>
  <c r="AC12" s="1"/>
  <c r="U12"/>
  <c r="AB32"/>
  <c r="AC32"/>
  <c r="U32"/>
  <c r="AB42"/>
  <c r="AC42" s="1"/>
  <c r="W42" s="1"/>
  <c r="T42" s="1"/>
  <c r="AB52"/>
  <c r="AC52" s="1"/>
  <c r="U52"/>
  <c r="AB11"/>
  <c r="AC11" s="1"/>
  <c r="W11" s="1"/>
  <c r="T11" s="1"/>
  <c r="U11"/>
  <c r="AB17"/>
  <c r="AC17" s="1"/>
  <c r="U17"/>
  <c r="AB40"/>
  <c r="AC40" s="1"/>
  <c r="W40" s="1"/>
  <c r="T40" s="1"/>
  <c r="U40"/>
  <c r="AB25"/>
  <c r="AC25" s="1"/>
  <c r="W25" s="1"/>
  <c r="T25" s="1"/>
  <c r="AB30"/>
  <c r="AC30" s="1"/>
  <c r="U30"/>
  <c r="AC38"/>
  <c r="U38"/>
  <c r="AB29"/>
  <c r="AC29" s="1"/>
  <c r="U29"/>
  <c r="L11" i="5"/>
  <c r="C11" s="1"/>
  <c r="AN56"/>
  <c r="AJ55"/>
  <c r="AP11"/>
  <c r="AS11"/>
  <c r="AS76"/>
  <c r="N76"/>
  <c r="F76" s="1"/>
  <c r="O76" s="1"/>
  <c r="H76" s="1"/>
  <c r="X52" i="1"/>
  <c r="AJ71" i="5"/>
  <c r="AL56"/>
  <c r="AJ72"/>
  <c r="AO56"/>
  <c r="AK18"/>
  <c r="AK56"/>
  <c r="L105"/>
  <c r="C105"/>
  <c r="M105"/>
  <c r="D105" s="1"/>
  <c r="N105"/>
  <c r="F105"/>
  <c r="O105" s="1"/>
  <c r="H105" s="1"/>
  <c r="AV105"/>
  <c r="AU105" s="1"/>
  <c r="AB13" i="1"/>
  <c r="AC13"/>
  <c r="U13"/>
  <c r="M27" i="5"/>
  <c r="D27" s="1"/>
  <c r="L27"/>
  <c r="C27" s="1"/>
  <c r="AJ103"/>
  <c r="AS103" s="1"/>
  <c r="AV103"/>
  <c r="AU103" s="1"/>
  <c r="L55"/>
  <c r="C55" s="1"/>
  <c r="G54"/>
  <c r="AL55"/>
  <c r="AL12"/>
  <c r="AN55"/>
  <c r="N104"/>
  <c r="F104" s="1"/>
  <c r="O104"/>
  <c r="H104" s="1"/>
  <c r="X85" i="1"/>
  <c r="W85" s="1"/>
  <c r="T85" s="1"/>
  <c r="AV104" i="5"/>
  <c r="AU104"/>
  <c r="L14"/>
  <c r="C14" s="1"/>
  <c r="M85"/>
  <c r="D85"/>
  <c r="N85"/>
  <c r="F85" s="1"/>
  <c r="O85" s="1"/>
  <c r="H85" s="1"/>
  <c r="M36"/>
  <c r="D36"/>
  <c r="AJ9"/>
  <c r="AS9" s="1"/>
  <c r="N69"/>
  <c r="F69" s="1"/>
  <c r="O69" s="1"/>
  <c r="H69" s="1"/>
  <c r="AV69"/>
  <c r="AU69" s="1"/>
  <c r="L69"/>
  <c r="C69" s="1"/>
  <c r="N80"/>
  <c r="F80" s="1"/>
  <c r="O80" s="1"/>
  <c r="H80" s="1"/>
  <c r="L80"/>
  <c r="C80" s="1"/>
  <c r="M80"/>
  <c r="D80"/>
  <c r="AV80"/>
  <c r="AU80" s="1"/>
  <c r="M89"/>
  <c r="D89" s="1"/>
  <c r="L89"/>
  <c r="C89" s="1"/>
  <c r="AV89"/>
  <c r="AU89" s="1"/>
  <c r="N89"/>
  <c r="F89" s="1"/>
  <c r="O89"/>
  <c r="H89" s="1"/>
  <c r="AS95"/>
  <c r="AJ96"/>
  <c r="AS96" s="1"/>
  <c r="AV96"/>
  <c r="AU96" s="1"/>
  <c r="AJ97"/>
  <c r="AS97" s="1"/>
  <c r="AV97"/>
  <c r="AU97" s="1"/>
  <c r="AP97"/>
  <c r="AV76"/>
  <c r="AU76" s="1"/>
  <c r="AS73"/>
  <c r="N73"/>
  <c r="F73" s="1"/>
  <c r="O73" s="1"/>
  <c r="H73" s="1"/>
  <c r="X49" i="1"/>
  <c r="AP72" i="5"/>
  <c r="G92"/>
  <c r="AN71"/>
  <c r="AN74"/>
  <c r="AS74"/>
  <c r="AN72"/>
  <c r="N96"/>
  <c r="F96" s="1"/>
  <c r="O96" s="1"/>
  <c r="H96" s="1"/>
  <c r="X76" i="1"/>
  <c r="U76"/>
  <c r="AV95" i="5"/>
  <c r="AU95" s="1"/>
  <c r="L95"/>
  <c r="C95" s="1"/>
  <c r="N95"/>
  <c r="F95" s="1"/>
  <c r="O95" s="1"/>
  <c r="H95" s="1"/>
  <c r="X75" i="1"/>
  <c r="W75" s="1"/>
  <c r="T75" s="1"/>
  <c r="AP94" i="5"/>
  <c r="AS94"/>
  <c r="AP93"/>
  <c r="AS93"/>
  <c r="N93"/>
  <c r="F93" s="1"/>
  <c r="O93" s="1"/>
  <c r="H93" s="1"/>
  <c r="X73" i="1"/>
  <c r="U50"/>
  <c r="AP71" i="5"/>
  <c r="AO57"/>
  <c r="AO21"/>
  <c r="AN9"/>
  <c r="AK57"/>
  <c r="AK21"/>
  <c r="AO63"/>
  <c r="AO18"/>
  <c r="L72"/>
  <c r="C72" s="1"/>
  <c r="M72"/>
  <c r="D72"/>
  <c r="G70"/>
  <c r="L43"/>
  <c r="C43" s="1"/>
  <c r="M83"/>
  <c r="D83" s="1"/>
  <c r="L83"/>
  <c r="C83" s="1"/>
  <c r="AV83"/>
  <c r="AU83" s="1"/>
  <c r="N83"/>
  <c r="F83" s="1"/>
  <c r="O83" s="1"/>
  <c r="H83" s="1"/>
  <c r="AL62"/>
  <c r="AL9"/>
  <c r="L34"/>
  <c r="C34" s="1"/>
  <c r="M34"/>
  <c r="D34" s="1"/>
  <c r="L48"/>
  <c r="C48" s="1"/>
  <c r="M48"/>
  <c r="D48" s="1"/>
  <c r="AV48"/>
  <c r="AU48" s="1"/>
  <c r="N48"/>
  <c r="F48" s="1"/>
  <c r="O48" s="1"/>
  <c r="H48" s="1"/>
  <c r="AO62"/>
  <c r="AO12"/>
  <c r="AO9"/>
  <c r="L9"/>
  <c r="C9" s="1"/>
  <c r="M9"/>
  <c r="D9" s="1"/>
  <c r="M43"/>
  <c r="D43"/>
  <c r="L75"/>
  <c r="C75" s="1"/>
  <c r="N75"/>
  <c r="F75" s="1"/>
  <c r="O75" s="1"/>
  <c r="H75" s="1"/>
  <c r="X51" i="1"/>
  <c r="W51" s="1"/>
  <c r="T51" s="1"/>
  <c r="AV75" i="5"/>
  <c r="AU75" s="1"/>
  <c r="M75"/>
  <c r="D75" s="1"/>
  <c r="AJ62"/>
  <c r="AS62" s="1"/>
  <c r="N62"/>
  <c r="F62" s="1"/>
  <c r="O62" s="1"/>
  <c r="H62" s="1"/>
  <c r="X36" i="1"/>
  <c r="AJ12" i="5"/>
  <c r="AS12" s="1"/>
  <c r="AK9"/>
  <c r="AK12"/>
  <c r="L13"/>
  <c r="C13" s="1"/>
  <c r="M13"/>
  <c r="D13" s="1"/>
  <c r="N29"/>
  <c r="F29" s="1"/>
  <c r="O29" s="1"/>
  <c r="H29" s="1"/>
  <c r="M29"/>
  <c r="D29" s="1"/>
  <c r="AV23"/>
  <c r="AU23" s="1"/>
  <c r="AV41"/>
  <c r="AU41" s="1"/>
  <c r="N20"/>
  <c r="F20" s="1"/>
  <c r="O20" s="1"/>
  <c r="H20" s="1"/>
  <c r="M20"/>
  <c r="D20" s="1"/>
  <c r="L20"/>
  <c r="C20" s="1"/>
  <c r="AV20"/>
  <c r="AU20" s="1"/>
  <c r="L23"/>
  <c r="C23" s="1"/>
  <c r="AV29"/>
  <c r="AU29" s="1"/>
  <c r="N23"/>
  <c r="F23" s="1"/>
  <c r="O23" s="1"/>
  <c r="H23" s="1"/>
  <c r="L41"/>
  <c r="C41" s="1"/>
  <c r="N41"/>
  <c r="F41" s="1"/>
  <c r="O41" s="1"/>
  <c r="H41" s="1"/>
  <c r="N38"/>
  <c r="F38" s="1"/>
  <c r="O38" s="1"/>
  <c r="H38" s="1"/>
  <c r="M10"/>
  <c r="D10" s="1"/>
  <c r="L10"/>
  <c r="C10" s="1"/>
  <c r="M16"/>
  <c r="D16" s="1"/>
  <c r="L16"/>
  <c r="C16" s="1"/>
  <c r="AV62"/>
  <c r="AU62" s="1"/>
  <c r="AV17"/>
  <c r="AU17" s="1"/>
  <c r="M17"/>
  <c r="D17" s="1"/>
  <c r="L17"/>
  <c r="C17" s="1"/>
  <c r="M38"/>
  <c r="D38" s="1"/>
  <c r="L38"/>
  <c r="C38" s="1"/>
  <c r="M25"/>
  <c r="D25" s="1"/>
  <c r="L25"/>
  <c r="C25" s="1"/>
  <c r="L73"/>
  <c r="C73" s="1"/>
  <c r="M73"/>
  <c r="D73" s="1"/>
  <c r="N91"/>
  <c r="F91"/>
  <c r="O91" s="1"/>
  <c r="H91" s="1"/>
  <c r="L91"/>
  <c r="C91" s="1"/>
  <c r="M91"/>
  <c r="D91" s="1"/>
  <c r="AV91"/>
  <c r="AU91"/>
  <c r="L22"/>
  <c r="C22" s="1"/>
  <c r="M22"/>
  <c r="D22" s="1"/>
  <c r="L84"/>
  <c r="C84" s="1"/>
  <c r="M84"/>
  <c r="D84" s="1"/>
  <c r="AV84"/>
  <c r="AU84" s="1"/>
  <c r="N84"/>
  <c r="F84" s="1"/>
  <c r="O84" s="1"/>
  <c r="H84" s="1"/>
  <c r="M37"/>
  <c r="D37" s="1"/>
  <c r="L37"/>
  <c r="C37" s="1"/>
  <c r="G8"/>
  <c r="AS31"/>
  <c r="AV31"/>
  <c r="AU31" s="1"/>
  <c r="AS22"/>
  <c r="AV22"/>
  <c r="AU22" s="1"/>
  <c r="AS10"/>
  <c r="AV10"/>
  <c r="AU10" s="1"/>
  <c r="N61"/>
  <c r="F61" s="1"/>
  <c r="O61"/>
  <c r="H61" s="1"/>
  <c r="X35" i="1"/>
  <c r="W35" s="1"/>
  <c r="T35" s="1"/>
  <c r="AS58" i="5"/>
  <c r="N58"/>
  <c r="F58" s="1"/>
  <c r="O58"/>
  <c r="H58" s="1"/>
  <c r="X32" i="1"/>
  <c r="W32" s="1"/>
  <c r="T32" s="1"/>
  <c r="U35"/>
  <c r="AS60" i="5"/>
  <c r="AV60"/>
  <c r="AU60" s="1"/>
  <c r="N37"/>
  <c r="F37" s="1"/>
  <c r="O37" s="1"/>
  <c r="H37" s="1"/>
  <c r="AV43"/>
  <c r="AU43"/>
  <c r="AV33"/>
  <c r="AU33" s="1"/>
  <c r="N34"/>
  <c r="F34"/>
  <c r="O34" s="1"/>
  <c r="H34" s="1"/>
  <c r="X19" i="1"/>
  <c r="AS30" i="5"/>
  <c r="N30"/>
  <c r="F30"/>
  <c r="O30" s="1"/>
  <c r="H30" s="1"/>
  <c r="AS59"/>
  <c r="N59"/>
  <c r="F59" s="1"/>
  <c r="O59" s="1"/>
  <c r="H59" s="1"/>
  <c r="X33" i="1"/>
  <c r="N36" i="5"/>
  <c r="F36" s="1"/>
  <c r="O36" s="1"/>
  <c r="H36" s="1"/>
  <c r="AV25"/>
  <c r="AU25" s="1"/>
  <c r="AS57"/>
  <c r="N57"/>
  <c r="F57" s="1"/>
  <c r="O57" s="1"/>
  <c r="H57" s="1"/>
  <c r="X31" i="1"/>
  <c r="W31" s="1"/>
  <c r="T31" s="1"/>
  <c r="AS27" i="5"/>
  <c r="N27"/>
  <c r="F27" s="1"/>
  <c r="O27" s="1"/>
  <c r="H27" s="1"/>
  <c r="AV42"/>
  <c r="AU42" s="1"/>
  <c r="N42"/>
  <c r="F42" s="1"/>
  <c r="O42" s="1"/>
  <c r="H42" s="1"/>
  <c r="X22" i="1"/>
  <c r="U22"/>
  <c r="AV39" i="5"/>
  <c r="AU39" s="1"/>
  <c r="N40"/>
  <c r="F40" s="1"/>
  <c r="O40" s="1"/>
  <c r="H40" s="1"/>
  <c r="X21" i="1"/>
  <c r="W21" s="1"/>
  <c r="T21" s="1"/>
  <c r="AV40" i="5"/>
  <c r="AU40" s="1"/>
  <c r="N31"/>
  <c r="F31" s="1"/>
  <c r="O31" s="1"/>
  <c r="H31" s="1"/>
  <c r="U18" i="1"/>
  <c r="N28" i="5"/>
  <c r="F28" s="1"/>
  <c r="O28" s="1"/>
  <c r="H28" s="1"/>
  <c r="AV28"/>
  <c r="AU28" s="1"/>
  <c r="AS16"/>
  <c r="AV16"/>
  <c r="AU16" s="1"/>
  <c r="AS21"/>
  <c r="AS24"/>
  <c r="AV24"/>
  <c r="AU24" s="1"/>
  <c r="AS13"/>
  <c r="N13"/>
  <c r="F13" s="1"/>
  <c r="O13" s="1"/>
  <c r="H13" s="1"/>
  <c r="W52" i="1"/>
  <c r="T52" s="1"/>
  <c r="AV19" i="5"/>
  <c r="AU19" s="1"/>
  <c r="AS18"/>
  <c r="AS15"/>
  <c r="AV15"/>
  <c r="AU15" s="1"/>
  <c r="W73" i="1"/>
  <c r="T73" s="1"/>
  <c r="W76"/>
  <c r="T76" s="1"/>
  <c r="W39"/>
  <c r="T39" s="1"/>
  <c r="W41"/>
  <c r="T41" s="1"/>
  <c r="W38"/>
  <c r="T38" s="1"/>
  <c r="AV11" i="5"/>
  <c r="AU11" s="1"/>
  <c r="N11"/>
  <c r="F11" s="1"/>
  <c r="O11" s="1"/>
  <c r="H11" s="1"/>
  <c r="AS56"/>
  <c r="AV56"/>
  <c r="AU56" s="1"/>
  <c r="N103"/>
  <c r="F103" s="1"/>
  <c r="O103" s="1"/>
  <c r="H103" s="1"/>
  <c r="X84" i="1"/>
  <c r="W84" s="1"/>
  <c r="T84" s="1"/>
  <c r="AS55" i="5"/>
  <c r="AV55"/>
  <c r="AU55" s="1"/>
  <c r="N14"/>
  <c r="F14" s="1"/>
  <c r="O14" s="1"/>
  <c r="H14" s="1"/>
  <c r="AV14"/>
  <c r="AU14" s="1"/>
  <c r="N9"/>
  <c r="F9"/>
  <c r="O9" s="1"/>
  <c r="H9" s="1"/>
  <c r="AV73"/>
  <c r="AU73" s="1"/>
  <c r="AS72"/>
  <c r="N72"/>
  <c r="F72" s="1"/>
  <c r="O72" s="1"/>
  <c r="H72" s="1"/>
  <c r="X48" i="1"/>
  <c r="W48" s="1"/>
  <c r="T48" s="1"/>
  <c r="AS71" i="5"/>
  <c r="N71"/>
  <c r="F71" s="1"/>
  <c r="O71" s="1"/>
  <c r="H71" s="1"/>
  <c r="X47" i="1"/>
  <c r="AV74" i="5"/>
  <c r="AU74" s="1"/>
  <c r="N74"/>
  <c r="F74"/>
  <c r="O74" s="1"/>
  <c r="H74" s="1"/>
  <c r="X50" i="1"/>
  <c r="W50" s="1"/>
  <c r="T50" s="1"/>
  <c r="N97" i="5"/>
  <c r="F97" s="1"/>
  <c r="O97" s="1"/>
  <c r="H97" s="1"/>
  <c r="X77" i="1"/>
  <c r="W77" s="1"/>
  <c r="T77" s="1"/>
  <c r="AV94" i="5"/>
  <c r="AU94" s="1"/>
  <c r="N94"/>
  <c r="F94"/>
  <c r="O94" s="1"/>
  <c r="H94" s="1"/>
  <c r="X74" i="1"/>
  <c r="W74" s="1"/>
  <c r="T74" s="1"/>
  <c r="AV93" i="5"/>
  <c r="AU93" s="1"/>
  <c r="N22"/>
  <c r="F22" s="1"/>
  <c r="O22" s="1"/>
  <c r="H22" s="1"/>
  <c r="AV58"/>
  <c r="AU58"/>
  <c r="N10"/>
  <c r="F10" s="1"/>
  <c r="O10" s="1"/>
  <c r="H10" s="1"/>
  <c r="X11" i="1"/>
  <c r="AV30" i="5"/>
  <c r="AU30" s="1"/>
  <c r="N60"/>
  <c r="F60"/>
  <c r="O60" s="1"/>
  <c r="H60" s="1"/>
  <c r="X34" i="1"/>
  <c r="W34" s="1"/>
  <c r="T34" s="1"/>
  <c r="X20"/>
  <c r="AV59" i="5"/>
  <c r="AU59" s="1"/>
  <c r="AV57"/>
  <c r="AU57" s="1"/>
  <c r="X18" i="1"/>
  <c r="W18" s="1"/>
  <c r="T18" s="1"/>
  <c r="X17"/>
  <c r="AV27" i="5"/>
  <c r="AU27"/>
  <c r="N16"/>
  <c r="F16" s="1"/>
  <c r="O16" s="1"/>
  <c r="H16" s="1"/>
  <c r="N21"/>
  <c r="F21"/>
  <c r="O21" s="1"/>
  <c r="H21" s="1"/>
  <c r="X15" i="1"/>
  <c r="W15" s="1"/>
  <c r="T15" s="1"/>
  <c r="AV21" i="5"/>
  <c r="AU21" s="1"/>
  <c r="N24"/>
  <c r="F24" s="1"/>
  <c r="O24" s="1"/>
  <c r="H24" s="1"/>
  <c r="X16" i="1"/>
  <c r="AV13" i="5"/>
  <c r="AU13" s="1"/>
  <c r="N15"/>
  <c r="F15" s="1"/>
  <c r="O15" s="1"/>
  <c r="H15" s="1"/>
  <c r="AV18"/>
  <c r="AU18" s="1"/>
  <c r="N18"/>
  <c r="F18" s="1"/>
  <c r="O18" s="1"/>
  <c r="H18" s="1"/>
  <c r="X14" i="1"/>
  <c r="W14" s="1"/>
  <c r="T14" s="1"/>
  <c r="AV9" i="5"/>
  <c r="AU9" s="1"/>
  <c r="N56"/>
  <c r="F56" s="1"/>
  <c r="O56" s="1"/>
  <c r="H56" s="1"/>
  <c r="X30" i="1"/>
  <c r="W30" s="1"/>
  <c r="T30" s="1"/>
  <c r="N55" i="5"/>
  <c r="F55"/>
  <c r="O55" s="1"/>
  <c r="H55" s="1"/>
  <c r="X29" i="1"/>
  <c r="W29" s="1"/>
  <c r="T29" s="1"/>
  <c r="AV12" i="5"/>
  <c r="AU12" s="1"/>
  <c r="N12"/>
  <c r="F12" s="1"/>
  <c r="O12" s="1"/>
  <c r="H12" s="1"/>
  <c r="X12" i="1"/>
  <c r="W12" s="1"/>
  <c r="T12" s="1"/>
  <c r="AV72" i="5"/>
  <c r="AU72" s="1"/>
  <c r="AV71"/>
  <c r="AU71" s="1"/>
  <c r="H70"/>
  <c r="F70" s="1"/>
  <c r="H92"/>
  <c r="F92" s="1"/>
  <c r="X13" i="1"/>
  <c r="W13" s="1"/>
  <c r="T13" s="1"/>
  <c r="H54" i="5"/>
  <c r="F54" s="1"/>
  <c r="H8"/>
  <c r="F8" s="1"/>
  <c r="W16" i="1" l="1"/>
  <c r="T16" s="1"/>
  <c r="W22"/>
  <c r="T22" s="1"/>
  <c r="W19"/>
  <c r="T19" s="1"/>
  <c r="H114" i="5"/>
  <c r="W20" i="1"/>
  <c r="T20" s="1"/>
  <c r="W47"/>
  <c r="T47" s="1"/>
  <c r="W33"/>
  <c r="T33" s="1"/>
  <c r="W17"/>
  <c r="T17" s="1"/>
  <c r="N109" i="5"/>
  <c r="F109" s="1"/>
  <c r="O109" s="1"/>
  <c r="H109" s="1"/>
  <c r="L109"/>
  <c r="C109" s="1"/>
  <c r="AV109"/>
  <c r="AU109" s="1"/>
  <c r="M109"/>
  <c r="D109" s="1"/>
  <c r="M50"/>
  <c r="D50" s="1"/>
  <c r="AV50"/>
  <c r="AU50" s="1"/>
  <c r="L65"/>
  <c r="C65" s="1"/>
  <c r="AV65"/>
  <c r="AU65" s="1"/>
  <c r="M65"/>
  <c r="D65" s="1"/>
  <c r="L59"/>
  <c r="C59" s="1"/>
  <c r="M59"/>
  <c r="D59" s="1"/>
  <c r="N101"/>
  <c r="F101" s="1"/>
  <c r="O101" s="1"/>
  <c r="H101" s="1"/>
  <c r="M101"/>
  <c r="D101" s="1"/>
  <c r="M67"/>
  <c r="D67" s="1"/>
  <c r="L67"/>
  <c r="C67" s="1"/>
  <c r="AV88"/>
  <c r="AU88" s="1"/>
  <c r="AU114" s="1"/>
  <c r="T4" i="1" s="1"/>
  <c r="L88" i="5"/>
  <c r="C88" s="1"/>
  <c r="AU65" i="1"/>
  <c r="AV65" s="1"/>
  <c r="AD52" i="5"/>
  <c r="AT65" i="1"/>
  <c r="AO65"/>
  <c r="AP65" s="1"/>
  <c r="AQ65" s="1"/>
  <c r="AB65" s="1"/>
  <c r="AC65" s="1"/>
  <c r="W65" s="1"/>
  <c r="AT66"/>
  <c r="AU66" s="1"/>
  <c r="AV66" s="1"/>
  <c r="AB66" s="1"/>
  <c r="AC66" s="1"/>
  <c r="W66" s="1"/>
  <c r="T66" s="1"/>
  <c r="AE88"/>
  <c r="AF88" s="1"/>
  <c r="AG88" s="1"/>
  <c r="AB88" s="1"/>
  <c r="AC88" s="1"/>
  <c r="W88" s="1"/>
  <c r="T88" s="1"/>
  <c r="T65" l="1"/>
  <c r="X95"/>
  <c r="T6" s="1"/>
  <c r="T2" s="1"/>
</calcChain>
</file>

<file path=xl/comments1.xml><?xml version="1.0" encoding="utf-8"?>
<comments xmlns="http://schemas.openxmlformats.org/spreadsheetml/2006/main">
  <authors>
    <author>Слюнков А.И.</author>
  </authors>
  <commentList>
    <comment ref="F64" authorId="0">
      <text>
        <r>
          <rPr>
            <b/>
            <sz val="8"/>
            <color indexed="81"/>
            <rFont val="Tahoma"/>
            <family val="2"/>
            <charset val="204"/>
          </rPr>
          <t>наружные размеры фрамуги</t>
        </r>
        <r>
          <rPr>
            <b/>
            <sz val="8"/>
            <color indexed="81"/>
            <rFont val="Tahoma"/>
            <family val="2"/>
            <charset val="204"/>
          </rPr>
          <t xml:space="preserve">
(без наличника) в мм</t>
        </r>
      </text>
    </comment>
    <comment ref="G64" authorId="0">
      <text>
        <r>
          <rPr>
            <b/>
            <sz val="8"/>
            <color indexed="81"/>
            <rFont val="Tahoma"/>
            <family val="2"/>
            <charset val="204"/>
          </rPr>
          <t>наружные размеры фрамуги</t>
        </r>
        <r>
          <rPr>
            <b/>
            <sz val="8"/>
            <color indexed="81"/>
            <rFont val="Tahoma"/>
            <family val="2"/>
            <charset val="204"/>
          </rPr>
          <t xml:space="preserve">
(без наличника) в мм</t>
        </r>
      </text>
    </comment>
  </commentList>
</comments>
</file>

<file path=xl/sharedStrings.xml><?xml version="1.0" encoding="utf-8"?>
<sst xmlns="http://schemas.openxmlformats.org/spreadsheetml/2006/main" count="17645" uniqueCount="6511">
  <si>
    <t>ДП ПОЛЛО.3/0.Резист</t>
  </si>
  <si>
    <t>ДП ПОЛЛО.3/2.Резист</t>
  </si>
  <si>
    <t>ДП ПОЛЛО.3/4.Резист</t>
  </si>
  <si>
    <t>ДП ПОЛЛО.3/6.Резист</t>
  </si>
  <si>
    <t>ДП ПОЛЛО.3А/3.Резист</t>
  </si>
  <si>
    <t>ДП ПОЛЛО.3А/5.Резист</t>
  </si>
  <si>
    <t>ДП ПОЛЛО.4/3.Резист</t>
  </si>
  <si>
    <t>ДП ПОЛЛО.3/0.LINE-3D</t>
  </si>
  <si>
    <t>ДП ПОЛЛО.3/2.LINE-3D</t>
  </si>
  <si>
    <t>ДП ПОЛЛО.3/4.LINE-3D</t>
  </si>
  <si>
    <t>ДП ПОЛЛО.3/6.LINE-3D</t>
  </si>
  <si>
    <t>ДП ПОЛЛО.3А/3.LINE-3D</t>
  </si>
  <si>
    <t>ДП ПОЛЛО.3А/5.LINE-3D</t>
  </si>
  <si>
    <t>ДП ПОЛЛО.4/3.LINE-3D</t>
  </si>
  <si>
    <t>КД Standard.1.LINE-3D</t>
  </si>
  <si>
    <t>КД Verto-FIT.A.LINE-3D</t>
  </si>
  <si>
    <t>КД Verto-FIT.B.LINE-3D</t>
  </si>
  <si>
    <t>ДП ЛАДА-НОВА.4/6.LINE-3D</t>
  </si>
  <si>
    <t>ДП ЛАДА-НОВА.4/9.LINE-3D</t>
  </si>
  <si>
    <t>ДП ЛАДА-НОВА.6А/1.LINE-3D</t>
  </si>
  <si>
    <t>ДП ЛАДА-НОВА.6А/5.LINE-3D</t>
  </si>
  <si>
    <t>ДП ЛАДА-НОВА.7/1.LINE-3D</t>
  </si>
  <si>
    <t>ДП ЛАДА-НОВА.7/2.LINE-3D</t>
  </si>
  <si>
    <t>Дошивка РК080</t>
  </si>
  <si>
    <t>Дошивка РК160</t>
  </si>
  <si>
    <t>Планка Verto-FIT Comfort 80мм</t>
  </si>
  <si>
    <t>Планка Verto-FIT Comfort 160мм</t>
  </si>
  <si>
    <t>Планка Verto-FIT Comfort 80мм.60</t>
  </si>
  <si>
    <t>Планка Verto-FIT Comfort 80мм.70</t>
  </si>
  <si>
    <t>Планка Verto-FIT Comfort 80мм.80</t>
  </si>
  <si>
    <t>Планка Verto-FIT Comfort 80мм.90</t>
  </si>
  <si>
    <t>Планка Verto-FIT Comfort 80мм.100</t>
  </si>
  <si>
    <t>Планка Verto-FIT Comfort 160мм.60</t>
  </si>
  <si>
    <t>Планка Verto-FIT Comfort 160мм.70</t>
  </si>
  <si>
    <t>Планка Verto-FIT Comfort 160мм.80</t>
  </si>
  <si>
    <t>Планка Verto-FIT Comfort 160мм.90</t>
  </si>
  <si>
    <t>Планка Verto-FIT Comfort 160мм.100</t>
  </si>
  <si>
    <t>Планка Verto-FIT Comfort 80мм.Verto-Cell</t>
  </si>
  <si>
    <t>Планка Verto-FIT Comfort 80мм.Резист</t>
  </si>
  <si>
    <t>Планка Verto-FIT Comfort 80мм.LINE-3D</t>
  </si>
  <si>
    <t>Планка Verto-FIT Comfort 160мм.Verto-Cell</t>
  </si>
  <si>
    <t>Планка Verto-FIT Comfort 160мм.Резист</t>
  </si>
  <si>
    <t>Планка Verto-FIT Comfort 160мм.LINE-3D</t>
  </si>
  <si>
    <t>ДП ПОЛЛО.3/2.Бронза</t>
  </si>
  <si>
    <t>ДП ПОЛЛО.3/4.Бронза</t>
  </si>
  <si>
    <t>ДП ПОЛЛО.3/6.Бронза</t>
  </si>
  <si>
    <t>ДП ГЛАСФОРД.1.Сатин</t>
  </si>
  <si>
    <t>ДП ГЛАСФОРД.1.Трипл. мат</t>
  </si>
  <si>
    <t>ДП ГЛАСФОРД.1.Трипл. чер</t>
  </si>
  <si>
    <t>306 Кора береза</t>
  </si>
  <si>
    <t>ДП ПОЛЛО.3/4.Сатин</t>
  </si>
  <si>
    <t>ДП ПОЛЛО.3/6.Сатин</t>
  </si>
  <si>
    <t>Виставковий стенд П.80.2400*1950</t>
  </si>
  <si>
    <t>Виставковий стенд П.80.2400*2050</t>
  </si>
  <si>
    <t>Виставковий стенд П.80.2400*2150</t>
  </si>
  <si>
    <t>ДП ЛАЙН.100</t>
  </si>
  <si>
    <t>Ручка дверна OFFICE срібло мат</t>
  </si>
  <si>
    <t>Накладка на завісу золото</t>
  </si>
  <si>
    <t>Накладка на завісу золото мат.</t>
  </si>
  <si>
    <t>Накладка на завісу срібло мат.</t>
  </si>
  <si>
    <t>403 Дуб карп.</t>
  </si>
  <si>
    <t>ДП Полло</t>
  </si>
  <si>
    <t>LINE-3D</t>
  </si>
  <si>
    <t>ДП КУПАВА.ВП</t>
  </si>
  <si>
    <t>Отдельный диапазон для ВПР (важно!!!)</t>
  </si>
  <si>
    <t>Виставковий стенд П.80.2400*1120</t>
  </si>
  <si>
    <t>Виставковий стенд П.80.2400*1220</t>
  </si>
  <si>
    <t>Виставковий стенд П.80.2400*1320</t>
  </si>
  <si>
    <t>ДП ЛАДА-КОНЦЕПТ.4/4.Бронза</t>
  </si>
  <si>
    <t>ДП ЛАДА-КОНЦЕПТ.5/1.Бронза</t>
  </si>
  <si>
    <t>ДП ПОЛЛО.100</t>
  </si>
  <si>
    <t>Ручка VERONA (золото)</t>
  </si>
  <si>
    <t>Ручка MILANO (золото)</t>
  </si>
  <si>
    <t>ВАЛЮТА</t>
  </si>
  <si>
    <t>vat_yesno</t>
  </si>
  <si>
    <t>грн. / 1 валюта</t>
  </si>
  <si>
    <t>мод: A</t>
  </si>
  <si>
    <t>мод: B</t>
  </si>
  <si>
    <t>мод: C</t>
  </si>
  <si>
    <t>мод: D</t>
  </si>
  <si>
    <t>мод: E</t>
  </si>
  <si>
    <t>мод: F</t>
  </si>
  <si>
    <t>мод: G</t>
  </si>
  <si>
    <t>мод: H</t>
  </si>
  <si>
    <t>мод: I</t>
  </si>
  <si>
    <t>20-(10)</t>
  </si>
  <si>
    <t>20-(11)</t>
  </si>
  <si>
    <t>20-(12)</t>
  </si>
  <si>
    <t>20-(13)</t>
  </si>
  <si>
    <t>20-(14)</t>
  </si>
  <si>
    <t>20-(15)</t>
  </si>
  <si>
    <t>20-(16)</t>
  </si>
  <si>
    <t>20-(17)</t>
  </si>
  <si>
    <t>20-(18)</t>
  </si>
  <si>
    <t>м.п.</t>
  </si>
  <si>
    <t>стандарт</t>
  </si>
  <si>
    <t xml:space="preserve">Телефон:  </t>
  </si>
  <si>
    <t>dimentions</t>
  </si>
  <si>
    <t>filling</t>
  </si>
  <si>
    <t>glass</t>
  </si>
  <si>
    <t>type</t>
  </si>
  <si>
    <t>sides</t>
  </si>
  <si>
    <t>КД Verto-FIT.C.LINE-3D</t>
  </si>
  <si>
    <t>КД Verto-FIT.D.LINE-3D</t>
  </si>
  <si>
    <t>КД Verto-FIT.E.LINE-3D</t>
  </si>
  <si>
    <t>КД Verto-FIT.F.LINE-3D</t>
  </si>
  <si>
    <t>КД Verto-FIT.G.LINE-3D</t>
  </si>
  <si>
    <t>КД Verto-FIT.H.LINE-3D</t>
  </si>
  <si>
    <t>КД Verto-FIT.I.LINE-3D</t>
  </si>
  <si>
    <t>РС Verto-SLIDE.1.LINE-3D</t>
  </si>
  <si>
    <t>ФР Standard.1.LINE-3D</t>
  </si>
  <si>
    <t>ФР Verto-FIT.A.LINE-3D</t>
  </si>
  <si>
    <t>ФР Verto-FIT.B.LINE-3D</t>
  </si>
  <si>
    <t>ФР Verto-FIT.C.LINE-3D</t>
  </si>
  <si>
    <t>створч.</t>
  </si>
  <si>
    <t>Коэффиц. НДС</t>
  </si>
  <si>
    <t>ДП ЛАДА-КОНЦЕПТ.100</t>
  </si>
  <si>
    <t>ДП ЛАДА-НОВА.100</t>
  </si>
  <si>
    <t>ДП ГЛАСФОРД.100</t>
  </si>
  <si>
    <t>ДП ГОРДАНА.2/0</t>
  </si>
  <si>
    <t>ДП ГОРДАНА.2/1</t>
  </si>
  <si>
    <t>ДП ГОРДАНА.4</t>
  </si>
  <si>
    <t>ДП ГОРДАНА.5</t>
  </si>
  <si>
    <t>ДП ГОРДАНА.6</t>
  </si>
  <si>
    <t>ДП ЛАДА-КОНЦЕПТ.2/0</t>
  </si>
  <si>
    <t>ДП ЛАДА-КОНЦЕПТ.2/2</t>
  </si>
  <si>
    <t>ДП ЛАДА-КОНЦЕПТ.3/0</t>
  </si>
  <si>
    <t>ДП ЛАДА-КОНЦЕПТ.3/3</t>
  </si>
  <si>
    <t>ДП ЛАДА-НОВА.4/0</t>
  </si>
  <si>
    <t>описание</t>
  </si>
  <si>
    <t>СЕРИЯ/МОДЕЛЬ</t>
  </si>
  <si>
    <t>Завіса 2-х штирьова</t>
  </si>
  <si>
    <t>Планка замкова</t>
  </si>
  <si>
    <t>Поріг Д80.00-09.01.лак</t>
  </si>
  <si>
    <t>Поріг Д80.00-18.01.лак</t>
  </si>
  <si>
    <t>Шпінгалет AGB 120/13 врізн.нікель</t>
  </si>
  <si>
    <t>Циліндр несиметричний нікель</t>
  </si>
  <si>
    <t>мод: 4/1</t>
  </si>
  <si>
    <t>мод: 1/0</t>
  </si>
  <si>
    <t>мод: 1/1</t>
  </si>
  <si>
    <t>мод: 2/0</t>
  </si>
  <si>
    <t>мод: 2/1</t>
  </si>
  <si>
    <t>мод: 2/2</t>
  </si>
  <si>
    <t>мод: 3/0</t>
  </si>
  <si>
    <t>мод: 3/1</t>
  </si>
  <si>
    <t>мод: 3/2</t>
  </si>
  <si>
    <t>мод: 3/3</t>
  </si>
  <si>
    <t>мод: 4/0</t>
  </si>
  <si>
    <t>мод: 4/2</t>
  </si>
  <si>
    <t>мод: 4/3</t>
  </si>
  <si>
    <t>мод: 4/4</t>
  </si>
  <si>
    <t>мод: 5/0</t>
  </si>
  <si>
    <t>ДП ГЛАСФОРД.1.Бронза</t>
  </si>
  <si>
    <t>ДП ГЛАСФОРД.2.Бронза</t>
  </si>
  <si>
    <t>ДП ГЛАСФОРД.3.Бронза</t>
  </si>
  <si>
    <t>ДП ГЛАСФОРД.4.Бронза</t>
  </si>
  <si>
    <t>ДП ГЛАСФОРД.5.Бронза</t>
  </si>
  <si>
    <t>ДП ГЛАСФОРД</t>
  </si>
  <si>
    <t>№:</t>
  </si>
  <si>
    <t>01</t>
  </si>
  <si>
    <t>02</t>
  </si>
  <si>
    <t>03</t>
  </si>
  <si>
    <t>04</t>
  </si>
  <si>
    <t>05</t>
  </si>
  <si>
    <t>06</t>
  </si>
  <si>
    <t>С</t>
  </si>
  <si>
    <t>Дт</t>
  </si>
  <si>
    <t>хх</t>
  </si>
  <si>
    <t>Кр</t>
  </si>
  <si>
    <t>Ст</t>
  </si>
  <si>
    <t>Жл</t>
  </si>
  <si>
    <t>Пс</t>
  </si>
  <si>
    <t>Тм</t>
  </si>
  <si>
    <t>Тч</t>
  </si>
  <si>
    <t>00</t>
  </si>
  <si>
    <t>30</t>
  </si>
  <si>
    <t>Ц</t>
  </si>
  <si>
    <t>Пр</t>
  </si>
  <si>
    <t>models</t>
  </si>
  <si>
    <t>СЕРИЯ</t>
  </si>
  <si>
    <t>МОДЕЛЬ</t>
  </si>
  <si>
    <t>1/А</t>
  </si>
  <si>
    <t>1/Б</t>
  </si>
  <si>
    <t>2/А</t>
  </si>
  <si>
    <t>2/Б</t>
  </si>
  <si>
    <t>3/0</t>
  </si>
  <si>
    <t>3/1</t>
  </si>
  <si>
    <t>4/0</t>
  </si>
  <si>
    <t>4/1</t>
  </si>
  <si>
    <t>4/2</t>
  </si>
  <si>
    <t>5/0</t>
  </si>
  <si>
    <t>5/1</t>
  </si>
  <si>
    <t>5/2</t>
  </si>
  <si>
    <t>5/3</t>
  </si>
  <si>
    <t>1/0</t>
  </si>
  <si>
    <t>1/1</t>
  </si>
  <si>
    <t>2/0</t>
  </si>
  <si>
    <t>2/1</t>
  </si>
  <si>
    <t>2/2</t>
  </si>
  <si>
    <t>3/2</t>
  </si>
  <si>
    <t>3/3</t>
  </si>
  <si>
    <t>4/3</t>
  </si>
  <si>
    <t>4/4</t>
  </si>
  <si>
    <t>5/4</t>
  </si>
  <si>
    <t>5/5</t>
  </si>
  <si>
    <t>6/0</t>
  </si>
  <si>
    <t>6/1</t>
  </si>
  <si>
    <t>6/3</t>
  </si>
  <si>
    <t>6/6</t>
  </si>
  <si>
    <t>6А/1</t>
  </si>
  <si>
    <t>6А/5</t>
  </si>
  <si>
    <t>2А/1</t>
  </si>
  <si>
    <t>Акция (название)</t>
  </si>
  <si>
    <t>%</t>
  </si>
  <si>
    <t>примечание</t>
  </si>
  <si>
    <t>Планка Verto-FIT 80мм.100</t>
  </si>
  <si>
    <t>Планка Verto-FIT 80мм.(100)</t>
  </si>
  <si>
    <t>Планка Verto-FIT 80мм.(110)</t>
  </si>
  <si>
    <t>Планка Verto-FIT 80мм.(120)</t>
  </si>
  <si>
    <t>Планка Verto-FIT 80мм.(130)</t>
  </si>
  <si>
    <t>Планка Verto-FIT 80мм.(140)</t>
  </si>
  <si>
    <t>Планка Verto-FIT 80мм.(150)</t>
  </si>
  <si>
    <t>СЕРИЯ/ЗАПОЛНЕНИЕ</t>
  </si>
  <si>
    <t>ДП ГОРДАНА.ДСП тр.</t>
  </si>
  <si>
    <t>ДП КУПАВА.ДСП тр.</t>
  </si>
  <si>
    <t>ДП ЛАЙН.ДСП тр.</t>
  </si>
  <si>
    <t>ДП РУТА.ДСП тр.</t>
  </si>
  <si>
    <t>ДП РУТА-FUSION.ДСП тр.</t>
  </si>
  <si>
    <t>ДП СТАНДАРТ.ДСП тр.</t>
  </si>
  <si>
    <t>Планка Verto-FIT 80мм.(160)</t>
  </si>
  <si>
    <t>Планка Verto-FIT 80мм.(170)</t>
  </si>
  <si>
    <t>Планка Verto-FIT 80мм.(180)</t>
  </si>
  <si>
    <t>ЦВЕТ</t>
  </si>
  <si>
    <t>ЗАПОЛНЕНИЕ</t>
  </si>
  <si>
    <t>заполнение</t>
  </si>
  <si>
    <t>ОСТЕКЛЕНИЕ</t>
  </si>
  <si>
    <t>остекление</t>
  </si>
  <si>
    <t>Без планки замка</t>
  </si>
  <si>
    <t>С планкой замка</t>
  </si>
  <si>
    <t>20-06</t>
  </si>
  <si>
    <t>20-07</t>
  </si>
  <si>
    <t>20-08</t>
  </si>
  <si>
    <t>20-09</t>
  </si>
  <si>
    <t>20-10</t>
  </si>
  <si>
    <t>ДП КУПАВА.1/1.Кризет</t>
  </si>
  <si>
    <t>ДП КУПАВА.1/1.Сатин</t>
  </si>
  <si>
    <t>ДП РУТА.Ручка-Захват</t>
  </si>
  <si>
    <t>ДП РУТА.Ручка-Замок</t>
  </si>
  <si>
    <t>ДП РУТА-FUSION.Ручка-Захват</t>
  </si>
  <si>
    <t>ДП РУТА-FUSION.Ручка-Замок</t>
  </si>
  <si>
    <t>ДП СТАНДАРТ.Ручка-Захват</t>
  </si>
  <si>
    <t>ДП СТАНДАРТ.Ручка-Замок</t>
  </si>
  <si>
    <t>ДП Гордана</t>
  </si>
  <si>
    <t>ДП СТАНДАРТ.4/2.Кризет</t>
  </si>
  <si>
    <t>ДП СТАНДАРТ.4/2.Сатин</t>
  </si>
  <si>
    <t>ФР Standard.1.Verto-Cell</t>
  </si>
  <si>
    <t>вент.о</t>
  </si>
  <si>
    <t>ДП ЛАДА-КОНЦЕПТ.3/3.LINE-3D</t>
  </si>
  <si>
    <t>ДП ЛАДА-КОНЦЕПТ.4/0.LINE-3D</t>
  </si>
  <si>
    <t>ДП ЛАДА-КОНЦЕПТ.4/4.LINE-3D</t>
  </si>
  <si>
    <t>ДП ЛАДА-КОНЦЕПТ.5/1.LINE-3D</t>
  </si>
  <si>
    <t>ДП ЛАДА-КОНЦЕПТ.5/2.LINE-3D</t>
  </si>
  <si>
    <t>ДП ЛАДА-КОНЦЕПТ.5/3.LINE-3D</t>
  </si>
  <si>
    <t>ДП ЛАДА-НОВА.6А/1.Резист</t>
  </si>
  <si>
    <t>ДП ЛАДА-НОВА.6А/5.Резист</t>
  </si>
  <si>
    <t>ДП ЛАДА-НОВА.7/1.Резист</t>
  </si>
  <si>
    <t>ДП ЛАДА-НОВА.7/2.Резист</t>
  </si>
  <si>
    <t>ДП ЛАДА-НОВА.8/1.Резист</t>
  </si>
  <si>
    <t>ДП ЛАДА-НОВА.4/0.LINE-3D</t>
  </si>
  <si>
    <t>ДП ЛАДА-НОВА.4/3.LINE-3D</t>
  </si>
  <si>
    <t>32</t>
  </si>
  <si>
    <t>vent</t>
  </si>
  <si>
    <t>СЕРИЯ.ИСПОЛНЕНИЕ.ТИП</t>
  </si>
  <si>
    <t>ОТДУШИНЫ</t>
  </si>
  <si>
    <t>НАВЕСКА</t>
  </si>
  <si>
    <t>сверка</t>
  </si>
  <si>
    <t>ДП ЛАДА-НОВА.4/3</t>
  </si>
  <si>
    <t>ДП ЛАЙН.2.Трипл. мат</t>
  </si>
  <si>
    <t>ДП ЛАЙН.2.Трипл. чер</t>
  </si>
  <si>
    <t>ДП ЛАЙН.3.Трипл. мат</t>
  </si>
  <si>
    <t>ДП ЛАЙН.3.Трипл. чер</t>
  </si>
  <si>
    <t>ДП ЛАЙН.4.Трипл. мат</t>
  </si>
  <si>
    <t>ДП ЛАЙН.4.Трипл. чер</t>
  </si>
  <si>
    <t>ДП ЛАЙН.5.Трипл. мат</t>
  </si>
  <si>
    <t>ДП ЛАЙН.5.Трипл. чер</t>
  </si>
  <si>
    <t>ДП ЛАЙН.1.Сатин</t>
  </si>
  <si>
    <t>ДП ЛАЙН.1.Трипл. мат</t>
  </si>
  <si>
    <t>ДП ЛАЙН.1.Трипл. чер</t>
  </si>
  <si>
    <t>Виставковий стенд П.80.2400*2250</t>
  </si>
  <si>
    <t>ФР Standard.Кризет</t>
  </si>
  <si>
    <t>ФР Standard.Сатин</t>
  </si>
  <si>
    <t>ФР Verto-FIT.Кризет</t>
  </si>
  <si>
    <t>ФР Verto-FIT.Сатин</t>
  </si>
  <si>
    <t>СЕРИЯ.МОДЕЛЬ</t>
  </si>
  <si>
    <t>ТИП</t>
  </si>
  <si>
    <t>КД Standard.1</t>
  </si>
  <si>
    <t>КД Verto-FIT.A</t>
  </si>
  <si>
    <t>КД Verto-FIT.B</t>
  </si>
  <si>
    <t>КД Verto-FIT.C</t>
  </si>
  <si>
    <t>КД Verto-FIT.D</t>
  </si>
  <si>
    <t>КД Verto-FIT.E</t>
  </si>
  <si>
    <t>КД Verto-FIT.F</t>
  </si>
  <si>
    <t>КД Verto-FIT.G</t>
  </si>
  <si>
    <t>КД Verto-FIT.H</t>
  </si>
  <si>
    <t>КД Verto-FIT.I</t>
  </si>
  <si>
    <t>РС Verto-SLIDE.1</t>
  </si>
  <si>
    <t>ФР Standard.1</t>
  </si>
  <si>
    <t>ФР Verto-FIT.A</t>
  </si>
  <si>
    <t>ФР Verto-FIT.B</t>
  </si>
  <si>
    <t>ФР Verto-FIT.C</t>
  </si>
  <si>
    <t>ФР Verto-FIT.D</t>
  </si>
  <si>
    <t>ФР Verto-FIT.E</t>
  </si>
  <si>
    <t>ФР Verto-FIT.F</t>
  </si>
  <si>
    <t>ФР Verto-FIT.G</t>
  </si>
  <si>
    <t>ФР Verto-FIT.H</t>
  </si>
  <si>
    <t>ФР Verto-FIT.I</t>
  </si>
  <si>
    <t>ДСП тр.</t>
  </si>
  <si>
    <t>ЗАПОЛН.</t>
  </si>
  <si>
    <t>МОД.</t>
  </si>
  <si>
    <t>тип</t>
  </si>
  <si>
    <t>type_2</t>
  </si>
  <si>
    <t>60</t>
  </si>
  <si>
    <t>70</t>
  </si>
  <si>
    <t>80</t>
  </si>
  <si>
    <t>90</t>
  </si>
  <si>
    <t>100</t>
  </si>
  <si>
    <t>seriya_DL</t>
  </si>
  <si>
    <t>seriya_DF</t>
  </si>
  <si>
    <t>(100)</t>
  </si>
  <si>
    <t>(110)</t>
  </si>
  <si>
    <t>(120)</t>
  </si>
  <si>
    <t>(130)</t>
  </si>
  <si>
    <t>(140)</t>
  </si>
  <si>
    <t>(150)</t>
  </si>
  <si>
    <t>(160)</t>
  </si>
  <si>
    <t>(170)</t>
  </si>
  <si>
    <t>(180)</t>
  </si>
  <si>
    <t>стандарт,</t>
  </si>
  <si>
    <t>seriya_FR</t>
  </si>
  <si>
    <t>ширина</t>
  </si>
  <si>
    <t>комплект</t>
  </si>
  <si>
    <t>комплект.</t>
  </si>
  <si>
    <t>200</t>
  </si>
  <si>
    <t>исходные критерии</t>
  </si>
  <si>
    <t>ДП ГОРДАНА.1/1.Кризет</t>
  </si>
  <si>
    <t>ДП ГОРДАНА.1/1.Сатин</t>
  </si>
  <si>
    <t>ДП ГОРДАНА.2/1.Кризет</t>
  </si>
  <si>
    <t>ДП ГОРДАНА.2/1.Сатин</t>
  </si>
  <si>
    <t>база</t>
  </si>
  <si>
    <t>грн.</t>
  </si>
  <si>
    <t>АКЦИЯ</t>
  </si>
  <si>
    <t>от</t>
  </si>
  <si>
    <t>КД Verto-FIT Plus</t>
  </si>
  <si>
    <t>КД Verto-FIT Plus.A</t>
  </si>
  <si>
    <t>КД Verto-FIT Plus.B</t>
  </si>
  <si>
    <t>КД Verto-FIT Plus.C</t>
  </si>
  <si>
    <t>КД Verto-FIT Plus.D</t>
  </si>
  <si>
    <t>КД Verto-FIT Plus.E</t>
  </si>
  <si>
    <t>КД Verto-FIT Plus.F</t>
  </si>
  <si>
    <t>КД Verto-FIT Plus.G</t>
  </si>
  <si>
    <t>КД Verto-FIT Plus.H</t>
  </si>
  <si>
    <t>КД Verto-FIT Plus.I</t>
  </si>
  <si>
    <t>Лутка РП075</t>
  </si>
  <si>
    <t>Лутка РП095</t>
  </si>
  <si>
    <t>Лутка РП120</t>
  </si>
  <si>
    <t>Лутка РП140</t>
  </si>
  <si>
    <t>Лутка РП160</t>
  </si>
  <si>
    <t>Лутка РП180</t>
  </si>
  <si>
    <t>Лутка РП200</t>
  </si>
  <si>
    <t>Лутка РП220</t>
  </si>
  <si>
    <t>Лутка РП240</t>
  </si>
  <si>
    <t>Verto-FIT Plus</t>
  </si>
  <si>
    <t>Verto-FIT Plus.60</t>
  </si>
  <si>
    <t>Verto-FIT Plus.70</t>
  </si>
  <si>
    <t>Verto-FIT Plus.80</t>
  </si>
  <si>
    <t>Verto-FIT Plus.90</t>
  </si>
  <si>
    <t>Verto-FIT Plus.100</t>
  </si>
  <si>
    <t>ДП ПОЛЛО.Ручка-Захват</t>
  </si>
  <si>
    <t>ДП ПОЛЛО.Ручка-Замок</t>
  </si>
  <si>
    <t>ДП ПОЛЛО.</t>
  </si>
  <si>
    <t>БАЗОВАЯ ЦЕНА</t>
  </si>
  <si>
    <t>ФР Verto-FIT.Бронза</t>
  </si>
  <si>
    <t>116 Дуб британ</t>
  </si>
  <si>
    <t>КД Verto-FIT Plus.H.Резист</t>
  </si>
  <si>
    <t>КД Verto-FIT Plus.I.Резист</t>
  </si>
  <si>
    <t>КД Verto-FIT Plus.A.LINE-3D</t>
  </si>
  <si>
    <t>КД Verto-FIT Plus.B.LINE-3D</t>
  </si>
  <si>
    <t>КД Verto-FIT Plus.C.LINE-3D</t>
  </si>
  <si>
    <t>КД Verto-FIT Plus.D.LINE-3D</t>
  </si>
  <si>
    <t>КД Verto-FIT Plus.E.LINE-3D</t>
  </si>
  <si>
    <t>КД Verto-FIT Plus.F.LINE-3D</t>
  </si>
  <si>
    <t>КД Verto-FIT Plus.G.LINE-3D</t>
  </si>
  <si>
    <t>КД Verto-FIT Plus.H.LINE-3D</t>
  </si>
  <si>
    <t>КД Verto-FIT Plus.I.LINE-3D</t>
  </si>
  <si>
    <t>СЕРИЯ/ИСПОЛНЕНИЕ</t>
  </si>
  <si>
    <t>ФР Verto-FIT.D.LINE-3D</t>
  </si>
  <si>
    <t>ФР Verto-FIT.E.LINE-3D</t>
  </si>
  <si>
    <t>ФР Verto-FIT.F.LINE-3D</t>
  </si>
  <si>
    <t>ФР Verto-FIT.G.LINE-3D</t>
  </si>
  <si>
    <t>ФР Verto-FIT.H.LINE-3D</t>
  </si>
  <si>
    <t>ФР Verto-FIT.I.LINE-3D</t>
  </si>
  <si>
    <t>Планка Verto-FIT 80мм.LINE-3D</t>
  </si>
  <si>
    <t>ДП Лада-Конц</t>
  </si>
  <si>
    <t>ДП Лада-Нова</t>
  </si>
  <si>
    <t>ДП Лайн</t>
  </si>
  <si>
    <t>ДП Гласфорд</t>
  </si>
  <si>
    <t>Standard-MDF.90</t>
  </si>
  <si>
    <t>Standard-MDF.100</t>
  </si>
  <si>
    <t>КУРС ВАЛЮТ:</t>
  </si>
  <si>
    <t>Verto-Cell</t>
  </si>
  <si>
    <t>Завіса штирьова престиж золото</t>
  </si>
  <si>
    <t>Завіса штирьова престиж золото мат.</t>
  </si>
  <si>
    <t>Завіса штирьова престиж срібло</t>
  </si>
  <si>
    <t>Завіса штирьова престиж срібло мат.</t>
  </si>
  <si>
    <t>Ручка дверна VERONA золото</t>
  </si>
  <si>
    <t>Ручка дверна VERONA срібло мат</t>
  </si>
  <si>
    <t>Ручка дверна MILANO золото</t>
  </si>
  <si>
    <t>Ручка дверна MILANO срібло мат</t>
  </si>
  <si>
    <t>Ручка дверна PRIUS срібло</t>
  </si>
  <si>
    <t>Ручка дверна PRIUS срібло мат</t>
  </si>
  <si>
    <t>ДП ГОРДАНА.4.Сатин</t>
  </si>
  <si>
    <t>ДП ГОРДАНА.5.Кризет</t>
  </si>
  <si>
    <t>ДП ГОРДАНА.5.Сатин</t>
  </si>
  <si>
    <t>ДП ГОРДАНА.6.Кризет</t>
  </si>
  <si>
    <t>ДП ГОРДАНА.6.Сатин</t>
  </si>
  <si>
    <t>36</t>
  </si>
  <si>
    <t>38</t>
  </si>
  <si>
    <t>ДП ЛАДА-КОНЦЕПТ.2/0.Verto-Cell</t>
  </si>
  <si>
    <t>ДП ЛАДА-КОНЦЕПТ.2/2.Verto-Cell</t>
  </si>
  <si>
    <t>ДП ЛАДА-КОНЦЕПТ.3/0.Verto-Cell</t>
  </si>
  <si>
    <t>ДП ЛАДА-КОНЦЕПТ.2/0.Резист</t>
  </si>
  <si>
    <t>ДП ЛАДА-КОНЦЕПТ.2/2.Резист</t>
  </si>
  <si>
    <t>ДП ЛАДА-КОНЦЕПТ.3/0.Резист</t>
  </si>
  <si>
    <t>ДП ЛАДА-КОНЦЕПТ.3/3.Резист</t>
  </si>
  <si>
    <t>ДП ЛАДА-НОВА.4/0.Резист</t>
  </si>
  <si>
    <t>ДП ЛАДА-НОВА.4/3.Резист</t>
  </si>
  <si>
    <t>ДП ЛАДА-НОВА.4/6.Резист</t>
  </si>
  <si>
    <t>ДП ЛАДА-НОВА.4/9.Резист</t>
  </si>
  <si>
    <t>КД Standard.1.Резист</t>
  </si>
  <si>
    <t>КД Verto-FIT.A.Резист</t>
  </si>
  <si>
    <t>КД Verto-FIT.B.Резист</t>
  </si>
  <si>
    <t>КД Verto-FIT.C.Резист</t>
  </si>
  <si>
    <t>КД Verto-FIT.D.Резист</t>
  </si>
  <si>
    <t>КД Verto-FIT.E.Резист</t>
  </si>
  <si>
    <t>КД Verto-FIT.F.Резист</t>
  </si>
  <si>
    <t>КД Verto-FIT.G.Резист</t>
  </si>
  <si>
    <t>КД Verto-FIT.H.Резист</t>
  </si>
  <si>
    <t>КД Verto-FIT.I.Резист</t>
  </si>
  <si>
    <t>РС Verto-SLIDE.1.Резист</t>
  </si>
  <si>
    <t>ФР Standard.1.Резист</t>
  </si>
  <si>
    <t>ФР Verto-FIT.A.Резист</t>
  </si>
  <si>
    <t>ФР Verto-FIT.B.Резист</t>
  </si>
  <si>
    <t>ФУРНИТУРА</t>
  </si>
  <si>
    <t>размер</t>
  </si>
  <si>
    <t>(дата)</t>
  </si>
  <si>
    <t>decor</t>
  </si>
  <si>
    <t>109 Дуб африк.</t>
  </si>
  <si>
    <t>110 Дуб золот.</t>
  </si>
  <si>
    <t>Сатин</t>
  </si>
  <si>
    <t>Кризет</t>
  </si>
  <si>
    <t>Трипл. чер</t>
  </si>
  <si>
    <t>Трипл. мат</t>
  </si>
  <si>
    <t>Ручка-Захват</t>
  </si>
  <si>
    <t>цвет</t>
  </si>
  <si>
    <t>модель</t>
  </si>
  <si>
    <t>серия</t>
  </si>
  <si>
    <t>стекло</t>
  </si>
  <si>
    <t>фурнитура</t>
  </si>
  <si>
    <t>навеска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</si>
  <si>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</si>
  <si>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</si>
  <si>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</si>
  <si>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</si>
  <si>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</si>
  <si>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</si>
  <si>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</si>
  <si>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</si>
  <si>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</si>
  <si>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seriya3</t>
  </si>
  <si>
    <t>seriya4</t>
  </si>
  <si>
    <t>№</t>
  </si>
  <si>
    <t>ДП Стандарт</t>
  </si>
  <si>
    <t>ДП Купава</t>
  </si>
  <si>
    <t>ДП ЛАЙН.1.Бронза</t>
  </si>
  <si>
    <t>ДП ЛАЙН.2.Бронза</t>
  </si>
  <si>
    <t>ДП ЛАЙН.3.Бронза</t>
  </si>
  <si>
    <t>ДП ЛАЙН.4.Бронза</t>
  </si>
  <si>
    <t>ДП ЛАЙН.5.Бронза</t>
  </si>
  <si>
    <t>ДП ЛАЙН.6.Бронза</t>
  </si>
  <si>
    <t>ДП ЛАЙН.7.Бронза</t>
  </si>
  <si>
    <t>ДП ЛАДА-НОВА.8/1.Verto-Cell</t>
  </si>
  <si>
    <t>ДП ЛАЙН.1.Verto-Cell</t>
  </si>
  <si>
    <t>ДП ЛАЙН.2.Verto-Cell</t>
  </si>
  <si>
    <t>ДП ЛАЙН.3.Verto-Cell</t>
  </si>
  <si>
    <t>ДП ЛАЙН.4.Verto-Cell</t>
  </si>
  <si>
    <t>ДП ЛАЙН.5.Verto-Cell</t>
  </si>
  <si>
    <t>ДП ЛАЙН.6.Verto-Cell</t>
  </si>
  <si>
    <t>ДП ЛАЙН.7.Verto-Cell</t>
  </si>
  <si>
    <t>ДП ПОЛЛО.3/0.Verto-Cell</t>
  </si>
  <si>
    <t>ДП ПОЛЛО.3/2.Verto-Cell</t>
  </si>
  <si>
    <t>ДП ПОЛЛО.3/4.Verto-Cell</t>
  </si>
  <si>
    <t>ДП ПОЛЛО.3/6.Verto-Cell</t>
  </si>
  <si>
    <t>ДП ПОЛЛО.3А/3.Verto-Cell</t>
  </si>
  <si>
    <t>ДП ПОЛЛО.3А/5.Verto-Cell</t>
  </si>
  <si>
    <t>ДП ПОЛЛО.4/3.Verto-Cell</t>
  </si>
  <si>
    <t>Планка Verto-FIT 160мм</t>
  </si>
  <si>
    <t>Дошивка Р160</t>
  </si>
  <si>
    <t>Планка Verto-FIT 160мм.60</t>
  </si>
  <si>
    <t>Планка Verto-FIT 160мм.70</t>
  </si>
  <si>
    <t>Планка Verto-FIT 160мм.80</t>
  </si>
  <si>
    <t>Планка Verto-FIT 160мм.90</t>
  </si>
  <si>
    <t>Планка Verto-FIT 160мм.100</t>
  </si>
  <si>
    <t>Планка Verto-FIT 160мм.(100)</t>
  </si>
  <si>
    <t>Планка Verto-FIT 160мм.(110)</t>
  </si>
  <si>
    <t>Планка Verto-FIT 160мм.(120)</t>
  </si>
  <si>
    <t>Планка Verto-FIT 160мм.(130)</t>
  </si>
  <si>
    <t>Планка Verto-FIT 160мм.(140)</t>
  </si>
  <si>
    <t>Планка Verto-FIT 160мм.(150)</t>
  </si>
  <si>
    <t>Планка Verto-FIT 160мм.(160)</t>
  </si>
  <si>
    <t>Планка Verto-FIT 160мм.(170)</t>
  </si>
  <si>
    <t>Планка Verto-FIT 160мм.(180)</t>
  </si>
  <si>
    <t>Планка Verto-FIT 160мм.Verto-Cell</t>
  </si>
  <si>
    <t>Планка Verto-FIT 160мм.Резист</t>
  </si>
  <si>
    <t>Планка Verto-FIT 160мм.LINE-3D</t>
  </si>
  <si>
    <t>3А/1</t>
  </si>
  <si>
    <t>4</t>
  </si>
  <si>
    <t>5</t>
  </si>
  <si>
    <t>6</t>
  </si>
  <si>
    <t>1</t>
  </si>
  <si>
    <t>2</t>
  </si>
  <si>
    <t>3</t>
  </si>
  <si>
    <t>1/2</t>
  </si>
  <si>
    <t>3/4</t>
  </si>
  <si>
    <t>3/6</t>
  </si>
  <si>
    <t>4/5</t>
  </si>
  <si>
    <t>4/6</t>
  </si>
  <si>
    <t>4/9</t>
  </si>
  <si>
    <t>А</t>
  </si>
  <si>
    <t>Б</t>
  </si>
  <si>
    <t>Объект</t>
  </si>
  <si>
    <t>Описание</t>
  </si>
  <si>
    <t>кол-во</t>
  </si>
  <si>
    <t>цена</t>
  </si>
  <si>
    <t>цена ед</t>
  </si>
  <si>
    <t>фурн</t>
  </si>
  <si>
    <t>сумма грн.</t>
  </si>
  <si>
    <t>ИТОГО</t>
  </si>
  <si>
    <t>Дошивка Р080</t>
  </si>
  <si>
    <t>КД Verto-FIT</t>
  </si>
  <si>
    <t>КД Standard</t>
  </si>
  <si>
    <t>РС Verto-SLIDE</t>
  </si>
  <si>
    <t>мод</t>
  </si>
  <si>
    <t>ДП Лада-Концепт</t>
  </si>
  <si>
    <t>ФР Standard</t>
  </si>
  <si>
    <t>ФР Verto-FIT</t>
  </si>
  <si>
    <t>Планка Verto-FIT 80мм</t>
  </si>
  <si>
    <t>Адаптор кл.</t>
  </si>
  <si>
    <t>Резист</t>
  </si>
  <si>
    <t>205 Дуб темн.</t>
  </si>
  <si>
    <t>декор</t>
  </si>
  <si>
    <t>ДП СТАНДАРТ.1/А</t>
  </si>
  <si>
    <t>ДП СТАНДАРТ.1/Б</t>
  </si>
  <si>
    <t>ДП СТАНДАРТ.2/А</t>
  </si>
  <si>
    <t>ДП СТАНДАРТ.2/Б</t>
  </si>
  <si>
    <t>ДП СТАНДАРТ.3/0</t>
  </si>
  <si>
    <t>ДП СТАНДАРТ.3/1</t>
  </si>
  <si>
    <t>ДП СТАНДАРТ.4/0</t>
  </si>
  <si>
    <t>ДП СТАНДАРТ.4/1</t>
  </si>
  <si>
    <t>ДП СТАНДАРТ.4/2</t>
  </si>
  <si>
    <t>ДП КУПАВА.1/0</t>
  </si>
  <si>
    <t>ДП КУПАВА.1/1</t>
  </si>
  <si>
    <t>ДП КУПАВА.2/0</t>
  </si>
  <si>
    <t>ДП ЛАДА-КОНЦЕПТ.5/2.Бронза</t>
  </si>
  <si>
    <t>ДП ЛАДА-КОНЦЕПТ.5/3.Бронза</t>
  </si>
  <si>
    <t>ДП ЛАДА-НОВА.4/3.Бронза</t>
  </si>
  <si>
    <t>ДП ЛАДА-НОВА.4/6.Бронза</t>
  </si>
  <si>
    <t>ДП ЛАДА-НОВА.4/9.Бронза</t>
  </si>
  <si>
    <t>ДП ЛАДА-НОВА.6А/1.Бронза</t>
  </si>
  <si>
    <t>сумма розница</t>
  </si>
  <si>
    <t>ДП ГОРДАНА.Ручка-Захват</t>
  </si>
  <si>
    <t>ДП ГОРДАНА.Ручка-Замок</t>
  </si>
  <si>
    <t>ДП КУПАВА.Ручка-Захват</t>
  </si>
  <si>
    <t>ДП КУПАВА.Ручка-Замок</t>
  </si>
  <si>
    <t>ДП ЛАДА-КОНЦЕПТ.Ручка-Захват</t>
  </si>
  <si>
    <t>ДП ЛАДА-КОНЦЕПТ.Ручка-Замок</t>
  </si>
  <si>
    <t>ДП ЛАДА-КОНЦЕПТ.2/0.Бронза</t>
  </si>
  <si>
    <t>ДП ЛАДА-КОНЦЕПТ.2/2.Бронза</t>
  </si>
  <si>
    <t>ДП ЛАДА-КОНЦЕПТ.3/0.Бронза</t>
  </si>
  <si>
    <t>ДП ЛАДА-КОНЦЕПТ.3/3.Бронза</t>
  </si>
  <si>
    <t>ДП ЛАДА-КОНЦЕПТ.4/0.Бронза</t>
  </si>
  <si>
    <t>для ДП Гласфорд</t>
  </si>
  <si>
    <t>50</t>
  </si>
  <si>
    <t>КД Verto-FIT.для ДП Гласфорд</t>
  </si>
  <si>
    <t>ЦЕНА ФУРНИТУРА</t>
  </si>
  <si>
    <t>СЕРИЯ/МОДЕЛЬ/ОСТЕКЛЕНИЕ</t>
  </si>
  <si>
    <t>ДП ЛАДА-НОВА.4/6</t>
  </si>
  <si>
    <t>ДП ЛАДА-НОВА.4/9</t>
  </si>
  <si>
    <t>ДП ЛАЙН.1</t>
  </si>
  <si>
    <t>ДП ЛАЙН.2</t>
  </si>
  <si>
    <t>ДП ЛАЙН.3</t>
  </si>
  <si>
    <t>ДП ЛАЙН.4</t>
  </si>
  <si>
    <t>ДП ЛАЙН.5</t>
  </si>
  <si>
    <t>ДП ЛАЙН.6</t>
  </si>
  <si>
    <t>ДП ГЛАСФОРД.1</t>
  </si>
  <si>
    <t>ДП ГЛАСФОРД.2</t>
  </si>
  <si>
    <t>ДП ГЛАСФОРД.3</t>
  </si>
  <si>
    <t>ДП ГЛАСФОРД.4</t>
  </si>
  <si>
    <t>ДП ГЛАСФОРД.5</t>
  </si>
  <si>
    <t>ДП СТАНДАРТ</t>
  </si>
  <si>
    <t>ДП КУПАВА</t>
  </si>
  <si>
    <t>ДП ЛАДА-КОНЦЕПТ</t>
  </si>
  <si>
    <t>ДП ЛАДА-НОВА</t>
  </si>
  <si>
    <t>ДП ЛАЙН</t>
  </si>
  <si>
    <t>ДП ЛАЙН.1.Резист</t>
  </si>
  <si>
    <t>ДП ЛАЙН.2.Резист</t>
  </si>
  <si>
    <t>ДП ЛАЙН.3.Резист</t>
  </si>
  <si>
    <t>ДП ЛАЙН.4.Резист</t>
  </si>
  <si>
    <t>ДП ЛАЙН.5.Резист</t>
  </si>
  <si>
    <t>ДП ЛАЙН.6.Резист</t>
  </si>
  <si>
    <t>ДП ГОРДАНА.4.Кризет</t>
  </si>
  <si>
    <t>КД Verto-FIT Plus.для ДП Гласфорд</t>
  </si>
  <si>
    <t>ФР Verto-FIT.C.Резист</t>
  </si>
  <si>
    <t>ФР Verto-FIT.D.Резист</t>
  </si>
  <si>
    <t>ФР Verto-FIT.E.Резист</t>
  </si>
  <si>
    <t>ФР Verto-FIT.F.Резист</t>
  </si>
  <si>
    <t>ФР Verto-FIT.G.Резист</t>
  </si>
  <si>
    <t>ФР Verto-FIT.H.Резист</t>
  </si>
  <si>
    <t>ФР Verto-FIT.I.Резист</t>
  </si>
  <si>
    <t>Планка Verto-FIT 80мм.Резист</t>
  </si>
  <si>
    <t>ЦЕНА ЗАПОЛНЕНИЯ</t>
  </si>
  <si>
    <t>ЦЕНА ОСТЕКЛЕНИЕ</t>
  </si>
  <si>
    <t>ДП СТАНДАРТ.1/А.Кризет</t>
  </si>
  <si>
    <t>ДП СТАНДАРТ.1/А.Сатин</t>
  </si>
  <si>
    <t>ДП СТАНДАРТ.1/Б.Кризет</t>
  </si>
  <si>
    <t>ДП СТАНДАРТ.1/Б.Сатин</t>
  </si>
  <si>
    <t>ДП СТАНДАРТ.2/А.Кризет</t>
  </si>
  <si>
    <t>ДП СТАНДАРТ.2/А.Сатин</t>
  </si>
  <si>
    <t>ДП СТАНДАРТ.2/Б.Кризет</t>
  </si>
  <si>
    <t>ДП СТАНДАРТ.2/Б.Сатин</t>
  </si>
  <si>
    <t>ДП СТАНДАРТ.3/1.Кризет</t>
  </si>
  <si>
    <t>ДП СТАНДАРТ.3/1.Сатин</t>
  </si>
  <si>
    <t>ДП СТАНДАРТ.4/1.Кризет</t>
  </si>
  <si>
    <t>ДП СТАНДАРТ.4/1.Сатин</t>
  </si>
  <si>
    <t>ДП ПОЛЛО</t>
  </si>
  <si>
    <t>304 Кора дуб</t>
  </si>
  <si>
    <t>305 Кора венге</t>
  </si>
  <si>
    <t>7/0</t>
  </si>
  <si>
    <t>мод: 7/0</t>
  </si>
  <si>
    <t>7/1</t>
  </si>
  <si>
    <t>мод: 7/1</t>
  </si>
  <si>
    <t>ДП ЛАДА-КОНЦЕПТ.4/0</t>
  </si>
  <si>
    <t>ДП ЛАДА-НОВА.6А/1</t>
  </si>
  <si>
    <t>ДП ЛАДА-НОВА.6А/5</t>
  </si>
  <si>
    <t>ДП ЛАДА-НОВА.7/1</t>
  </si>
  <si>
    <t>ДП ЛАДА-НОВА.7/2</t>
  </si>
  <si>
    <t>7/2</t>
  </si>
  <si>
    <t>мод: 7/2</t>
  </si>
  <si>
    <t>ДП ЛАДА-НОВА.8/1</t>
  </si>
  <si>
    <t>8/1</t>
  </si>
  <si>
    <t>мод: 8/1</t>
  </si>
  <si>
    <t>ДП ЛАЙН.7</t>
  </si>
  <si>
    <t>07</t>
  </si>
  <si>
    <t>мод: 7</t>
  </si>
  <si>
    <t>7</t>
  </si>
  <si>
    <t>ДП ПОЛЛО.3/0</t>
  </si>
  <si>
    <t>ДП ПОЛЛО.3/2</t>
  </si>
  <si>
    <t>ДП ПОЛЛО.3/4</t>
  </si>
  <si>
    <t>ДП ПОЛЛО.3/6</t>
  </si>
  <si>
    <t>3А/2</t>
  </si>
  <si>
    <t>мод: 3А/2</t>
  </si>
  <si>
    <t>ДП ПОЛЛО.3А/3</t>
  </si>
  <si>
    <t>3А/3</t>
  </si>
  <si>
    <t>мод: 3А/3</t>
  </si>
  <si>
    <t>ДП ПОЛЛО.3А/5</t>
  </si>
  <si>
    <t>3А/5</t>
  </si>
  <si>
    <t>мод: 3А/5</t>
  </si>
  <si>
    <t>ДП ПОЛЛО.4/3</t>
  </si>
  <si>
    <t>ТИП_2</t>
  </si>
  <si>
    <t>РАЗМЕР</t>
  </si>
  <si>
    <t>ПОКРЫТИЕ</t>
  </si>
  <si>
    <t>стандарт.</t>
  </si>
  <si>
    <t>color</t>
  </si>
  <si>
    <t>furniture</t>
  </si>
  <si>
    <t>ФРУНИТУРА</t>
  </si>
  <si>
    <t>Ручка-Замок</t>
  </si>
  <si>
    <t>ДП ЛАДА-КОНЦЕПТ.2/0.Сатин</t>
  </si>
  <si>
    <t>ДП ЛАДА-КОНЦЕПТ.2/2.Сатин</t>
  </si>
  <si>
    <t>ДП ЛАДА-КОНЦЕПТ.3/0.Сатин</t>
  </si>
  <si>
    <t>ДП ЛАДА-КОНЦЕПТ.3/3.Сатин</t>
  </si>
  <si>
    <t>ДП ЛАДА-НОВА.4/3.Сатин</t>
  </si>
  <si>
    <t>ДП ЛАДА-НОВА.4/6.Сатин</t>
  </si>
  <si>
    <t>ДП ЛАЙН.1.LINE-3D</t>
  </si>
  <si>
    <t>ДП ЛАЙН.2.LINE-3D</t>
  </si>
  <si>
    <t>ДП ЛАЙН.3.LINE-3D</t>
  </si>
  <si>
    <t>ДП ЛАЙН.4.LINE-3D</t>
  </si>
  <si>
    <t>ДП ЛАЙН.5.LINE-3D</t>
  </si>
  <si>
    <t>ДП ЛАЙН.6.LINE-3D</t>
  </si>
  <si>
    <t>ДП ЛАЙН.7.LINE-3D</t>
  </si>
  <si>
    <t>ДП ЛАДА-НОВА.8/1.LINE-3D</t>
  </si>
  <si>
    <t>ДП ЛАЙН.7.Резист</t>
  </si>
  <si>
    <t>Виставковий стенд П.80.2400*1020</t>
  </si>
  <si>
    <t>КД Standard.1.Verto-Cell</t>
  </si>
  <si>
    <t>КД Verto-FIT.A.Verto-Cell</t>
  </si>
  <si>
    <t>КД Verto-FIT.B.Verto-Cell</t>
  </si>
  <si>
    <t>КД Verto-FIT.C.Verto-Cell</t>
  </si>
  <si>
    <t>КД Verto-FIT.D.Verto-Cell</t>
  </si>
  <si>
    <t>КД Verto-FIT.E.Verto-Cell</t>
  </si>
  <si>
    <t>КД Verto-FIT.F.Verto-Cell</t>
  </si>
  <si>
    <t>КД Verto-FIT.G.Verto-Cell</t>
  </si>
  <si>
    <t>КД Verto-FIT.H.Verto-Cell</t>
  </si>
  <si>
    <t>КД Verto-FIT.I.Verto-Cell</t>
  </si>
  <si>
    <t>РС Verto-SLIDE.1.Verto-Cell</t>
  </si>
  <si>
    <t>ФР Verto-FIT.A.Verto-Cell</t>
  </si>
  <si>
    <t>ФР Verto-FIT.B.Verto-Cell</t>
  </si>
  <si>
    <t>ФР Verto-FIT.C.Verto-Cell</t>
  </si>
  <si>
    <t>ФР Verto-FIT.D.Verto-Cell</t>
  </si>
  <si>
    <t>ФР Verto-FIT.E.Verto-Cell</t>
  </si>
  <si>
    <t>ФР Verto-FIT.F.Verto-Cell</t>
  </si>
  <si>
    <t>ФР Verto-FIT.G.Verto-Cell</t>
  </si>
  <si>
    <t>ФР Verto-FIT.H.Verto-Cell</t>
  </si>
  <si>
    <t>ФР Verto-FIT.I.Verto-Cell</t>
  </si>
  <si>
    <t>Планка Verto-FIT 80мм.Verto-Cell</t>
  </si>
  <si>
    <t>ДП КУПАВА.2/1</t>
  </si>
  <si>
    <t>ДП КУПАВА.3/0</t>
  </si>
  <si>
    <t>ДП КУПАВА.3/1</t>
  </si>
  <si>
    <t>ДП КУПАВА.4/0</t>
  </si>
  <si>
    <t>ДП КУПАВА.4/1</t>
  </si>
  <si>
    <t>ед.изм</t>
  </si>
  <si>
    <t>шт</t>
  </si>
  <si>
    <t>компл</t>
  </si>
  <si>
    <t>Виставковий стенд П.80.2400*1420</t>
  </si>
  <si>
    <t>ДП ЛАДА-КОНЦЕПТ.4/0.Резист</t>
  </si>
  <si>
    <t>ДП ЛАДА-КОНЦЕПТ.4/4.Резист</t>
  </si>
  <si>
    <t>ДП ЛАДА-КОНЦЕПТ.5/1.Резист</t>
  </si>
  <si>
    <t>ДП ЛАДА-КОНЦЕПТ.5/2.Резист</t>
  </si>
  <si>
    <t>ДП ЛАДА-КОНЦЕПТ.5/3.Резист</t>
  </si>
  <si>
    <t>ДП ЛАДА-КОНЦЕПТ.2/0.LINE-3D</t>
  </si>
  <si>
    <t>ДП ЛАДА-КОНЦЕПТ.2/2.LINE-3D</t>
  </si>
  <si>
    <t>ДП ЛАДА-КОНЦЕПТ.3/0.LINE-3D</t>
  </si>
  <si>
    <t>ВП</t>
  </si>
  <si>
    <t>мод: 5/1</t>
  </si>
  <si>
    <t>мод: 5/2</t>
  </si>
  <si>
    <t>мод: 5/3</t>
  </si>
  <si>
    <t>мод: 5/4</t>
  </si>
  <si>
    <t>мод: 5/5</t>
  </si>
  <si>
    <t>Фрамуга: Verto-FIT (на ширину 220-240мм)</t>
  </si>
  <si>
    <t>Фрамуга: Verto-FIT (на ширину 240-260мм)</t>
  </si>
  <si>
    <t>КОД</t>
  </si>
  <si>
    <t>ОПИСАНИЕ</t>
  </si>
  <si>
    <t>ххх</t>
  </si>
  <si>
    <t>цвет: отсутствует</t>
  </si>
  <si>
    <t>зап: стандарт</t>
  </si>
  <si>
    <t>зап: ДСП трубч</t>
  </si>
  <si>
    <t>заполн</t>
  </si>
  <si>
    <t>Ручка-Захват.</t>
  </si>
  <si>
    <t>Ручка-Замок.</t>
  </si>
  <si>
    <t>40</t>
  </si>
  <si>
    <t>Лиштва М60</t>
  </si>
  <si>
    <t>Дошивка М060</t>
  </si>
  <si>
    <t>Дошивка М110</t>
  </si>
  <si>
    <t>21-10</t>
  </si>
  <si>
    <t>21-20</t>
  </si>
  <si>
    <t>Лутка Д80</t>
  </si>
  <si>
    <t>Лутка Р075</t>
  </si>
  <si>
    <t>Лутка Р095</t>
  </si>
  <si>
    <t>Лутка Р120</t>
  </si>
  <si>
    <t>Лутка Р140</t>
  </si>
  <si>
    <t>Лутка Р160</t>
  </si>
  <si>
    <t>Лутка Р180</t>
  </si>
  <si>
    <t>Лутка Р200</t>
  </si>
  <si>
    <t>Лутка Р220</t>
  </si>
  <si>
    <t>Лутка Р240</t>
  </si>
  <si>
    <t>РС В-слайд</t>
  </si>
  <si>
    <t>Фрамуга Д80</t>
  </si>
  <si>
    <t>Фрамуга Р075</t>
  </si>
  <si>
    <t>Фрамуга Р095</t>
  </si>
  <si>
    <t>Фрамуга Р120</t>
  </si>
  <si>
    <t>Фрамуга Р140</t>
  </si>
  <si>
    <t>Фрамуга Р160</t>
  </si>
  <si>
    <t>Фрамуга Р180</t>
  </si>
  <si>
    <t>Фрамуга Р200</t>
  </si>
  <si>
    <t>Фрамуга Р220</t>
  </si>
  <si>
    <t>Фрамуга Р240</t>
  </si>
  <si>
    <t>Фрамуга: STANDARD (на ширину 80мм)</t>
  </si>
  <si>
    <t>Фрамуга: Verto-FIT (на ширину 75-95мм)</t>
  </si>
  <si>
    <t>Фрамуга: Verto-FIT (на ширину 95-115мм)</t>
  </si>
  <si>
    <t>Фрамуга: Verto-FIT (на ширину 120-140мм)</t>
  </si>
  <si>
    <t>Фрамуга: Verto-FIT (на ширину 140-160мм)</t>
  </si>
  <si>
    <t>Фрамуга: Verto-FIT (на ширину 160-180мм)</t>
  </si>
  <si>
    <t>Фрамуга: Verto-FIT (на ширину 180-200мм)</t>
  </si>
  <si>
    <t>Фрамуга: Verto-FIT (на ширину 200-220мм)</t>
  </si>
  <si>
    <t>ФР Standard.стандарт</t>
  </si>
  <si>
    <t>ФР Verto-FIT.стандарт</t>
  </si>
  <si>
    <t>Планка Verto-FIT 80мм.60</t>
  </si>
  <si>
    <t>Планка Verto-FIT 80мм.70</t>
  </si>
  <si>
    <t>Планка Verto-FIT 80мм.80</t>
  </si>
  <si>
    <t>Планка Verto-FIT 80мм.90</t>
  </si>
  <si>
    <t>31</t>
  </si>
  <si>
    <t>Виставковий стенд П.80.2400*1450</t>
  </si>
  <si>
    <t>Виставковий стенд П.80.2400*1550</t>
  </si>
  <si>
    <t>ДП ЛАДА-НОВА.6А/5.Бронза</t>
  </si>
  <si>
    <t>ДП ЛАДА-НОВА.7/1.Бронза</t>
  </si>
  <si>
    <t>ДП ЛАДА-НОВА.7/2.Бронза</t>
  </si>
  <si>
    <t>ДП ЛАДА-НОВА.8/1.Бронза</t>
  </si>
  <si>
    <t>ДП ГОРДАНА.1/0</t>
  </si>
  <si>
    <t>ДП ГОРДАНА.1/1</t>
  </si>
  <si>
    <t>ДП ЛАДА-НОВА.Ручка-Захват</t>
  </si>
  <si>
    <t>ДП ЛАДА-НОВА.Ручка-Замок</t>
  </si>
  <si>
    <t>51</t>
  </si>
  <si>
    <t>52</t>
  </si>
  <si>
    <t>53</t>
  </si>
  <si>
    <t>ДП ЛАДА-КОНЦЕПТ.4/0.Сатин</t>
  </si>
  <si>
    <t>ДП ЛАДА-КОНЦЕПТ.4/4.Сатин</t>
  </si>
  <si>
    <t>ДП ЛАДА-НОВА.6А/1.Сатин</t>
  </si>
  <si>
    <t>ДП ЛАДА-НОВА.6А/5.Сатин</t>
  </si>
  <si>
    <t>ДП ПОЛЛО.3А/5.Бронза</t>
  </si>
  <si>
    <t>ДП ПОЛЛО.4/3.Бронза</t>
  </si>
  <si>
    <t>ДП КУПАВА.2/1.Кризет</t>
  </si>
  <si>
    <t>ДП КУПАВА.2/1.Сатин</t>
  </si>
  <si>
    <t>ДП КУПАВА.3/1.Кризет</t>
  </si>
  <si>
    <t>ДП КУПАВА.3/1.Сатин</t>
  </si>
  <si>
    <t>ДП КУПАВА.4/1.Кризет</t>
  </si>
  <si>
    <t>ДП КУПАВА.4/1.Сатин</t>
  </si>
  <si>
    <t>ДП РУТА.1/1.Кризет</t>
  </si>
  <si>
    <t>ДП РУТА.1/1.Сатин</t>
  </si>
  <si>
    <t>ДП РУТА.2/1.Кризет</t>
  </si>
  <si>
    <t>ДП РУТА.2/1.Сатин</t>
  </si>
  <si>
    <t>ДП РУТА.4/1.Кризет</t>
  </si>
  <si>
    <t>ДП РУТА.4/1.Сатин</t>
  </si>
  <si>
    <t>ДП РУТА.5/1.Кризет</t>
  </si>
  <si>
    <t>ДП РУТА.5/1.Сатин</t>
  </si>
  <si>
    <t>ДП РУТА-FUSION.14.Сатин</t>
  </si>
  <si>
    <t>Бронза</t>
  </si>
  <si>
    <t>Гр</t>
  </si>
  <si>
    <t>Бр</t>
  </si>
  <si>
    <t>навес</t>
  </si>
  <si>
    <t>шир.мм</t>
  </si>
  <si>
    <t>коробка</t>
  </si>
  <si>
    <t>door_frame</t>
  </si>
  <si>
    <t>КОРОБКА</t>
  </si>
  <si>
    <t>Standard</t>
  </si>
  <si>
    <t>Verto-FIT</t>
  </si>
  <si>
    <t>frame_model</t>
  </si>
  <si>
    <t>frame_nalichnik</t>
  </si>
  <si>
    <t>М60 1кт</t>
  </si>
  <si>
    <t>М60 2кт</t>
  </si>
  <si>
    <t>ДП</t>
  </si>
  <si>
    <t>КД</t>
  </si>
  <si>
    <t>НАЛ</t>
  </si>
  <si>
    <t>КОЛ-ВО</t>
  </si>
  <si>
    <t>изд.</t>
  </si>
  <si>
    <t>исп.</t>
  </si>
  <si>
    <t>шир</t>
  </si>
  <si>
    <t>ВПР (ДБ)</t>
  </si>
  <si>
    <t>тест</t>
  </si>
  <si>
    <t>коробка - код</t>
  </si>
  <si>
    <t>исполнение ДП-КД</t>
  </si>
  <si>
    <t>размеры ДП-КД</t>
  </si>
  <si>
    <t>фурнитура ДП-КД</t>
  </si>
  <si>
    <t>навеска ДП-КД</t>
  </si>
  <si>
    <t>размеры КД-НАЛ</t>
  </si>
  <si>
    <t>Standard.60</t>
  </si>
  <si>
    <t>Standard.70</t>
  </si>
  <si>
    <t>Standard.80</t>
  </si>
  <si>
    <t>Standard.90</t>
  </si>
  <si>
    <t>Standard.100</t>
  </si>
  <si>
    <t>Verto-FIT.60</t>
  </si>
  <si>
    <t>Verto-FIT.70</t>
  </si>
  <si>
    <t>Verto-FIT.80</t>
  </si>
  <si>
    <t>Verto-FIT.90</t>
  </si>
  <si>
    <t>Verto-FIT.100</t>
  </si>
  <si>
    <t>0</t>
  </si>
  <si>
    <t>покр</t>
  </si>
  <si>
    <t>покрытие для ЦЕН</t>
  </si>
  <si>
    <t>2А/0</t>
  </si>
  <si>
    <t>мод: 2А/0</t>
  </si>
  <si>
    <t>3А/0</t>
  </si>
  <si>
    <t>мод: 3А/0</t>
  </si>
  <si>
    <t>8/0</t>
  </si>
  <si>
    <t>8/2</t>
  </si>
  <si>
    <t>8/3</t>
  </si>
  <si>
    <t>мод: 8/0</t>
  </si>
  <si>
    <t>мод: 8/2</t>
  </si>
  <si>
    <t>мод: 8/3</t>
  </si>
  <si>
    <t>ДП ПОЛЛО.3А/3.Бронза</t>
  </si>
  <si>
    <t>Виставковий стенд П.80.2400*1650</t>
  </si>
  <si>
    <t>Виставковий стенд П.80.2400*1750</t>
  </si>
  <si>
    <t>Виставковий стенд П.80.2400*1850</t>
  </si>
  <si>
    <t>РС Verto-SLIDE.Без планки замка</t>
  </si>
  <si>
    <t>РС Verto-SLIDE.С планкой замка</t>
  </si>
  <si>
    <t>ЦЕНА ВЕНТ.ОТДУШИНЫ</t>
  </si>
  <si>
    <t>СЕРИЯ/ВЕНТ.ОТДУШИНЫ</t>
  </si>
  <si>
    <t>ДП ГЛАСФОРД.</t>
  </si>
  <si>
    <t>ДП ГОРДАНА.</t>
  </si>
  <si>
    <t>ДП КУПАВА.</t>
  </si>
  <si>
    <t>ДП ЛАДА-КОНЦЕПТ.</t>
  </si>
  <si>
    <t>ДП ЛАДА-НОВА.</t>
  </si>
  <si>
    <t>ДП ЛАЙН.</t>
  </si>
  <si>
    <t>ДП РУТА.</t>
  </si>
  <si>
    <t>ДП РУТА-FUSION.</t>
  </si>
  <si>
    <t>ДП СТАНДАРТ.</t>
  </si>
  <si>
    <t>КД Standard-MDF</t>
  </si>
  <si>
    <t>КД Standard-MDF.1</t>
  </si>
  <si>
    <t>Лутка М80</t>
  </si>
  <si>
    <t>ДП ЛАЙН.6.Трипл. мат</t>
  </si>
  <si>
    <t>ДП ЛАЙН.6.Трипл. чер</t>
  </si>
  <si>
    <t>ДП ЛАЙН.7.Трипл. мат</t>
  </si>
  <si>
    <t>ДП ЛАЙН.7.Трипл. чер</t>
  </si>
  <si>
    <t>ДП ГЛАСФОРД.2.Трипл. мат</t>
  </si>
  <si>
    <t>ДП ГЛАСФОРД.2.Трипл. чер</t>
  </si>
  <si>
    <t>ДП ГЛАСФОРД.3.Трипл. мат</t>
  </si>
  <si>
    <t>ДП ГЛАСФОРД.3.Трипл. чер</t>
  </si>
  <si>
    <t>ДП ГЛАСФОРД.4.Трипл. мат</t>
  </si>
  <si>
    <t>ДП ГЛАСФОРД.4.Трипл. чер</t>
  </si>
  <si>
    <t>ДП ГЛАСФОРД.5.Трипл. мат</t>
  </si>
  <si>
    <t>ДП ГЛАСФОРД.5.Трипл. чер</t>
  </si>
  <si>
    <t>ФР Standard.Бронза</t>
  </si>
  <si>
    <t>ДП ЛАДА-НОВА.7/1.Сатин</t>
  </si>
  <si>
    <t>ДП ЛАДА-НОВА.7/2.Сатин</t>
  </si>
  <si>
    <t>ДП ЛАДА-НОВА.8/1.Сатин</t>
  </si>
  <si>
    <t>ДП ПОЛЛО.3/2.Сатин</t>
  </si>
  <si>
    <t>КД Standard-MDF.1.Verto-Cell</t>
  </si>
  <si>
    <t>КД Standard-MDF.1.Резист</t>
  </si>
  <si>
    <t>КД Standard-MDF.1.LINE-3D</t>
  </si>
  <si>
    <t>КД Verto-FIT Plus.A.Verto-Cell</t>
  </si>
  <si>
    <t>КД Verto-FIT Plus.B.Verto-Cell</t>
  </si>
  <si>
    <t>КД Verto-FIT Plus.C.Verto-Cell</t>
  </si>
  <si>
    <t>КД Verto-FIT Plus.D.Verto-Cell</t>
  </si>
  <si>
    <t>КД Verto-FIT Plus.E.Verto-Cell</t>
  </si>
  <si>
    <t>КД Verto-FIT Plus.F.Verto-Cell</t>
  </si>
  <si>
    <t>КД Verto-FIT Plus.G.Verto-Cell</t>
  </si>
  <si>
    <t>КД Verto-FIT Plus.H.Verto-Cell</t>
  </si>
  <si>
    <t>КД Verto-FIT Plus.I.Verto-Cell</t>
  </si>
  <si>
    <t>КД Verto-FIT Plus.A.Резист</t>
  </si>
  <si>
    <t>КД Verto-FIT Plus.B.Резист</t>
  </si>
  <si>
    <t>КД Verto-FIT Plus.C.Резист</t>
  </si>
  <si>
    <t>КД Verto-FIT Plus.D.Резист</t>
  </si>
  <si>
    <t>КД Verto-FIT Plus.E.Резист</t>
  </si>
  <si>
    <t>КД Verto-FIT Plus.F.Резист</t>
  </si>
  <si>
    <t>КД Verto-FIT Plus.G.Резист</t>
  </si>
  <si>
    <t>ДП ЛАДА-НОВА.4/9.Сатин</t>
  </si>
  <si>
    <t>Verto-FIT Comfort</t>
  </si>
  <si>
    <t>Verto-FIT Comfort.60</t>
  </si>
  <si>
    <t>Verto-FIT Comfort.70</t>
  </si>
  <si>
    <t>Verto-FIT Comfort.80</t>
  </si>
  <si>
    <t>Verto-FIT Comfort.90</t>
  </si>
  <si>
    <t>Verto-FIT Comfort.100</t>
  </si>
  <si>
    <t>КД Verto-FIT Comfort.A.Verto-Cell</t>
  </si>
  <si>
    <t>КД Verto-FIT Comfort.B.Verto-Cell</t>
  </si>
  <si>
    <t>КД Verto-FIT Comfort.C.Verto-Cell</t>
  </si>
  <si>
    <t>КД Verto-FIT Comfort.D.Verto-Cell</t>
  </si>
  <si>
    <t>КД Verto-FIT Comfort.E.Verto-Cell</t>
  </si>
  <si>
    <t>КД Verto-FIT Comfort.F.Verto-Cell</t>
  </si>
  <si>
    <t>КД Verto-FIT Comfort.G.Verto-Cell</t>
  </si>
  <si>
    <t>КД Verto-FIT Comfort.H.Verto-Cell</t>
  </si>
  <si>
    <t>КД Verto-FIT Comfort.I.Verto-Cell</t>
  </si>
  <si>
    <t>КД Verto-FIT Comfort.A.Резист</t>
  </si>
  <si>
    <t>КД Verto-FIT Comfort.B.Резист</t>
  </si>
  <si>
    <t>КД Verto-FIT Comfort.C.Резист</t>
  </si>
  <si>
    <t>КД Verto-FIT Comfort.D.Резист</t>
  </si>
  <si>
    <t>КД Verto-FIT Comfort.E.Резист</t>
  </si>
  <si>
    <t>КД Verto-FIT Comfort.F.Резист</t>
  </si>
  <si>
    <t>КД Verto-FIT Comfort.G.Резист</t>
  </si>
  <si>
    <t>КД Verto-FIT Comfort.H.Резист</t>
  </si>
  <si>
    <t>КД Verto-FIT Comfort.I.Резист</t>
  </si>
  <si>
    <t>КД Verto-FIT Comfort.A.LINE-3D</t>
  </si>
  <si>
    <t>КД Verto-FIT Comfort.B.LINE-3D</t>
  </si>
  <si>
    <t>КД Verto-FIT Comfort.C.LINE-3D</t>
  </si>
  <si>
    <t>КД Verto-FIT Comfort.D.LINE-3D</t>
  </si>
  <si>
    <t>КД Verto-FIT Comfort.E.LINE-3D</t>
  </si>
  <si>
    <t>КД Verto-FIT Comfort.F.LINE-3D</t>
  </si>
  <si>
    <t>КД Verto-FIT Comfort.G.LINE-3D</t>
  </si>
  <si>
    <t>КД Verto-FIT Comfort.H.LINE-3D</t>
  </si>
  <si>
    <t>КД Verto-FIT Comfort.I.LINE-3D</t>
  </si>
  <si>
    <t>Завіса-накладна</t>
  </si>
  <si>
    <t>Standard-MDF</t>
  </si>
  <si>
    <t>Standard-MDF.60</t>
  </si>
  <si>
    <t>Standard-MDF.70</t>
  </si>
  <si>
    <t>Standard-MDF.80</t>
  </si>
  <si>
    <t>х2</t>
  </si>
  <si>
    <t>х8</t>
  </si>
  <si>
    <t>08</t>
  </si>
  <si>
    <t>63</t>
  </si>
  <si>
    <t>ДП ЛАДА-КОНЦЕПТ.3/3.Verto-Cell</t>
  </si>
  <si>
    <t>ДП ЛАДА-КОНЦЕПТ.4/0.Verto-Cell</t>
  </si>
  <si>
    <t>ДП ЛАДА-КОНЦЕПТ.4/4.Verto-Cell</t>
  </si>
  <si>
    <t>ДП ЛАДА-КОНЦЕПТ.5/1.Verto-Cell</t>
  </si>
  <si>
    <t>ДП ЛАДА-КОНЦЕПТ.5/2.Verto-Cell</t>
  </si>
  <si>
    <t>ДП ЛАДА-КОНЦЕПТ.5/3.Verto-Cell</t>
  </si>
  <si>
    <t>ДП ЛАДА-НОВА.4/0.Verto-Cell</t>
  </si>
  <si>
    <t>ДП ЛАДА-НОВА.4/3.Verto-Cell</t>
  </si>
  <si>
    <t>ДП ЛАДА-НОВА.4/6.Verto-Cell</t>
  </si>
  <si>
    <t>ДП ЛАДА-НОВА.4/9.Verto-Cell</t>
  </si>
  <si>
    <t>ДП ЛАДА-НОВА.6А/1.Verto-Cell</t>
  </si>
  <si>
    <t>ДП ЛАДА-НОВА.6А/5.Verto-Cell</t>
  </si>
  <si>
    <t>ДП ЛАДА-НОВА.7/1.Verto-Cell</t>
  </si>
  <si>
    <t>ДП ЛАДА-НОВА.7/2.Verto-Cell</t>
  </si>
  <si>
    <t>ДП ГОРДАНА.ВП</t>
  </si>
  <si>
    <t>ДП ЛАДА-КОНЦЕПТ.ВП</t>
  </si>
  <si>
    <t>ДП ЛАДА-НОВА.ВП</t>
  </si>
  <si>
    <t>ДП ПОЛЛО.ВП</t>
  </si>
  <si>
    <t>ДП РУТА.ВП</t>
  </si>
  <si>
    <t>ДП РУТА-FUSION.ВП</t>
  </si>
  <si>
    <t>ДП СТАНДАРТ.ВП</t>
  </si>
  <si>
    <t>мод: 6/0</t>
  </si>
  <si>
    <t>мод: 6/1</t>
  </si>
  <si>
    <t>мод: 6/3</t>
  </si>
  <si>
    <t>мод: 6/6</t>
  </si>
  <si>
    <t>мод: 6А/1</t>
  </si>
  <si>
    <t>мод: 6А/5</t>
  </si>
  <si>
    <t>мод: 2А/1</t>
  </si>
  <si>
    <t>мод: 3А/1</t>
  </si>
  <si>
    <t>мод: А</t>
  </si>
  <si>
    <t>мод: Б</t>
  </si>
  <si>
    <t>мод: 1/2</t>
  </si>
  <si>
    <t>мод: 3/4</t>
  </si>
  <si>
    <t>мод: 3/6</t>
  </si>
  <si>
    <t>мод: 4/5</t>
  </si>
  <si>
    <t>мод: 4/6</t>
  </si>
  <si>
    <t>мод: 4/9</t>
  </si>
  <si>
    <t>мод: 1/А</t>
  </si>
  <si>
    <t>мод: 1/Б</t>
  </si>
  <si>
    <t>мод: 2/А</t>
  </si>
  <si>
    <t>мод: 2/Б</t>
  </si>
  <si>
    <t>мод: 1</t>
  </si>
  <si>
    <t>мод: 2</t>
  </si>
  <si>
    <t>мод: 3</t>
  </si>
  <si>
    <t>мод: 4</t>
  </si>
  <si>
    <t>мод: 5</t>
  </si>
  <si>
    <t>мод: 6</t>
  </si>
  <si>
    <t>форма</t>
  </si>
  <si>
    <t>лист1</t>
  </si>
  <si>
    <t>ИСПОЛНЕНИЕ/РАЗМЕР</t>
  </si>
  <si>
    <t>ДП КУПАВА.3/0.Verto-Cell</t>
  </si>
  <si>
    <t>ДП КУПАВА.3/1.Verto-Cell</t>
  </si>
  <si>
    <t>ДП КУПАВА.4/0.Verto-Cell</t>
  </si>
  <si>
    <t>ДП КУПАВА.4/1.Verto-Cell</t>
  </si>
  <si>
    <t>СЕРИЯ/ФУРНИТУРА</t>
  </si>
  <si>
    <t>итого</t>
  </si>
  <si>
    <t>33</t>
  </si>
  <si>
    <t>34</t>
  </si>
  <si>
    <t>ДП100</t>
  </si>
  <si>
    <t>КД Verto-FIT Comfort</t>
  </si>
  <si>
    <t>КД Verto-FIT Comfort.A</t>
  </si>
  <si>
    <t>КД Verto-FIT Comfort.B</t>
  </si>
  <si>
    <t>КД Verto-FIT Comfort.C</t>
  </si>
  <si>
    <t>КД Verto-FIT Comfort.D</t>
  </si>
  <si>
    <t>КД Verto-FIT Comfort.E</t>
  </si>
  <si>
    <t>КД Verto-FIT Comfort.F</t>
  </si>
  <si>
    <t>КД Verto-FIT Comfort.G</t>
  </si>
  <si>
    <t>КД Verto-FIT Comfort.H</t>
  </si>
  <si>
    <t>КД Verto-FIT Comfort.I</t>
  </si>
  <si>
    <t>Лутка РК075</t>
  </si>
  <si>
    <t>Лутка РК095</t>
  </si>
  <si>
    <t>Лутка РК120</t>
  </si>
  <si>
    <t>Лутка РК140</t>
  </si>
  <si>
    <t>Лутка РК160</t>
  </si>
  <si>
    <t>Лутка РК180</t>
  </si>
  <si>
    <t>Лутка РК200</t>
  </si>
  <si>
    <t>Лутка РК220</t>
  </si>
  <si>
    <t>Лутка РК240</t>
  </si>
  <si>
    <t>ДП ЛАДА-КОНЦЕПТ.4/4</t>
  </si>
  <si>
    <t>ДП ЛАДА-КОНЦЕПТ.5/1</t>
  </si>
  <si>
    <t>ДП ЛАДА-КОНЦЕПТ.5/2</t>
  </si>
  <si>
    <t>ДП ЛАДА-КОНЦЕПТ.5/3</t>
  </si>
  <si>
    <t>ДП ЛАДА-ЛОФТ.1/0</t>
  </si>
  <si>
    <t>ДП Лада-Лофт</t>
  </si>
  <si>
    <t>ДП ЛАДА-ЛОФТ.1/1</t>
  </si>
  <si>
    <t>ДП ЛАДА-ЛОФТ.3/0</t>
  </si>
  <si>
    <t>ДП ЛАДА-ЛОФТ.3/1</t>
  </si>
  <si>
    <t>ДП ЛАДА-ЛОФТ.4/0</t>
  </si>
  <si>
    <t>ДП ЛАДА-ЛОФТ.5/0</t>
  </si>
  <si>
    <t>ДП ЛАДА-ЛОФТ.5/1</t>
  </si>
  <si>
    <t>ДП ЛАДА-ЛОФТ.6/0</t>
  </si>
  <si>
    <t>ДП ЛАДА-ЛОФТ.6/1</t>
  </si>
  <si>
    <t>ДП ЛАДА-ЛОФТ</t>
  </si>
  <si>
    <t>ДП ЛАДА-ЛОФТ.4/1</t>
  </si>
  <si>
    <t>ДП ЛАДА-ЛОФТ.6/1.LINE-3D</t>
  </si>
  <si>
    <t>ДП ЛАДА-ЛОФТ.6/0.LINE-3D</t>
  </si>
  <si>
    <t>ДП ЛАДА-ЛОФТ.5/1.LINE-3D</t>
  </si>
  <si>
    <t>ДП ЛАДА-ЛОФТ.5/0.LINE-3D</t>
  </si>
  <si>
    <t>ДП ЛАДА-ЛОФТ.4/1.LINE-3D</t>
  </si>
  <si>
    <t>ДП ЛАДА-ЛОФТ.4/0.LINE-3D</t>
  </si>
  <si>
    <t>ДП ЛАДА-ЛОФТ.3/1.LINE-3D</t>
  </si>
  <si>
    <t>ДП ЛАДА-ЛОФТ.3/0.LINE-3D</t>
  </si>
  <si>
    <t>ДП ЛАДА-ЛОФТ.1/1.LINE-3D</t>
  </si>
  <si>
    <t>ДП ЛАДА-ЛОФТ.1/0.LINE-3D</t>
  </si>
  <si>
    <t>ДП ЛАДА-ЛОФТ.6/1.Резист</t>
  </si>
  <si>
    <t>ДП ЛАДА-ЛОФТ.6/0.Резист</t>
  </si>
  <si>
    <t>ДП ЛАДА-ЛОФТ.5/1.Резист</t>
  </si>
  <si>
    <t>ДП ЛАДА-ЛОФТ.5/0.Резист</t>
  </si>
  <si>
    <t>ДП ЛАДА-ЛОФТ.4/1.Резист</t>
  </si>
  <si>
    <t>ДП ЛАДА-ЛОФТ.4/0.Резист</t>
  </si>
  <si>
    <t>ДП ЛАДА-ЛОФТ.3/1.Резист</t>
  </si>
  <si>
    <t>ДП ЛАДА-ЛОФТ.3/0.Резист</t>
  </si>
  <si>
    <t>ДП ЛАДА-ЛОФТ.1/1.Резист</t>
  </si>
  <si>
    <t>ДП ЛАДА-ЛОФТ.1/0.Резист</t>
  </si>
  <si>
    <t>ДП ЛАДА-ЛОФТ.1/0.Verto-Cell</t>
  </si>
  <si>
    <t>ДП ЛАДА-ЛОФТ.1/1.Verto-Cell</t>
  </si>
  <si>
    <t>ДП ЛАДА-ЛОФТ.3/0.Verto-Cell</t>
  </si>
  <si>
    <t>ДП ЛАДА-ЛОФТ.3/1.Verto-Cell</t>
  </si>
  <si>
    <t>ДП ЛАДА-ЛОФТ.4/0.Verto-Cell</t>
  </si>
  <si>
    <t>ДП ЛАДА-ЛОФТ.4/1.Verto-Cell</t>
  </si>
  <si>
    <t>ДП ЛАДА-ЛОФТ.5/0.Verto-Cell</t>
  </si>
  <si>
    <t>ДП ЛАДА-ЛОФТ.5/1.Verto-Cell</t>
  </si>
  <si>
    <t>ДП ЛАДА-ЛОФТ.6/0.Verto-Cell</t>
  </si>
  <si>
    <t>ДП ЛАДА-ЛОФТ.6/1.Verto-Cell</t>
  </si>
  <si>
    <t>Планка Verto-FIT 200мм.Verto-Cell</t>
  </si>
  <si>
    <t>Планка Verto-FIT 200мм.Резист</t>
  </si>
  <si>
    <t>Планка Verto-FIT 200мм.LINE-3D</t>
  </si>
  <si>
    <t>Лиштва М80</t>
  </si>
  <si>
    <t>Планка Verto-FIT 200мм</t>
  </si>
  <si>
    <t>Дошивка Р200</t>
  </si>
  <si>
    <t>Планка Verto-FIT 200мм.60</t>
  </si>
  <si>
    <t>Планка Verto-FIT 200мм.70</t>
  </si>
  <si>
    <t>Планка Verto-FIT 200мм.80</t>
  </si>
  <si>
    <t>Планка Verto-FIT 200мм.90</t>
  </si>
  <si>
    <t>Планка Verto-FIT 200мм.100</t>
  </si>
  <si>
    <t>Планка Verto-FIT 200мм.(100)</t>
  </si>
  <si>
    <t>Планка Verto-FIT 200мм.(110)</t>
  </si>
  <si>
    <t>Планка Verto-FIT 200мм.(120)</t>
  </si>
  <si>
    <t>Планка Verto-FIT 200мм.(130)</t>
  </si>
  <si>
    <t>Планка Verto-FIT 200мм.(140)</t>
  </si>
  <si>
    <t>Планка Verto-FIT 200мм.(150)</t>
  </si>
  <si>
    <t>Планка Verto-FIT 200мм.(160)</t>
  </si>
  <si>
    <t>Планка Verto-FIT 200мм.(170)</t>
  </si>
  <si>
    <t>Планка Verto-FIT 200мм.(180)</t>
  </si>
  <si>
    <t>М80 1кт</t>
  </si>
  <si>
    <t>М80 2кт</t>
  </si>
  <si>
    <t>ДП ЛАДА-ЛОФТ.1/1.Сатин</t>
  </si>
  <si>
    <t>ДП ЛАДА-ЛОФТ.3/1.Сатин</t>
  </si>
  <si>
    <t>ДП ЛАДА-ЛОФТ.4/1.Сатин</t>
  </si>
  <si>
    <t>ДП ЛАДА-ЛОФТ.5/1.Сатин</t>
  </si>
  <si>
    <t>ДП ЛАДА-ЛОФТ.6/1.Сатин</t>
  </si>
  <si>
    <t>ДП ЛАДА-ЛОФТ.1/1.Бронза</t>
  </si>
  <si>
    <t>ДП ЛАДА-ЛОФТ.3/1.Бронза</t>
  </si>
  <si>
    <t>ДП ЛАДА-ЛОФТ.4/1.Бронза</t>
  </si>
  <si>
    <t>ДП ЛАДА-ЛОФТ.5/1.Бронза</t>
  </si>
  <si>
    <t>ДП ЛАДА-ЛОФТ.6/1.Бронза</t>
  </si>
  <si>
    <t>ДП ЛАДА-ЛОФТ.Ручка-Захват</t>
  </si>
  <si>
    <t>ДП ЛАДА-ЛОФТ.</t>
  </si>
  <si>
    <t>ДП ЛАДА-ЛОФТ.ВП</t>
  </si>
  <si>
    <t>ДП ЛАДА-ЛОФТ.100</t>
  </si>
  <si>
    <t>ДП ЛАДА-ЛОФТ.Ручка-Замок</t>
  </si>
  <si>
    <t>ДП ЛАДА-ЛОФТ.4/0.Сатин</t>
  </si>
  <si>
    <t>ДП ЛАДА-ЛОФТ.4/0.Бронза</t>
  </si>
  <si>
    <t>ДП ЛАДА-ЛОФТ.5/0.Сатин</t>
  </si>
  <si>
    <t>ДП ЛАДА-ЛОФТ.5/0.Бронза</t>
  </si>
  <si>
    <t>ДП ЛАДА-ЛОФТ.6/0.Сатин</t>
  </si>
  <si>
    <t>ДП ЛАДА-ЛОФТ.6/0.Бронза</t>
  </si>
  <si>
    <t>ДП Тренд</t>
  </si>
  <si>
    <t>ДП Модерн</t>
  </si>
  <si>
    <t>ДП ТРЕНД.</t>
  </si>
  <si>
    <t>ДП ТРЕНД.ВП</t>
  </si>
  <si>
    <t>ДП МОДЕРН.</t>
  </si>
  <si>
    <t>ДП МОДЕРН.ВП</t>
  </si>
  <si>
    <t>ДП ТРЕНД.100</t>
  </si>
  <si>
    <t>ДП МОДЕРН.100</t>
  </si>
  <si>
    <t>ДП ТРЕНД.Ручка-Замок</t>
  </si>
  <si>
    <t>ДП ТРЕНД.Ручка-Захват</t>
  </si>
  <si>
    <t>ДП МОДЕРН.Ручка-Захват</t>
  </si>
  <si>
    <t>ДП МОДЕРН.Ручка-Замок</t>
  </si>
  <si>
    <t>ДП ТРЕНД.5/0</t>
  </si>
  <si>
    <t>ДП ТРЕНД.5/1</t>
  </si>
  <si>
    <t>ДП ТРЕНД.5/2</t>
  </si>
  <si>
    <t>ДП ТРЕНД.5/3</t>
  </si>
  <si>
    <t>ДП ТРЕНД.5/4</t>
  </si>
  <si>
    <t>ДП ТРЕНД.5/5</t>
  </si>
  <si>
    <t>ДП ТРЕНД.5А/1</t>
  </si>
  <si>
    <t>ДП ТРЕНД.5А/2</t>
  </si>
  <si>
    <t>ДП ТРЕНД.5А/3</t>
  </si>
  <si>
    <t>ДП ТРЕНД.5Б/3</t>
  </si>
  <si>
    <t>ДП МОДЕРН.3/0</t>
  </si>
  <si>
    <t>ДП МОДЕРН.3/1</t>
  </si>
  <si>
    <t>ДП МОДЕРН.3/2</t>
  </si>
  <si>
    <t>ДП МОДЕРН.3/3</t>
  </si>
  <si>
    <t>ДП МОДЕРН.3А/1</t>
  </si>
  <si>
    <t>ДП МОДЕРН.3А/2</t>
  </si>
  <si>
    <t>ДП МОДЕРН.1/0</t>
  </si>
  <si>
    <t>ДП МОДЕРН.1/1</t>
  </si>
  <si>
    <t>КД Verto-FIT.B+</t>
  </si>
  <si>
    <t>КД Verto-FIT Plus.B+</t>
  </si>
  <si>
    <t>Лутка РП100</t>
  </si>
  <si>
    <t>Лутка Р100</t>
  </si>
  <si>
    <t>B+</t>
  </si>
  <si>
    <t>мод: B+</t>
  </si>
  <si>
    <t>Зр</t>
  </si>
  <si>
    <t>ДП ТРЕНД</t>
  </si>
  <si>
    <t>5А/1</t>
  </si>
  <si>
    <t>5А/2</t>
  </si>
  <si>
    <t>5А/3</t>
  </si>
  <si>
    <t>5Б/3</t>
  </si>
  <si>
    <t>ДП МОДЕРН</t>
  </si>
  <si>
    <t>ДП ТРЕНД.5/1.Сатин</t>
  </si>
  <si>
    <t>ДП ТРЕНД.5/1.Бронза</t>
  </si>
  <si>
    <t>ДП ТРЕНД.5/2.Сатин</t>
  </si>
  <si>
    <t>ДП ТРЕНД.5/2.Бронза</t>
  </si>
  <si>
    <t>ДП ТРЕНД.5/3.Сатин</t>
  </si>
  <si>
    <t>ДП ТРЕНД.5/3.Бронза</t>
  </si>
  <si>
    <t>ДП ТРЕНД.5/4.Сатин</t>
  </si>
  <si>
    <t>ДП ТРЕНД.5/4.Бронза</t>
  </si>
  <si>
    <t>ДП ТРЕНД.5А/1.Сатин</t>
  </si>
  <si>
    <t>ДП ТРЕНД.5А/3.Бронза</t>
  </si>
  <si>
    <t>ДП ТРЕНД.5А/1.Бронза</t>
  </si>
  <si>
    <t>ДП ТРЕНД.5А/2.Сатин</t>
  </si>
  <si>
    <t>ДП ТРЕНД.5А/2.Бронза</t>
  </si>
  <si>
    <t>ДП ТРЕНД.5А/3.Сатин</t>
  </si>
  <si>
    <t>ДП ТРЕНД.5Б/3.Сатин</t>
  </si>
  <si>
    <t>ДП ТРЕНД.5Б/3.Бронза</t>
  </si>
  <si>
    <t>ДП МОДЕРН.3/1.Сатин</t>
  </si>
  <si>
    <t>ДП МОДЕРН.3/1.Бронза</t>
  </si>
  <si>
    <t>ДП МОДЕРН.3/2.Сатин</t>
  </si>
  <si>
    <t>ДП МОДЕРН.3/2.Бронза</t>
  </si>
  <si>
    <t>ДП МОДЕРН.3/3.Сатин</t>
  </si>
  <si>
    <t>ДП МОДЕРН.3/3.Бронза</t>
  </si>
  <si>
    <t>ДП МОДЕРН.1/1.Сатин</t>
  </si>
  <si>
    <t>ДП МОДЕРН.1/1.Бронза</t>
  </si>
  <si>
    <t>ДП МОДЕРН.3А/1.Сатин</t>
  </si>
  <si>
    <t>ДП МОДЕРН.3А/1.Бронза</t>
  </si>
  <si>
    <t>ДП МОДЕРН.3А/2.Сатин</t>
  </si>
  <si>
    <t>ДП МОДЕРН.3А/2.Бронза</t>
  </si>
  <si>
    <t>ДП ТРЕНД.5/0.Verto-Cell</t>
  </si>
  <si>
    <t>ДП ТРЕНД.5/1.Verto-Cell</t>
  </si>
  <si>
    <t>ДП ТРЕНД.5/2.Verto-Cell</t>
  </si>
  <si>
    <t>ДП ТРЕНД.5/3.Verto-Cell</t>
  </si>
  <si>
    <t>ДП ТРЕНД.5/4.Verto-Cell</t>
  </si>
  <si>
    <t>ДП ТРЕНД.5/5.Verto-Cell</t>
  </si>
  <si>
    <t>ДП ТРЕНД.5А/1.Verto-Cell</t>
  </si>
  <si>
    <t>ДП ТРЕНД.5А/2.Verto-Cell</t>
  </si>
  <si>
    <t>ДП ТРЕНД.5А/3.Verto-Cell</t>
  </si>
  <si>
    <t>ДП ТРЕНД.5Б/3.Verto-Cell</t>
  </si>
  <si>
    <t>ДП ТРЕНД.5/0.Резист</t>
  </si>
  <si>
    <t>ДП ТРЕНД.5/1.Резист</t>
  </si>
  <si>
    <t>ДП ТРЕНД.5/2.Резист</t>
  </si>
  <si>
    <t>ДП ТРЕНД.5/3.Резист</t>
  </si>
  <si>
    <t>ДП ТРЕНД.5/4.Резист</t>
  </si>
  <si>
    <t>ДП ТРЕНД.5/5.Резист</t>
  </si>
  <si>
    <t>ДП ТРЕНД.5А/1.Резист</t>
  </si>
  <si>
    <t>ДП ТРЕНД.5А/2.Резист</t>
  </si>
  <si>
    <t>ДП ТРЕНД.5А/3.Резист</t>
  </si>
  <si>
    <t>ДП ТРЕНД.5Б/3.Резист</t>
  </si>
  <si>
    <t>ДП ТРЕНД.5/0.LINE-3D</t>
  </si>
  <si>
    <t>ДП ТРЕНД.5/1.LINE-3D</t>
  </si>
  <si>
    <t>ДП ТРЕНД.5/2.LINE-3D</t>
  </si>
  <si>
    <t>ДП ТРЕНД.5/4.LINE-3D</t>
  </si>
  <si>
    <t>ДП ТРЕНД.5А/2.LINE-3D</t>
  </si>
  <si>
    <t>ДП ТРЕНД.5А/3.LINE-3D</t>
  </si>
  <si>
    <t>ДП ТРЕНД.5Б/3.LINE-3D</t>
  </si>
  <si>
    <t>ДП ТРЕНД.5А/1.LINE-3D</t>
  </si>
  <si>
    <t>ДП ТРЕНД.5/5.LINE-3D</t>
  </si>
  <si>
    <t>ДП ТРЕНД.5/3.LINE-3D</t>
  </si>
  <si>
    <t>ДП МОДЕРН.1/0.Verto-Cell</t>
  </si>
  <si>
    <t>ДП МОДЕРН.1/1.Verto-Cell</t>
  </si>
  <si>
    <t>ДП МОДЕРН.3/0.Verto-Cell</t>
  </si>
  <si>
    <t>ДП МОДЕРН.3/1.Verto-Cell</t>
  </si>
  <si>
    <t>ДП МОДЕРН.3/2.Verto-Cell</t>
  </si>
  <si>
    <t>ДП МОДЕРН.3/3.Verto-Cell</t>
  </si>
  <si>
    <t>ДП МОДЕРН.3А/1.Verto-Cell</t>
  </si>
  <si>
    <t>ДП МОДЕРН.3А/2.Verto-Cell</t>
  </si>
  <si>
    <t>ДП МОДЕРН.1/0.Резист</t>
  </si>
  <si>
    <t>ДП МОДЕРН.1/1.Резист</t>
  </si>
  <si>
    <t>ДП МОДЕРН.3/0.Резист</t>
  </si>
  <si>
    <t>ДП МОДЕРН.3/1.Резист</t>
  </si>
  <si>
    <t>ДП МОДЕРН.3/2.Резист</t>
  </si>
  <si>
    <t>ДП МОДЕРН.3/3.Резист</t>
  </si>
  <si>
    <t>ДП МОДЕРН.3А/1.Резист</t>
  </si>
  <si>
    <t>ДП МОДЕРН.3А/2.Резист</t>
  </si>
  <si>
    <t>ДП МОДЕРН.1/0.LINE-3D</t>
  </si>
  <si>
    <t>ДП МОДЕРН.1/1.LINE-3D</t>
  </si>
  <si>
    <t>ДП МОДЕРН.3/0.LINE-3D</t>
  </si>
  <si>
    <t>ДП МОДЕРН.3/1.LINE-3D</t>
  </si>
  <si>
    <t>ДП МОДЕРН.3/2.LINE-3D</t>
  </si>
  <si>
    <t>ДП МОДЕРН.3/3.LINE-3D</t>
  </si>
  <si>
    <t>ДП МОДЕРН.3А/1.LINE-3D</t>
  </si>
  <si>
    <t>ДП МОДЕРН.3А/2.LINE-3D</t>
  </si>
  <si>
    <t>КД Verto-FIT.B+.Verto-Cell</t>
  </si>
  <si>
    <t>КД Verto-FIT.B+.Резист</t>
  </si>
  <si>
    <t>КД Verto-FIT.B+.LINE-3D</t>
  </si>
  <si>
    <t>КД Verto-FIT Comfort.B+</t>
  </si>
  <si>
    <t>Лутка РК115</t>
  </si>
  <si>
    <t>Планка Verto-FIT Comfort 200мм</t>
  </si>
  <si>
    <t>Дошивка РК200</t>
  </si>
  <si>
    <t>мод: 5А/1</t>
  </si>
  <si>
    <t>мод: 5А/2</t>
  </si>
  <si>
    <t>мод: 5А/3</t>
  </si>
  <si>
    <t>мод: 5Б/3</t>
  </si>
  <si>
    <t>Планка Verto-FIT Comfort 200мм.60</t>
  </si>
  <si>
    <t>Планка Verto-FIT Comfort 200мм.70</t>
  </si>
  <si>
    <t>Планка Verto-FIT Comfort 200мм.80</t>
  </si>
  <si>
    <t>Планка Verto-FIT Comfort 200мм.90</t>
  </si>
  <si>
    <t>Планка Verto-FIT Comfort 200мм.100</t>
  </si>
  <si>
    <t>ФР Verto-FIT.B+</t>
  </si>
  <si>
    <t>КД Verto-FIT Plus.B+.Verto-Cell</t>
  </si>
  <si>
    <t>КД Verto-FIT Plus.B+.Резист</t>
  </si>
  <si>
    <t>КД Verto-FIT Plus.B+.LINE-3D</t>
  </si>
  <si>
    <t>КД Verto-FIT Comfort.B+.Verto-Cell</t>
  </si>
  <si>
    <t>КД Verto-FIT Comfort.B+.Резист</t>
  </si>
  <si>
    <t>КД Verto-FIT Comfort.B+.LINE-3D</t>
  </si>
  <si>
    <t>ФР Verto-FIT.B+.Verto-Cell</t>
  </si>
  <si>
    <t>ФР Verto-FIT.B+.Резист</t>
  </si>
  <si>
    <t>ФР Verto-FIT.B+.LINE-3D</t>
  </si>
  <si>
    <t>Планка Verto-FIT Comfort 200мм.Verto-Cell</t>
  </si>
  <si>
    <t>Планка Verto-FIT Comfort 200мм.Резист</t>
  </si>
  <si>
    <t>Планка Verto-FIT Comfort 200мм.LINE-3D</t>
  </si>
  <si>
    <t>Фрамуга Р100</t>
  </si>
  <si>
    <t>Фрамуга: Verto-FIT (на ширину 100-120мм)</t>
  </si>
  <si>
    <t>ДП ТРЕНД.5/5.Сатин</t>
  </si>
  <si>
    <t>ДП ТРЕНД.5/5.Бронза</t>
  </si>
  <si>
    <t>Дошивка М200</t>
  </si>
  <si>
    <t>20-00</t>
  </si>
  <si>
    <t>шт.</t>
  </si>
  <si>
    <t>119 Дуб ретро</t>
  </si>
  <si>
    <t>120 Дуб невада</t>
  </si>
  <si>
    <t>Verto-Cell Plus</t>
  </si>
  <si>
    <t>1/3</t>
  </si>
  <si>
    <t>мод: 1/3</t>
  </si>
  <si>
    <t>3/5</t>
  </si>
  <si>
    <t>мод: 3/5</t>
  </si>
  <si>
    <t>4/7</t>
  </si>
  <si>
    <t>4/8</t>
  </si>
  <si>
    <t>5/6</t>
  </si>
  <si>
    <t>мод: 4/7</t>
  </si>
  <si>
    <t>мод: 4/8</t>
  </si>
  <si>
    <t>мод: 5/6</t>
  </si>
  <si>
    <t>6/2</t>
  </si>
  <si>
    <t>6/4</t>
  </si>
  <si>
    <t>мод: 6/2</t>
  </si>
  <si>
    <t>мод: 6/4</t>
  </si>
  <si>
    <t>8/4</t>
  </si>
  <si>
    <t>8/5</t>
  </si>
  <si>
    <t>мод: 8/4</t>
  </si>
  <si>
    <t>мод: 8/5</t>
  </si>
  <si>
    <t>ДП Лада A</t>
  </si>
  <si>
    <t>ДП Лада B</t>
  </si>
  <si>
    <t>ДП Лада C</t>
  </si>
  <si>
    <t>ДП Лада D</t>
  </si>
  <si>
    <t>ДП ЛАДА B.1/0</t>
  </si>
  <si>
    <t>ДП ЛАДА B.1/1</t>
  </si>
  <si>
    <t>ДП ЛАДА B.1/2</t>
  </si>
  <si>
    <t>ДП ЛАДА B.1/3</t>
  </si>
  <si>
    <t>ДП ЛАДА B.2/0</t>
  </si>
  <si>
    <t>ДП ЛАДА B.2/1</t>
  </si>
  <si>
    <t>ДП ЛАДА B.2/2</t>
  </si>
  <si>
    <t>ДП ЛАДА A.2А/0</t>
  </si>
  <si>
    <t>ДП ЛАДА A.2А/1</t>
  </si>
  <si>
    <t>ДП ЛАДА B.3/0</t>
  </si>
  <si>
    <t>ДП ЛАДА B.3/1</t>
  </si>
  <si>
    <t>ДП ЛАДА B.3/2</t>
  </si>
  <si>
    <t>ДП ЛАДА B.3/3</t>
  </si>
  <si>
    <t>ДП ЛАДА B.3/4</t>
  </si>
  <si>
    <t>ДП ЛАДА B.3/5</t>
  </si>
  <si>
    <t>ДП ЛАДА A.3А/0</t>
  </si>
  <si>
    <t>ДП ЛАДА A.3А/1</t>
  </si>
  <si>
    <t>ДП ЛАДА A.3А/2</t>
  </si>
  <si>
    <t>ДП ЛАДА C.4/0</t>
  </si>
  <si>
    <t>ДП ЛАДА C.4/1</t>
  </si>
  <si>
    <t>ДП ЛАДА C.4/2</t>
  </si>
  <si>
    <t>ДП ЛАДА C.4/3</t>
  </si>
  <si>
    <t>ДП ЛАДА C.4/4</t>
  </si>
  <si>
    <t>ДП ЛАДА C.4/5</t>
  </si>
  <si>
    <t>ДП ЛАДА C.4/6</t>
  </si>
  <si>
    <t>ДП ЛАДА C.4/7</t>
  </si>
  <si>
    <t>ДП ЛАДА C.4/8</t>
  </si>
  <si>
    <t>ДП ЛАДА C.5/0</t>
  </si>
  <si>
    <t>ДП ЛАДА C.5/1</t>
  </si>
  <si>
    <t>ДП ЛАДА C.5/2</t>
  </si>
  <si>
    <t>ДП ЛАДА C.5/3</t>
  </si>
  <si>
    <t>ДП ЛАДА C.5/4</t>
  </si>
  <si>
    <t>ДП ЛАДА C.5/5</t>
  </si>
  <si>
    <t>ДП ЛАДА C.5/6</t>
  </si>
  <si>
    <t>ДП ЛАДА D.6/0</t>
  </si>
  <si>
    <t>ДП ЛАДА D.6/1</t>
  </si>
  <si>
    <t>ДП ЛАДА D.6/2</t>
  </si>
  <si>
    <t>ДП ЛАДА D.6/3</t>
  </si>
  <si>
    <t>ДП ЛАДА D.6/4</t>
  </si>
  <si>
    <t>ДП ЛАДА D.7/0</t>
  </si>
  <si>
    <t>ДП ЛАДА D.7/1</t>
  </si>
  <si>
    <t>ДП ЛАДА D.7/2</t>
  </si>
  <si>
    <t>ДП ЛАДА A.8/0</t>
  </si>
  <si>
    <t>ДП ЛАДА A.8/1</t>
  </si>
  <si>
    <t>ДП ЛАДА A.8/2</t>
  </si>
  <si>
    <t>ДП ЛАДА A.8/3</t>
  </si>
  <si>
    <t>ДП ЛАДА A.8/4</t>
  </si>
  <si>
    <t>ДП ЛАДА A.8/5</t>
  </si>
  <si>
    <t>ДП ЛАДА B</t>
  </si>
  <si>
    <t>ДП ЛАДА A</t>
  </si>
  <si>
    <t>ДП ЛАДА D</t>
  </si>
  <si>
    <t>ДП ЛАДА C</t>
  </si>
  <si>
    <t>1/4</t>
  </si>
  <si>
    <t>1/5</t>
  </si>
  <si>
    <t>1/6</t>
  </si>
  <si>
    <t>1/7</t>
  </si>
  <si>
    <t>1/8</t>
  </si>
  <si>
    <t>мод: 1/4</t>
  </si>
  <si>
    <t>мод: 1/5</t>
  </si>
  <si>
    <t>мод: 1/6</t>
  </si>
  <si>
    <t>мод: 1/7</t>
  </si>
  <si>
    <t>мод: 1/8</t>
  </si>
  <si>
    <t>2/3</t>
  </si>
  <si>
    <t>мод: 2/3</t>
  </si>
  <si>
    <t>мод: 2/4</t>
  </si>
  <si>
    <t>2/4</t>
  </si>
  <si>
    <t>КД Verto-FIT.A.Verto-Cell Plus</t>
  </si>
  <si>
    <t>КД Verto-FIT.B.Verto-Cell Plus</t>
  </si>
  <si>
    <t>КД Verto-FIT.B+.Verto-Cell Plus</t>
  </si>
  <si>
    <t>КД Verto-FIT.C.Verto-Cell Plus</t>
  </si>
  <si>
    <t>КД Verto-FIT.D.Verto-Cell Plus</t>
  </si>
  <si>
    <t>КД Verto-FIT.E.Verto-Cell Plus</t>
  </si>
  <si>
    <t>КД Verto-FIT.F.Verto-Cell Plus</t>
  </si>
  <si>
    <t>КД Verto-FIT.G.Verto-Cell Plus</t>
  </si>
  <si>
    <t>КД Verto-FIT.H.Verto-Cell Plus</t>
  </si>
  <si>
    <t>КД Verto-FIT.I.Verto-Cell Plus</t>
  </si>
  <si>
    <t>КД Standard-MDF.1.Verto-Cell Plus</t>
  </si>
  <si>
    <t>КД Standard.1.Verto-Cell Plus</t>
  </si>
  <si>
    <t>КД Verto-FIT Plus.A.Verto-Cell Plus</t>
  </si>
  <si>
    <t>КД Verto-FIT Plus.B.Verto-Cell Plus</t>
  </si>
  <si>
    <t>КД Verto-FIT Plus.B+.Verto-Cell Plus</t>
  </si>
  <si>
    <t>КД Verto-FIT Plus.C.Verto-Cell Plus</t>
  </si>
  <si>
    <t>КД Verto-FIT Plus.D.Verto-Cell Plus</t>
  </si>
  <si>
    <t>КД Verto-FIT Plus.E.Verto-Cell Plus</t>
  </si>
  <si>
    <t>КД Verto-FIT Plus.F.Verto-Cell Plus</t>
  </si>
  <si>
    <t>КД Verto-FIT Plus.G.Verto-Cell Plus</t>
  </si>
  <si>
    <t>КД Verto-FIT Plus.H.Verto-Cell Plus</t>
  </si>
  <si>
    <t>КД Verto-FIT Plus.I.Verto-Cell Plus</t>
  </si>
  <si>
    <t>КД Verto-FIT Comfort.A.Verto-Cell Plus</t>
  </si>
  <si>
    <t>КД Verto-FIT Comfort.B.Verto-Cell Plus</t>
  </si>
  <si>
    <t>КД Verto-FIT Comfort.B+.Verto-Cell Plus</t>
  </si>
  <si>
    <t>КД Verto-FIT Comfort.C.Verto-Cell Plus</t>
  </si>
  <si>
    <t>КД Verto-FIT Comfort.D.Verto-Cell Plus</t>
  </si>
  <si>
    <t>КД Verto-FIT Comfort.E.Verto-Cell Plus</t>
  </si>
  <si>
    <t>КД Verto-FIT Comfort.F.Verto-Cell Plus</t>
  </si>
  <si>
    <t>КД Verto-FIT Comfort.G.Verto-Cell Plus</t>
  </si>
  <si>
    <t>КД Verto-FIT Comfort.H.Verto-Cell Plus</t>
  </si>
  <si>
    <t>КД Verto-FIT Comfort.I.Verto-Cell Plus</t>
  </si>
  <si>
    <t>ДП ЛАДА B.1/0.Verto-Cell</t>
  </si>
  <si>
    <t>ДП ЛАДА B.1/0.Резист</t>
  </si>
  <si>
    <t>ДП ЛАДА B.1/1.Verto-Cell</t>
  </si>
  <si>
    <t>ДП ЛАДА B.1/2.Verto-Cell</t>
  </si>
  <si>
    <t>ДП ЛАДА B.1/3.Verto-Cell</t>
  </si>
  <si>
    <t>ДП ЛАДА B.2/0.Verto-Cell</t>
  </si>
  <si>
    <t>ДП ЛАДА B.2/1.Verto-Cell</t>
  </si>
  <si>
    <t>ДП ЛАДА B.2/2.Verto-Cell</t>
  </si>
  <si>
    <t>ДП ЛАДА A.2А/0.Verto-Cell</t>
  </si>
  <si>
    <t>ДП ЛАДА A.2А/1.Verto-Cell</t>
  </si>
  <si>
    <t>ДП ЛАДА B.3/0.Verto-Cell</t>
  </si>
  <si>
    <t>ДП ЛАДА B.3/1.Verto-Cell</t>
  </si>
  <si>
    <t>ДП ЛАДА B.3/2.Verto-Cell</t>
  </si>
  <si>
    <t>ДП ЛАДА B.3/3.Verto-Cell</t>
  </si>
  <si>
    <t>ДП ЛАДА B.3/4.Verto-Cell</t>
  </si>
  <si>
    <t>ДП ЛАДА B.3/5.Verto-Cell</t>
  </si>
  <si>
    <t>ДП ЛАДА A.3А/0.Verto-Cell</t>
  </si>
  <si>
    <t>ДП ЛАДА A.3А/1.Verto-Cell</t>
  </si>
  <si>
    <t>ДП ЛАДА A.3А/2.Verto-Cell</t>
  </si>
  <si>
    <t>ДП ЛАДА C.4/0.Verto-Cell</t>
  </si>
  <si>
    <t>ДП ЛАДА C.4/1.Verto-Cell</t>
  </si>
  <si>
    <t>ДП ЛАДА C.4/2.Verto-Cell</t>
  </si>
  <si>
    <t>ДП ЛАДА C.4/3.Verto-Cell</t>
  </si>
  <si>
    <t>ДП ЛАДА C.4/4.Verto-Cell</t>
  </si>
  <si>
    <t>ДП ЛАДА C.4/5.Verto-Cell</t>
  </si>
  <si>
    <t>ДП ЛАДА C.4/6.Verto-Cell</t>
  </si>
  <si>
    <t>ДП ЛАДА C.4/7.Verto-Cell</t>
  </si>
  <si>
    <t>ДП ЛАДА C.4/8.Verto-Cell</t>
  </si>
  <si>
    <t>ДП ЛАДА C.5/0.Verto-Cell</t>
  </si>
  <si>
    <t>ДП ЛАДА C.5/1.Verto-Cell</t>
  </si>
  <si>
    <t>ДП ЛАДА C.5/2.Verto-Cell</t>
  </si>
  <si>
    <t>ДП ЛАДА C.5/3.Verto-Cell</t>
  </si>
  <si>
    <t>ДП ЛАДА C.5/4.Verto-Cell</t>
  </si>
  <si>
    <t>ДП ЛАДА C.5/5.Verto-Cell</t>
  </si>
  <si>
    <t>ДП ЛАДА C.5/6.Verto-Cell</t>
  </si>
  <si>
    <t>ДП ЛАДА D.6/0.Verto-Cell</t>
  </si>
  <si>
    <t>ДП ЛАДА D.6/1.Verto-Cell</t>
  </si>
  <si>
    <t>ДП ЛАДА D.6/2.Verto-Cell</t>
  </si>
  <si>
    <t>ДП ЛАДА D.6/3.Verto-Cell</t>
  </si>
  <si>
    <t>ДП ЛАДА D.6/4.Verto-Cell</t>
  </si>
  <si>
    <t>ДП ЛАДА D.7/0.Verto-Cell</t>
  </si>
  <si>
    <t>ДП ЛАДА D.7/1.Verto-Cell</t>
  </si>
  <si>
    <t>ДП ЛАДА D.7/2.Verto-Cell</t>
  </si>
  <si>
    <t>ДП ЛАДА A.8/0.Verto-Cell</t>
  </si>
  <si>
    <t>ДП ЛАДА A.8/1.Verto-Cell</t>
  </si>
  <si>
    <t>ДП ЛАДА A.8/2.Verto-Cell</t>
  </si>
  <si>
    <t>ДП ЛАДА A.8/3.Verto-Cell</t>
  </si>
  <si>
    <t>ДП ЛАДА A.8/4.Verto-Cell</t>
  </si>
  <si>
    <t>ДП ЛАДА A.8/5.Verto-Cell</t>
  </si>
  <si>
    <t>ДП ЛАДА B.1/1.Резист</t>
  </si>
  <si>
    <t>ДП ЛАДА B.1/2.Резист</t>
  </si>
  <si>
    <t>ДП ЛАДА B.1/3.Резист</t>
  </si>
  <si>
    <t>ДП ЛАДА B.2/0.Резист</t>
  </si>
  <si>
    <t>ДП ЛАДА B.2/1.Резист</t>
  </si>
  <si>
    <t>ДП ЛАДА B.2/2.Резист</t>
  </si>
  <si>
    <t>ДП ЛАДА A.2А/0.Резист</t>
  </si>
  <si>
    <t>ДП ЛАДА A.2А/1.Резист</t>
  </si>
  <si>
    <t>ДП ЛАДА B.3/0.Резист</t>
  </si>
  <si>
    <t>ДП ЛАДА B.3/1.Резист</t>
  </si>
  <si>
    <t>ДП ЛАДА B.3/2.Резист</t>
  </si>
  <si>
    <t>ДП ЛАДА B.3/3.Резист</t>
  </si>
  <si>
    <t>ДП ЛАДА B.3/4.Резист</t>
  </si>
  <si>
    <t>ДП ЛАДА B.3/5.Резист</t>
  </si>
  <si>
    <t>ДП ЛАДА A.3А/0.Резист</t>
  </si>
  <si>
    <t>ДП ЛАДА A.3А/1.Резист</t>
  </si>
  <si>
    <t>ДП ЛАДА A.3А/2.Резист</t>
  </si>
  <si>
    <t>ДП ЛАДА C.4/0.Резист</t>
  </si>
  <si>
    <t>ДП ЛАДА C.4/1.Резист</t>
  </si>
  <si>
    <t>ДП ЛАДА C.4/2.Резист</t>
  </si>
  <si>
    <t>ДП ЛАДА C.4/3.Резист</t>
  </si>
  <si>
    <t>ДП ЛАДА C.4/4.Резист</t>
  </si>
  <si>
    <t>ДП ЛАДА C.4/5.Резист</t>
  </si>
  <si>
    <t>ДП ЛАДА C.4/6.Резист</t>
  </si>
  <si>
    <t>ДП ЛАДА C.4/7.Резист</t>
  </si>
  <si>
    <t>ДП ЛАДА C.4/8.Резист</t>
  </si>
  <si>
    <t>ДП ЛАДА C.5/0.Резист</t>
  </si>
  <si>
    <t>ДП ЛАДА C.5/1.Резист</t>
  </si>
  <si>
    <t>ДП ЛАДА C.5/2.Резист</t>
  </si>
  <si>
    <t>ДП ЛАДА C.5/6.Резист</t>
  </si>
  <si>
    <t>ДП ЛАДА C.5/3.Резист</t>
  </si>
  <si>
    <t>ДП ЛАДА C.5/4.Резист</t>
  </si>
  <si>
    <t>ДП ЛАДА C.5/5.Резист</t>
  </si>
  <si>
    <t>ДП ЛАДА D.6/0.Резист</t>
  </si>
  <si>
    <t>ДП ЛАДА D.6/1.Резист</t>
  </si>
  <si>
    <t>ДП ЛАДА D.6/2.Резист</t>
  </si>
  <si>
    <t>ДП ЛАДА D.6/3.Резист</t>
  </si>
  <si>
    <t>ДП ЛАДА D.6/4.Резист</t>
  </si>
  <si>
    <t>ДП ЛАДА D.7/0.Резист</t>
  </si>
  <si>
    <t>ДП ЛАДА D.7/1.Резист</t>
  </si>
  <si>
    <t>ДП ЛАДА D.7/2.Резист</t>
  </si>
  <si>
    <t>ДП ЛАДА A.8/0.Резист</t>
  </si>
  <si>
    <t>ДП ЛАДА A.8/1.Резист</t>
  </si>
  <si>
    <t>ДП ЛАДА A.8/2.Резист</t>
  </si>
  <si>
    <t>ДП ЛАДА A.8/3.Резист</t>
  </si>
  <si>
    <t>ДП ЛАДА A.8/4.Резист</t>
  </si>
  <si>
    <t>ДП ЛАДА A.8/5.Резист</t>
  </si>
  <si>
    <t>ДП ЛАДА B.1/0.LINE-3D</t>
  </si>
  <si>
    <t>ДП ЛАДА B.1/1.LINE-3D</t>
  </si>
  <si>
    <t>ДП ЛАДА B.1/2.LINE-3D</t>
  </si>
  <si>
    <t>ДП ЛАДА B.1/3.LINE-3D</t>
  </si>
  <si>
    <t>ДП ЛАДА B.2/0.LINE-3D</t>
  </si>
  <si>
    <t>ДП ЛАДА B.2/1.LINE-3D</t>
  </si>
  <si>
    <t>ДП ЛАДА B.2/2.LINE-3D</t>
  </si>
  <si>
    <t>ДП ЛАДА A.2А/0.LINE-3D</t>
  </si>
  <si>
    <t>ДП ЛАДА A.2А/1.LINE-3D</t>
  </si>
  <si>
    <t>ДП ЛАДА B.3/0.LINE-3D</t>
  </si>
  <si>
    <t>ДП ЛАДА B.3/1.LINE-3D</t>
  </si>
  <si>
    <t>ДП ЛАДА B.3/2.LINE-3D</t>
  </si>
  <si>
    <t>ДП ЛАДА B.3/3.LINE-3D</t>
  </si>
  <si>
    <t>ДП ЛАДА B.3/4.LINE-3D</t>
  </si>
  <si>
    <t>ДП ЛАДА B.3/5.LINE-3D</t>
  </si>
  <si>
    <t>ДП ЛАДА A.3А/0.LINE-3D</t>
  </si>
  <si>
    <t>ДП ЛАДА A.3А/1.LINE-3D</t>
  </si>
  <si>
    <t>ДП ЛАДА A.3А/2.LINE-3D</t>
  </si>
  <si>
    <t>ДП ЛАДА C.4/0.LINE-3D</t>
  </si>
  <si>
    <t>ДП ЛАДА C.4/1.LINE-3D</t>
  </si>
  <si>
    <t>ДП ЛАДА C.4/2.LINE-3D</t>
  </si>
  <si>
    <t>ДП ЛАДА C.4/3.LINE-3D</t>
  </si>
  <si>
    <t>ДП ЛАДА C.4/4.LINE-3D</t>
  </si>
  <si>
    <t>ДП ЛАДА C.4/5.LINE-3D</t>
  </si>
  <si>
    <t>ДП ЛАДА C.4/6.LINE-3D</t>
  </si>
  <si>
    <t>ДП ЛАДА C.4/7.LINE-3D</t>
  </si>
  <si>
    <t>ДП ЛАДА C.4/8.LINE-3D</t>
  </si>
  <si>
    <t>ДП ЛАДА C.5/0.LINE-3D</t>
  </si>
  <si>
    <t>ДП ЛАДА C.5/1.LINE-3D</t>
  </si>
  <si>
    <t>ДП ЛАДА C.5/2.LINE-3D</t>
  </si>
  <si>
    <t>ДП ЛАДА C.5/3.LINE-3D</t>
  </si>
  <si>
    <t>ДП ЛАДА C.5/4.LINE-3D</t>
  </si>
  <si>
    <t>ДП ЛАДА C.5/5.LINE-3D</t>
  </si>
  <si>
    <t>ДП ЛАДА C.5/6.LINE-3D</t>
  </si>
  <si>
    <t>ДП ЛАДА D.6/0.LINE-3D</t>
  </si>
  <si>
    <t>ДП ЛАДА D.6/1.LINE-3D</t>
  </si>
  <si>
    <t>ДП ЛАДА D.6/2.LINE-3D</t>
  </si>
  <si>
    <t>ДП ЛАДА D.6/3.LINE-3D</t>
  </si>
  <si>
    <t>ДП ЛАДА D.6/4.LINE-3D</t>
  </si>
  <si>
    <t>ДП ЛАДА D.7/0.LINE-3D</t>
  </si>
  <si>
    <t>ДП ЛАДА D.7/1.LINE-3D</t>
  </si>
  <si>
    <t>ДП ЛАДА D.7/2.LINE-3D</t>
  </si>
  <si>
    <t>ДП ЛАДА A.8/0.LINE-3D</t>
  </si>
  <si>
    <t>ДП ЛАДА A.8/1.LINE-3D</t>
  </si>
  <si>
    <t>ДП ЛАДА A.8/2.LINE-3D</t>
  </si>
  <si>
    <t>ДП ЛАДА A.8/3.LINE-3D</t>
  </si>
  <si>
    <t>ДП ЛАДА A.8/4.LINE-3D</t>
  </si>
  <si>
    <t>ДП ЛАДА A.8/5.LINE-3D</t>
  </si>
  <si>
    <t>РС Verto-SLIDE.1.Verto-Cell Plus</t>
  </si>
  <si>
    <t>ФР Standard.1.Verto-Cell Plus</t>
  </si>
  <si>
    <t>ФР Verto-FIT.A.Verto-Cell Plus</t>
  </si>
  <si>
    <t>ФР Verto-FIT.B.Verto-Cell Plus</t>
  </si>
  <si>
    <t>ФР Verto-FIT.B+.Verto-Cell Plus</t>
  </si>
  <si>
    <t>ФР Verto-FIT.C.Verto-Cell Plus</t>
  </si>
  <si>
    <t>ФР Verto-FIT.D.Verto-Cell Plus</t>
  </si>
  <si>
    <t>ФР Verto-FIT.E.Verto-Cell Plus</t>
  </si>
  <si>
    <t>ФР Verto-FIT.F.Verto-Cell Plus</t>
  </si>
  <si>
    <t>ФР Verto-FIT.G.Verto-Cell Plus</t>
  </si>
  <si>
    <t>ФР Verto-FIT.H.Verto-Cell Plus</t>
  </si>
  <si>
    <t>ФР Verto-FIT.I.Verto-Cell Plus</t>
  </si>
  <si>
    <t>Планка Verto-FIT 80мм.Verto-Cell Plus</t>
  </si>
  <si>
    <t>Планка Verto-FIT 160мм.Verto-Cell Plus</t>
  </si>
  <si>
    <t>Планка Verto-FIT 200мм.Verto-Cell Plus</t>
  </si>
  <si>
    <t>Планка Verto-FIT Comfort 80мм.Verto-Cell Plus</t>
  </si>
  <si>
    <t>Планка Verto-FIT Comfort 160мм.Verto-Cell Plus</t>
  </si>
  <si>
    <t>Планка Verto-FIT Comfort 200мм.Verto-Cell Plus</t>
  </si>
  <si>
    <t>ДП ЛАДА B.1/0.Сатин</t>
  </si>
  <si>
    <t>ДП ЛАДА B.1/1.Сатин</t>
  </si>
  <si>
    <t>ДП ЛАДА B.1/2.Сатин</t>
  </si>
  <si>
    <t>ДП ЛАДА B.2/0.Сатин</t>
  </si>
  <si>
    <t>ДП ЛАДА B.2/1.Сатин</t>
  </si>
  <si>
    <t>ДП ЛАДА A.2А/1.Сатин</t>
  </si>
  <si>
    <t>ДП ЛАДА B.3/0.Сатин</t>
  </si>
  <si>
    <t>ДП ЛАДА B.3/1.Сатин</t>
  </si>
  <si>
    <t>ДП ЛАДА B.3/2.Сатин</t>
  </si>
  <si>
    <t>ДП ЛАДА B.3/3.Сатин</t>
  </si>
  <si>
    <t>ДП ЛАДА B.3/4.Сатин</t>
  </si>
  <si>
    <t>ДП ЛАДА A.3А/1.Сатин</t>
  </si>
  <si>
    <t>ДП ЛАДА A.3А/2.Сатин</t>
  </si>
  <si>
    <t>ДП ЛАДА C.4/1.Сатин</t>
  </si>
  <si>
    <t>ДП ЛАДА C.4/2.Сатин</t>
  </si>
  <si>
    <t>ДП ЛАДА C.4/3.Сатин</t>
  </si>
  <si>
    <t>ДП ЛАДА C.4/4.Сатин</t>
  </si>
  <si>
    <t>ДП ЛАДА C.4/5.Сатин</t>
  </si>
  <si>
    <t>ДП ЛАДА C.4/6.Сатин</t>
  </si>
  <si>
    <t>ДП ЛАДА C.4/7.Сатин</t>
  </si>
  <si>
    <t>ДП ЛАДА C.4/8.Сатин</t>
  </si>
  <si>
    <t>ДП ЛАДА C.5/0.Сатин</t>
  </si>
  <si>
    <t>ДП ЛАДА C.5/1.Сатин</t>
  </si>
  <si>
    <t>ДП ЛАДА C.5/2.Сатин</t>
  </si>
  <si>
    <t>ДП ЛАДА C.5/3.Сатин</t>
  </si>
  <si>
    <t>ДП ЛАДА C.5/4.Сатин</t>
  </si>
  <si>
    <t>ДП ЛАДА C.5/5.Сатин</t>
  </si>
  <si>
    <t>ДП ЛАДА C.5/6.Сатин</t>
  </si>
  <si>
    <t>ДП ЛАДА D.6/1.Сатин</t>
  </si>
  <si>
    <t>ДП ЛАДА D.6/2.Сатин</t>
  </si>
  <si>
    <t>ДП ЛАДА D.6/3.Сатин</t>
  </si>
  <si>
    <t>ДП ЛАДА D.6/4.Сатин</t>
  </si>
  <si>
    <t>ДП ЛАДА D.7/0.Сатин</t>
  </si>
  <si>
    <t>ДП ЛАДА D.7/1.Сатин</t>
  </si>
  <si>
    <t>ДП ЛАДА D.7/2.Сатин</t>
  </si>
  <si>
    <t>ДП ЛАДА A.8/1.Сатин</t>
  </si>
  <si>
    <t>ДП ЛАДА A.8/2.Сатин</t>
  </si>
  <si>
    <t>ДП ЛАДА A.8/3.Сатин</t>
  </si>
  <si>
    <t>ДП ЛАДА A.8/4.Сатин</t>
  </si>
  <si>
    <t>ДП ЛАДА A.8/5.Сатин</t>
  </si>
  <si>
    <t>ДП ЛАДА A.8/5.Бронза</t>
  </si>
  <si>
    <t>ДП ЛАДА A.8/4.Бронза</t>
  </si>
  <si>
    <t>ДП ЛАДА A.8/3.Бронза</t>
  </si>
  <si>
    <t>ДП ЛАДА A.8/2.Бронза</t>
  </si>
  <si>
    <t>ДП ЛАДА A.8/1.Бронза</t>
  </si>
  <si>
    <t>ДП ЛАДА D.7/2.Бронза</t>
  </si>
  <si>
    <t>ДП ЛАДА D.7/1.Бронза</t>
  </si>
  <si>
    <t>ДП ЛАДА D.7/0.Бронза</t>
  </si>
  <si>
    <t>ДП ЛАДА D.6/4.Бронза</t>
  </si>
  <si>
    <t>ДП ЛАДА D.6/3.Бронза</t>
  </si>
  <si>
    <t>ДП ЛАДА D.6/2.Бронза</t>
  </si>
  <si>
    <t>ДП ЛАДА D.6/1.Бронза</t>
  </si>
  <si>
    <t>ДП ЛАДА C.5/6.Бронза</t>
  </si>
  <si>
    <t>ДП ЛАДА C.5/5.Бронза</t>
  </si>
  <si>
    <t>ДП ЛАДА C.5/4.Бронза</t>
  </si>
  <si>
    <t>ДП ЛАДА C.5/3.Бронза</t>
  </si>
  <si>
    <t>ДП ЛАДА C.5/2.Бронза</t>
  </si>
  <si>
    <t>ДП ЛАДА C.5/1.Бронза</t>
  </si>
  <si>
    <t>ДП ЛАДА C.5/0.Бронза</t>
  </si>
  <si>
    <t>ДП ЛАДА C.4/8.Бронза</t>
  </si>
  <si>
    <t>ДП ЛАДА C.4/7.Бронза</t>
  </si>
  <si>
    <t>ДП ЛАДА C.4/6.Бронза</t>
  </si>
  <si>
    <t>ДП ЛАДА C.4/5.Бронза</t>
  </si>
  <si>
    <t>ДП ЛАДА C.4/4.Бронза</t>
  </si>
  <si>
    <t>ДП ЛАДА C.4/3.Бронза</t>
  </si>
  <si>
    <t>ДП ЛАДА C.4/2.Бронза</t>
  </si>
  <si>
    <t>ДП ЛАДА C.4/1.Бронза</t>
  </si>
  <si>
    <t>ДП ЛАДА A.3А/2.Бронза</t>
  </si>
  <si>
    <t>ДП ЛАДА A.3А/1.Бронза</t>
  </si>
  <si>
    <t>ДП ЛАДА B.3/4.Бронза</t>
  </si>
  <si>
    <t>ДП ЛАДА B.3/3.Бронза</t>
  </si>
  <si>
    <t>ДП ЛАДА B.3/2.Бронза</t>
  </si>
  <si>
    <t>ДП ЛАДА B.3/1.Бронза</t>
  </si>
  <si>
    <t>ДП ЛАДА B.3/0.Бронза</t>
  </si>
  <si>
    <t>ДП ЛАДА A.2А/1.Бронза</t>
  </si>
  <si>
    <t>ДП ЛАДА B.2/1.Бронза</t>
  </si>
  <si>
    <t>ДП ЛАДА B.2/0.Бронза</t>
  </si>
  <si>
    <t>ДП ЛАДА B.1/2.Бронза</t>
  </si>
  <si>
    <t>ДП ЛАДА B.1/1.Бронза</t>
  </si>
  <si>
    <t>ДП ЛАДА B.1/0.Бронза</t>
  </si>
  <si>
    <t>ДП ЛАДА A.Ручка-Захват</t>
  </si>
  <si>
    <t>ДП ЛАДА A.Ручка-Замок</t>
  </si>
  <si>
    <t>ДП ЛАДА B.Ручка-Захват</t>
  </si>
  <si>
    <t>ДП ЛАДА B.Ручка-Замок</t>
  </si>
  <si>
    <t>ДП ЛАДА C.Ручка-Захват</t>
  </si>
  <si>
    <t>ДП ЛАДА C.Ручка-Замок</t>
  </si>
  <si>
    <t>ДП ЛАДА D.Ручка-Захват</t>
  </si>
  <si>
    <t>ДП ЛАДА D.Ручка-Замок</t>
  </si>
  <si>
    <t>ДП ЛАДА A.</t>
  </si>
  <si>
    <t>ДП ЛАДА A.ВП</t>
  </si>
  <si>
    <t>ДП ЛАДА B.</t>
  </si>
  <si>
    <t>ДП ЛАДА B.ВП</t>
  </si>
  <si>
    <t>ДП ЛАДА C.</t>
  </si>
  <si>
    <t>ДП ЛАДА C.ВП</t>
  </si>
  <si>
    <t>ДП ЛАДА D.</t>
  </si>
  <si>
    <t>ДП ЛАДА D.ВП</t>
  </si>
  <si>
    <t>ДП ЛАДА A.100</t>
  </si>
  <si>
    <t>ДП ЛАДА B.100</t>
  </si>
  <si>
    <t>ДП ЛАДА C.100</t>
  </si>
  <si>
    <t>ДП ЛАДА D.100</t>
  </si>
  <si>
    <t>ДП Лада</t>
  </si>
  <si>
    <t>Л1/0</t>
  </si>
  <si>
    <t>Л1/1</t>
  </si>
  <si>
    <t>Л3/0</t>
  </si>
  <si>
    <t>Л3/1</t>
  </si>
  <si>
    <t>Л3/2</t>
  </si>
  <si>
    <t>Л4/0</t>
  </si>
  <si>
    <t>Л4/1</t>
  </si>
  <si>
    <t>Л5/0</t>
  </si>
  <si>
    <t>Л5/1</t>
  </si>
  <si>
    <t>Л6/0</t>
  </si>
  <si>
    <t>Л6/1</t>
  </si>
  <si>
    <t>мод: Л1/0</t>
  </si>
  <si>
    <t>мод: Л1/1</t>
  </si>
  <si>
    <t>мод: Л3/0</t>
  </si>
  <si>
    <t>мод: Л3/1</t>
  </si>
  <si>
    <t>мод: Л3/2</t>
  </si>
  <si>
    <t>мод: Л4/0</t>
  </si>
  <si>
    <t>мод: Л4/1</t>
  </si>
  <si>
    <t>мод: Л5/0</t>
  </si>
  <si>
    <t>мод: Л5/1</t>
  </si>
  <si>
    <t>мод: Л6/0</t>
  </si>
  <si>
    <t>мод: Л6/1</t>
  </si>
  <si>
    <t>фальц</t>
  </si>
  <si>
    <t>купе</t>
  </si>
  <si>
    <t>б/з фальц</t>
  </si>
  <si>
    <t>фальц.</t>
  </si>
  <si>
    <t>б/з фальц.</t>
  </si>
  <si>
    <t>купе.</t>
  </si>
  <si>
    <t>фальц,</t>
  </si>
  <si>
    <t>фальц..</t>
  </si>
  <si>
    <t>комплект,</t>
  </si>
  <si>
    <t>ДП - КД - НАЛ</t>
  </si>
  <si>
    <t>20-06ч</t>
  </si>
  <si>
    <t>20-07ч</t>
  </si>
  <si>
    <t>20-08ч</t>
  </si>
  <si>
    <t>20-09ч</t>
  </si>
  <si>
    <t>20-06т</t>
  </si>
  <si>
    <t>20-07т</t>
  </si>
  <si>
    <t>20-08т</t>
  </si>
  <si>
    <t>20-09т</t>
  </si>
  <si>
    <t>20-10ч</t>
  </si>
  <si>
    <t>20-10т</t>
  </si>
  <si>
    <t>20-04ч</t>
  </si>
  <si>
    <t>20-(10)т</t>
  </si>
  <si>
    <t>20-(11)т</t>
  </si>
  <si>
    <t>20-(12)т</t>
  </si>
  <si>
    <t>20-(13)т</t>
  </si>
  <si>
    <t>20-(14)т</t>
  </si>
  <si>
    <t>20-(15)т</t>
  </si>
  <si>
    <t>20-(16)т</t>
  </si>
  <si>
    <t>20-(17)т</t>
  </si>
  <si>
    <t>20-(18)т</t>
  </si>
  <si>
    <t>РАЗДЕЛ ТОЛЬКО ДЛЯ ПОЛОТЕН</t>
  </si>
  <si>
    <t>ххV</t>
  </si>
  <si>
    <t>ххR</t>
  </si>
  <si>
    <t>00V</t>
  </si>
  <si>
    <t>03V</t>
  </si>
  <si>
    <t>04V</t>
  </si>
  <si>
    <t>01V</t>
  </si>
  <si>
    <t>06V</t>
  </si>
  <si>
    <t>02V</t>
  </si>
  <si>
    <t>08V</t>
  </si>
  <si>
    <t>00R</t>
  </si>
  <si>
    <t>03R</t>
  </si>
  <si>
    <t>04R</t>
  </si>
  <si>
    <t>01R</t>
  </si>
  <si>
    <t>06R</t>
  </si>
  <si>
    <t>02R</t>
  </si>
  <si>
    <t>08R</t>
  </si>
  <si>
    <t>30V</t>
  </si>
  <si>
    <t>33V</t>
  </si>
  <si>
    <t>34V</t>
  </si>
  <si>
    <t>31V</t>
  </si>
  <si>
    <t>36V</t>
  </si>
  <si>
    <t>32V</t>
  </si>
  <si>
    <t>38V</t>
  </si>
  <si>
    <t>30R</t>
  </si>
  <si>
    <t>33R</t>
  </si>
  <si>
    <t>34R</t>
  </si>
  <si>
    <t>31R</t>
  </si>
  <si>
    <t>36R</t>
  </si>
  <si>
    <t>32R</t>
  </si>
  <si>
    <t>38R</t>
  </si>
  <si>
    <t>х2V</t>
  </si>
  <si>
    <t>х8V</t>
  </si>
  <si>
    <t>х2R</t>
  </si>
  <si>
    <t>х8R</t>
  </si>
  <si>
    <t>60V</t>
  </si>
  <si>
    <t>63V</t>
  </si>
  <si>
    <t>РАЗДЕЛ ТОЛЬКО ДЛЯ КОРОБОК И РС</t>
  </si>
  <si>
    <t>В FORM!!</t>
  </si>
  <si>
    <t>что это?</t>
  </si>
  <si>
    <t>20-04</t>
  </si>
  <si>
    <t>ч</t>
  </si>
  <si>
    <t>т</t>
  </si>
  <si>
    <t>V</t>
  </si>
  <si>
    <t>R</t>
  </si>
  <si>
    <t>МОДЕЛЬ ПОЛОТНА</t>
  </si>
  <si>
    <t>актуальна на дату:</t>
  </si>
  <si>
    <t>для коробки Verto-FIT Comfort</t>
  </si>
  <si>
    <t>Лутка Рххх</t>
  </si>
  <si>
    <t>Лутка РПххх</t>
  </si>
  <si>
    <t>Лутка РКххх</t>
  </si>
  <si>
    <t>ФРАМУГИ</t>
  </si>
  <si>
    <t>Фрамуга Д80.245-665.01.108.Жл</t>
  </si>
  <si>
    <t>ххх-ххх</t>
  </si>
  <si>
    <t>Фрамуга Рххх</t>
  </si>
  <si>
    <t>Фрамуга STANDARD (на ширину 80мм)</t>
  </si>
  <si>
    <t>Дошивка Р160.20-09.01.107</t>
  </si>
  <si>
    <t>одна деталь 2070мм</t>
  </si>
  <si>
    <t>00-09</t>
  </si>
  <si>
    <t>00-18</t>
  </si>
  <si>
    <t>Поріг Д80</t>
  </si>
  <si>
    <t>2050 мм</t>
  </si>
  <si>
    <t>ДП СТАНДАРТ.1/А.Бронза</t>
  </si>
  <si>
    <t>ДП СТАНДАРТ.1/Б.Бронза</t>
  </si>
  <si>
    <t>ДП СТАНДАРТ.2/А.Бронза</t>
  </si>
  <si>
    <t>ДП СТАНДАРТ.2/Б.Бронза</t>
  </si>
  <si>
    <t>ДП СТАНДАРТ.3/1.Бронза</t>
  </si>
  <si>
    <t>ДП СТАНДАРТ.4/1.Бронза</t>
  </si>
  <si>
    <t>ДП СТАНДАРТ.4/2.Бронза</t>
  </si>
  <si>
    <t>ДП КУПАВА.1/1.Бронза</t>
  </si>
  <si>
    <t>ДП КУПАВА.2/1.Бронза</t>
  </si>
  <si>
    <t>ДП КУПАВА.3/1.Бронза</t>
  </si>
  <si>
    <t>ДП КУПАВА.4/1.Бронза</t>
  </si>
  <si>
    <t>ДП РУТА.1/1.Бронза</t>
  </si>
  <si>
    <t>ДП РУТА.2/1.Бронза</t>
  </si>
  <si>
    <t>ДП РУТА.4/1.Бронза</t>
  </si>
  <si>
    <t>ДП РУТА.5/1.Бронза</t>
  </si>
  <si>
    <t>ДП РУТА-FUSION.14.Бронза</t>
  </si>
  <si>
    <t>ДП ГОРДАНА.1/1.Бронза</t>
  </si>
  <si>
    <t>ДП ГОРДАНА.2/1.Бронза</t>
  </si>
  <si>
    <t>ДП ГОРДАНА.4.Бронза</t>
  </si>
  <si>
    <t>ДП ГОРДАНА.5.Бронза</t>
  </si>
  <si>
    <t>ДП ГОРДАНА.6.Бронза</t>
  </si>
  <si>
    <t>122 Сосна аз.</t>
  </si>
  <si>
    <t>124 Дуб делано</t>
  </si>
  <si>
    <t>125 Дуб катан.</t>
  </si>
  <si>
    <t>452 Бетон тем.</t>
  </si>
  <si>
    <t>Лофт</t>
  </si>
  <si>
    <t>КД Standard-MDF.1.Лофт</t>
  </si>
  <si>
    <t>КД Standard.1.Лофт</t>
  </si>
  <si>
    <t>КД Verto-FIT.A.Лофт</t>
  </si>
  <si>
    <t>КД Verto-FIT.B.Лофт</t>
  </si>
  <si>
    <t>КД Verto-FIT.B+.Лофт</t>
  </si>
  <si>
    <t>КД Verto-FIT.C.Лофт</t>
  </si>
  <si>
    <t>КД Verto-FIT.D.Лофт</t>
  </si>
  <si>
    <t>КД Verto-FIT.E.Лофт</t>
  </si>
  <si>
    <t>КД Verto-FIT.F.Лофт</t>
  </si>
  <si>
    <t>КД Verto-FIT.G.Лофт</t>
  </si>
  <si>
    <t>КД Verto-FIT.H.Лофт</t>
  </si>
  <si>
    <t>КД Verto-FIT.I.Лофт</t>
  </si>
  <si>
    <t>КД Verto-FIT Plus.A.Лофт</t>
  </si>
  <si>
    <t>КД Verto-FIT Plus.B.Лофт</t>
  </si>
  <si>
    <t>КД Verto-FIT Plus.B+.Лофт</t>
  </si>
  <si>
    <t>КД Verto-FIT Plus.C.Лофт</t>
  </si>
  <si>
    <t>КД Verto-FIT Plus.D.Лофт</t>
  </si>
  <si>
    <t>КД Verto-FIT Plus.E.Лофт</t>
  </si>
  <si>
    <t>КД Verto-FIT Plus.F.Лофт</t>
  </si>
  <si>
    <t>КД Verto-FIT Plus.G.Лофт</t>
  </si>
  <si>
    <t>КД Verto-FIT Plus.H.Лофт</t>
  </si>
  <si>
    <t>КД Verto-FIT Plus.I.Лофт</t>
  </si>
  <si>
    <t>КД Verto-FIT Comfort.A.Лофт</t>
  </si>
  <si>
    <t>КД Verto-FIT Comfort.B.Лофт</t>
  </si>
  <si>
    <t>КД Verto-FIT Comfort.B+.Лофт</t>
  </si>
  <si>
    <t>КД Verto-FIT Comfort.C.Лофт</t>
  </si>
  <si>
    <t>КД Verto-FIT Comfort.D.Лофт</t>
  </si>
  <si>
    <t>КД Verto-FIT Comfort.E.Лофт</t>
  </si>
  <si>
    <t>КД Verto-FIT Comfort.F.Лофт</t>
  </si>
  <si>
    <t>КД Verto-FIT Comfort.G.Лофт</t>
  </si>
  <si>
    <t>КД Verto-FIT Comfort.H.Лофт</t>
  </si>
  <si>
    <t>КД Verto-FIT Comfort.I.Лофт</t>
  </si>
  <si>
    <t>РС Verto-SLIDE.1.Лофт</t>
  </si>
  <si>
    <t>ФР Standard.1.Лофт</t>
  </si>
  <si>
    <t>ФР Verto-FIT.A.Лофт</t>
  </si>
  <si>
    <t>ФР Verto-FIT.B.Лофт</t>
  </si>
  <si>
    <t>ФР Verto-FIT.B+.Лофт</t>
  </si>
  <si>
    <t>ФР Verto-FIT.C.Лофт</t>
  </si>
  <si>
    <t>ФР Verto-FIT.D.Лофт</t>
  </si>
  <si>
    <t>ФР Verto-FIT.E.Лофт</t>
  </si>
  <si>
    <t>ФР Verto-FIT.F.Лофт</t>
  </si>
  <si>
    <t>ФР Verto-FIT.G.Лофт</t>
  </si>
  <si>
    <t>ФР Verto-FIT.H.Лофт</t>
  </si>
  <si>
    <t>ФР Verto-FIT.I.Лофт</t>
  </si>
  <si>
    <t>Планка Verto-FIT 80мм.Лофт</t>
  </si>
  <si>
    <t>Планка Verto-FIT 160мм.Лофт</t>
  </si>
  <si>
    <t>Планка Verto-FIT 200мм.Лофт</t>
  </si>
  <si>
    <t>Планка Verto-FIT Comfort 80мм.Лофт</t>
  </si>
  <si>
    <t>Планка Verto-FIT Comfort 160мм.Лофт</t>
  </si>
  <si>
    <t>Планка Verto-FIT Comfort 200мм.Лофт</t>
  </si>
  <si>
    <t>Ручка дверна HANDY срібло</t>
  </si>
  <si>
    <t>Ручка дверна HANDY срібло мат</t>
  </si>
  <si>
    <t>Ручка OFFICE (античная латунь)</t>
  </si>
  <si>
    <t>Ручка дверна OFFICE латунь ант</t>
  </si>
  <si>
    <t>152 Капучино</t>
  </si>
  <si>
    <t>154 Антрацит</t>
  </si>
  <si>
    <t>Uni-Mat</t>
  </si>
  <si>
    <t>Uni-Mat.</t>
  </si>
  <si>
    <t>ДП СТАНДАРТ.1/А.Uni-Mat</t>
  </si>
  <si>
    <t>ДП СТАНДАРТ.1/Б.Uni-Mat</t>
  </si>
  <si>
    <t>ДП СТАНДАРТ.2/А.Uni-Mat</t>
  </si>
  <si>
    <t>ДП СТАНДАРТ.2/Б.Uni-Mat</t>
  </si>
  <si>
    <t>ДП СТАНДАРТ.3/0.Uni-Mat</t>
  </si>
  <si>
    <t>ДП СТАНДАРТ.3/1.Uni-Mat</t>
  </si>
  <si>
    <t>ДП СТАНДАРТ.4/0.Uni-Mat</t>
  </si>
  <si>
    <t>ДП СТАНДАРТ.4/1.Uni-Mat</t>
  </si>
  <si>
    <t>ДП СТАНДАРТ.4/2.Uni-Mat</t>
  </si>
  <si>
    <t>ДП КУПАВА.3/0.Uni-Mat</t>
  </si>
  <si>
    <t>ДП КУПАВА.3/1.Uni-Mat</t>
  </si>
  <si>
    <t>ДП КУПАВА.4/0.Uni-Mat</t>
  </si>
  <si>
    <t>ДП КУПАВА.4/1.Uni-Mat</t>
  </si>
  <si>
    <t>ДП ЛАДА A.2А/0.Uni-Mat.</t>
  </si>
  <si>
    <t>ДП ЛАДА A.2А/1.Uni-Mat.</t>
  </si>
  <si>
    <t>ДП ЛАДА A.3А/0.Uni-Mat.</t>
  </si>
  <si>
    <t>ДП ЛАДА A.3А/1.Uni-Mat.</t>
  </si>
  <si>
    <t>ДП ЛАДА A.3А/2.Uni-Mat.</t>
  </si>
  <si>
    <t>ДП ЛАДА A.8/0.Uni-Mat.</t>
  </si>
  <si>
    <t>ДП ЛАДА A.8/1.Uni-Mat.</t>
  </si>
  <si>
    <t>ДП ЛАДА A.8/2.Uni-Mat.</t>
  </si>
  <si>
    <t>ДП ЛАДА A.8/3.Uni-Mat.</t>
  </si>
  <si>
    <t>ДП ЛАДА A.8/4.Uni-Mat.</t>
  </si>
  <si>
    <t>ДП ЛАДА A.8/5.Uni-Mat.</t>
  </si>
  <si>
    <t>ДП ЛАДА B.1/0.Uni-Mat.</t>
  </si>
  <si>
    <t>ДП ЛАДА B.1/1.Uni-Mat.</t>
  </si>
  <si>
    <t>ДП ЛАДА B.1/2.Uni-Mat.</t>
  </si>
  <si>
    <t>ДП ЛАДА B.1/3.Uni-Mat.</t>
  </si>
  <si>
    <t>ДП ЛАДА B.2/0.Uni-Mat.</t>
  </si>
  <si>
    <t>ДП ЛАДА B.2/1.Uni-Mat.</t>
  </si>
  <si>
    <t>ДП ЛАДА B.2/2.Uni-Mat.</t>
  </si>
  <si>
    <t>ДП ЛАДА B.3/0.Uni-Mat.</t>
  </si>
  <si>
    <t>ДП ЛАДА B.3/1.Uni-Mat.</t>
  </si>
  <si>
    <t>ДП ЛАДА B.3/2.Uni-Mat.</t>
  </si>
  <si>
    <t>ДП ЛАДА B.3/3.Uni-Mat.</t>
  </si>
  <si>
    <t>ДП ЛАДА B.3/4.Uni-Mat.</t>
  </si>
  <si>
    <t>ДП ЛАДА B.3/5.Uni-Mat.</t>
  </si>
  <si>
    <t>ДП ЛАДА C.4/0.Uni-Mat.</t>
  </si>
  <si>
    <t>ДП ЛАДА C.4/1.Uni-Mat.</t>
  </si>
  <si>
    <t>ДП ЛАДА C.4/2.Uni-Mat.</t>
  </si>
  <si>
    <t>ДП ЛАДА C.4/3.Uni-Mat.</t>
  </si>
  <si>
    <t>ДП ЛАДА C.4/4.Uni-Mat.</t>
  </si>
  <si>
    <t>ДП ЛАДА C.4/5.Uni-Mat.</t>
  </si>
  <si>
    <t>ДП ЛАДА C.4/6.Uni-Mat.</t>
  </si>
  <si>
    <t>ДП ЛАДА C.4/7.Uni-Mat.</t>
  </si>
  <si>
    <t>ДП ЛАДА C.4/8.Uni-Mat.</t>
  </si>
  <si>
    <t>ДП ЛАДА C.5/0.Uni-Mat.</t>
  </si>
  <si>
    <t>ДП ЛАДА C.5/1.Uni-Mat.</t>
  </si>
  <si>
    <t>ДП ЛАДА C.5/2.Uni-Mat.</t>
  </si>
  <si>
    <t>ДП ЛАДА C.5/3.Uni-Mat.</t>
  </si>
  <si>
    <t>ДП ЛАДА C.5/4.Uni-Mat.</t>
  </si>
  <si>
    <t>ДП ЛАДА C.5/5.Uni-Mat.</t>
  </si>
  <si>
    <t>ДП ЛАДА C.5/6.Uni-Mat.</t>
  </si>
  <si>
    <t>ДП ЛАДА D.6/0.Uni-Mat.</t>
  </si>
  <si>
    <t>ДП ЛАДА D.6/1.Uni-Mat.</t>
  </si>
  <si>
    <t>ДП ЛАДА D.6/2.Uni-Mat.</t>
  </si>
  <si>
    <t>ДП ЛАДА D.6/3.Uni-Mat.</t>
  </si>
  <si>
    <t>ДП ЛАДА D.6/4.Uni-Mat.</t>
  </si>
  <si>
    <t>ДП ЛАДА D.7/0.Uni-Mat.</t>
  </si>
  <si>
    <t>ДП ЛАДА D.7/1.Uni-Mat.</t>
  </si>
  <si>
    <t>ДП ЛАДА D.7/2.Uni-Mat.</t>
  </si>
  <si>
    <t>ДП ЛАДА-КОНЦЕПТ.2/0.Uni-Mat.</t>
  </si>
  <si>
    <t>ДП ЛАДА-КОНЦЕПТ.2/2.Uni-Mat.</t>
  </si>
  <si>
    <t>ДП ЛАДА-КОНЦЕПТ.3/0.Uni-Mat.</t>
  </si>
  <si>
    <t>ДП ЛАДА-КОНЦЕПТ.3/3.Uni-Mat.</t>
  </si>
  <si>
    <t>ДП ЛАДА-КОНЦЕПТ.4/0.Uni-Mat.</t>
  </si>
  <si>
    <t>ДП ЛАДА-КОНЦЕПТ.4/4.Uni-Mat.</t>
  </si>
  <si>
    <t>ДП ЛАДА-КОНЦЕПТ.5/1.Uni-Mat.</t>
  </si>
  <si>
    <t>ДП ЛАДА-КОНЦЕПТ.5/2.Uni-Mat.</t>
  </si>
  <si>
    <t>ДП ЛАДА-КОНЦЕПТ.5/3.Uni-Mat.</t>
  </si>
  <si>
    <t>ДП ЛАДА-НОВА.4/0.Uni-Mat.</t>
  </si>
  <si>
    <t>ДП ЛАДА-НОВА.4/3.Uni-Mat.</t>
  </si>
  <si>
    <t>ДП ЛАДА-НОВА.4/6.Uni-Mat.</t>
  </si>
  <si>
    <t>ДП ЛАДА-НОВА.4/9.Uni-Mat.</t>
  </si>
  <si>
    <t>ДП ЛАДА-НОВА.6А/1.Uni-Mat.</t>
  </si>
  <si>
    <t>ДП ЛАДА-НОВА.6А/5.Uni-Mat.</t>
  </si>
  <si>
    <t>ДП ЛАДА-НОВА.7/1.Uni-Mat.</t>
  </si>
  <si>
    <t>ДП ЛАДА-НОВА.7/2.Uni-Mat.</t>
  </si>
  <si>
    <t>ДП ЛАДА-НОВА.8/1.Uni-Mat.</t>
  </si>
  <si>
    <t>ДП ЛАДА-ЛОФТ.1/0.Uni-Mat.</t>
  </si>
  <si>
    <t>ДП ЛАДА-ЛОФТ.1/1.Uni-Mat.</t>
  </si>
  <si>
    <t>ДП ЛАДА-ЛОФТ.3/0.Uni-Mat.</t>
  </si>
  <si>
    <t>ДП ЛАДА-ЛОФТ.3/1.Uni-Mat.</t>
  </si>
  <si>
    <t>ДП ЛАДА-ЛОФТ.4/0.Uni-Mat.</t>
  </si>
  <si>
    <t>ДП ЛАДА-ЛОФТ.4/1.Uni-Mat.</t>
  </si>
  <si>
    <t>ДП ЛАДА-ЛОФТ.5/0.Uni-Mat.</t>
  </si>
  <si>
    <t>ДП ЛАДА-ЛОФТ.5/1.Uni-Mat.</t>
  </si>
  <si>
    <t>ДП ЛАДА-ЛОФТ.6/0.Uni-Mat.</t>
  </si>
  <si>
    <t>ДП ЛАДА-ЛОФТ.6/1.Uni-Mat.</t>
  </si>
  <si>
    <t>ДП ТРЕНД.5/0.Uni-Mat.</t>
  </si>
  <si>
    <t>ДП ТРЕНД.5/1.Uni-Mat.</t>
  </si>
  <si>
    <t>ДП ТРЕНД.5/2.Uni-Mat.</t>
  </si>
  <si>
    <t>ДП ТРЕНД.5/3.Uni-Mat.</t>
  </si>
  <si>
    <t>ДП ТРЕНД.5/4.Uni-Mat.</t>
  </si>
  <si>
    <t>ДП ТРЕНД.5/5.Uni-Mat.</t>
  </si>
  <si>
    <t>ДП ТРЕНД.5А/1.Uni-Mat.</t>
  </si>
  <si>
    <t>ДП ТРЕНД.5А/2.Uni-Mat.</t>
  </si>
  <si>
    <t>ДП ТРЕНД.5А/3.Uni-Mat.</t>
  </si>
  <si>
    <t>ДП ТРЕНД.5Б/3.Uni-Mat.</t>
  </si>
  <si>
    <t>ДП ПОЛЛО.3/0.Uni-Mat.</t>
  </si>
  <si>
    <t>ДП ПОЛЛО.3/2.Uni-Mat.</t>
  </si>
  <si>
    <t>ДП ПОЛЛО.3/4.Uni-Mat.</t>
  </si>
  <si>
    <t>ДП ПОЛЛО.3/6.Uni-Mat.</t>
  </si>
  <si>
    <t>ДП ПОЛЛО.3А/3.Uni-Mat.</t>
  </si>
  <si>
    <t>ДП ПОЛЛО.3А/5.Uni-Mat.</t>
  </si>
  <si>
    <t>ДП ПОЛЛО.4/3.Uni-Mat.</t>
  </si>
  <si>
    <t>ДП МОДЕРН.1/0.Uni-Mat.</t>
  </si>
  <si>
    <t>ДП МОДЕРН.1/1.Uni-Mat.</t>
  </si>
  <si>
    <t>ДП МОДЕРН.3/0.Uni-Mat.</t>
  </si>
  <si>
    <t>ДП МОДЕРН.3/1.Uni-Mat.</t>
  </si>
  <si>
    <t>ДП МОДЕРН.3/2.Uni-Mat.</t>
  </si>
  <si>
    <t>ДП МОДЕРН.3/3.Uni-Mat.</t>
  </si>
  <si>
    <t>ДП МОДЕРН.3А/1.Uni-Mat.</t>
  </si>
  <si>
    <t>ДП МОДЕРН.3А/2.Uni-Mat.</t>
  </si>
  <si>
    <t>КД Standard-MDF.1.Uni-Mat</t>
  </si>
  <si>
    <t>КД Standard.1.Uni-Mat</t>
  </si>
  <si>
    <t>КД Verto-FIT.A.Uni-Mat</t>
  </si>
  <si>
    <t>КД Verto-FIT.B.Uni-Mat</t>
  </si>
  <si>
    <t>КД Verto-FIT.B+.Uni-Mat</t>
  </si>
  <si>
    <t>КД Verto-FIT.C.Uni-Mat</t>
  </si>
  <si>
    <t>КД Verto-FIT.D.Uni-Mat</t>
  </si>
  <si>
    <t>КД Verto-FIT.E.Uni-Mat</t>
  </si>
  <si>
    <t>КД Verto-FIT.F.Uni-Mat</t>
  </si>
  <si>
    <t>КД Verto-FIT.G.Uni-Mat</t>
  </si>
  <si>
    <t>КД Verto-FIT.H.Uni-Mat</t>
  </si>
  <si>
    <t>КД Verto-FIT.I.Uni-Mat</t>
  </si>
  <si>
    <t>КД Verto-FIT Plus.A.Uni-Mat</t>
  </si>
  <si>
    <t>КД Verto-FIT Plus.B.Uni-Mat</t>
  </si>
  <si>
    <t>КД Verto-FIT Plus.B+.Uni-Mat</t>
  </si>
  <si>
    <t>КД Verto-FIT Plus.C.Uni-Mat</t>
  </si>
  <si>
    <t>КД Verto-FIT Plus.D.Uni-Mat</t>
  </si>
  <si>
    <t>КД Verto-FIT Plus.E.Uni-Mat</t>
  </si>
  <si>
    <t>КД Verto-FIT Plus.F.Uni-Mat</t>
  </si>
  <si>
    <t>КД Verto-FIT Plus.G.Uni-Mat</t>
  </si>
  <si>
    <t>КД Verto-FIT Plus.H.Uni-Mat</t>
  </si>
  <si>
    <t>КД Verto-FIT Plus.I.Uni-Mat</t>
  </si>
  <si>
    <t>КД Verto-FIT Comfort.A.Uni-Mat</t>
  </si>
  <si>
    <t>КД Verto-FIT Comfort.B.Uni-Mat</t>
  </si>
  <si>
    <t>КД Verto-FIT Comfort.B+.Uni-Mat</t>
  </si>
  <si>
    <t>КД Verto-FIT Comfort.C.Uni-Mat</t>
  </si>
  <si>
    <t>КД Verto-FIT Comfort.D.Uni-Mat</t>
  </si>
  <si>
    <t>КД Verto-FIT Comfort.E.Uni-Mat</t>
  </si>
  <si>
    <t>КД Verto-FIT Comfort.F.Uni-Mat</t>
  </si>
  <si>
    <t>КД Verto-FIT Comfort.G.Uni-Mat</t>
  </si>
  <si>
    <t>КД Verto-FIT Comfort.H.Uni-Mat</t>
  </si>
  <si>
    <t>КД Verto-FIT Comfort.I.Uni-Mat</t>
  </si>
  <si>
    <t>РС Verto-SLIDE.1.Uni-Mat</t>
  </si>
  <si>
    <t>ФР Standard.1.Uni-Mat</t>
  </si>
  <si>
    <t>ФР Verto-FIT.A.Uni-Mat</t>
  </si>
  <si>
    <t>ФР Verto-FIT.B.Uni-Mat</t>
  </si>
  <si>
    <t>ФР Verto-FIT.B+.Uni-Mat</t>
  </si>
  <si>
    <t>ФР Verto-FIT.C.Uni-Mat</t>
  </si>
  <si>
    <t>ФР Verto-FIT.D.Uni-Mat</t>
  </si>
  <si>
    <t>ФР Verto-FIT.E.Uni-Mat</t>
  </si>
  <si>
    <t>ФР Verto-FIT.F.Uni-Mat</t>
  </si>
  <si>
    <t>ФР Verto-FIT.G.Uni-Mat</t>
  </si>
  <si>
    <t>ФР Verto-FIT.H.Uni-Mat</t>
  </si>
  <si>
    <t>ФР Verto-FIT.I.Uni-Mat</t>
  </si>
  <si>
    <t>Планка Verto-FIT 80мм.Uni-Mat</t>
  </si>
  <si>
    <t>Планка Verto-FIT 160мм.Uni-Mat</t>
  </si>
  <si>
    <t>Планка Verto-FIT 200мм.Uni-Mat</t>
  </si>
  <si>
    <t>Планка Verto-FIT Comfort 80мм.Uni-Mat</t>
  </si>
  <si>
    <t>Планка Verto-FIT Comfort 160мм.Uni-Mat</t>
  </si>
  <si>
    <t>Планка Verto-FIT Comfort 200мм.Uni-Mat</t>
  </si>
  <si>
    <t>до</t>
  </si>
  <si>
    <t>404 Дуб полярн.</t>
  </si>
  <si>
    <t>Verto-Cell (L)</t>
  </si>
  <si>
    <t>ДП СТАНДАРТ.1/А.Verto-Cell</t>
  </si>
  <si>
    <t>ДП СТАНДАРТ.1/Б.Verto-Cell</t>
  </si>
  <si>
    <t>ДП СТАНДАРТ.2/А.Verto-Cell</t>
  </si>
  <si>
    <t>ДП СТАНДАРТ.2/Б.Verto-Cell</t>
  </si>
  <si>
    <t>ДП СТАНДАРТ.3/0.Verto-Cell</t>
  </si>
  <si>
    <t>ДП СТАНДАРТ.3/1.Verto-Cell</t>
  </si>
  <si>
    <t>ДП СТАНДАРТ.4/0.Verto-Cell</t>
  </si>
  <si>
    <t>ДП СТАНДАРТ.4/1.Verto-Cell</t>
  </si>
  <si>
    <t>ДП СТАНДАРТ.4/2.Verto-Cell</t>
  </si>
  <si>
    <t>123 Дуб гесато</t>
  </si>
  <si>
    <t>Verto</t>
  </si>
  <si>
    <t>Замок Standard цл прав. (хром)</t>
  </si>
  <si>
    <t>Замок Standard кл прав (хром)</t>
  </si>
  <si>
    <t>Замок Standard ст прав (хром)</t>
  </si>
  <si>
    <t>Замок Standard цл лев (хром)</t>
  </si>
  <si>
    <t>Замок Standard кл лев (хром)</t>
  </si>
  <si>
    <t>Замок Standard ст лев (хром)</t>
  </si>
  <si>
    <t>Дверне Полотно: стандарт</t>
  </si>
  <si>
    <t>Дверне Полотно: купава</t>
  </si>
  <si>
    <t>Дверне Полотно: гордана</t>
  </si>
  <si>
    <t>Дверне Полотно: лада</t>
  </si>
  <si>
    <t>Дверне Полотно: лада-концепт</t>
  </si>
  <si>
    <t>Дверне Полотно: лада-нова</t>
  </si>
  <si>
    <t>Дверне Полотно: лада-лофт</t>
  </si>
  <si>
    <t>Дверне Полотно: тренд</t>
  </si>
  <si>
    <t>Дверне Полотно: модерн</t>
  </si>
  <si>
    <t>Дверне Полотно: полло</t>
  </si>
  <si>
    <t>Дверне Полотно: лайн</t>
  </si>
  <si>
    <t>Дверне Полотно: гласфорд</t>
  </si>
  <si>
    <t>Дверне Полотно: геометрія</t>
  </si>
  <si>
    <t>Дверне Полотно: ідея</t>
  </si>
  <si>
    <t>Дверне Полотно: ідея-лофт</t>
  </si>
  <si>
    <t>Дверне Полотно: ніка</t>
  </si>
  <si>
    <t>Дверне Полотно: ліса</t>
  </si>
  <si>
    <t>Дверне Полотно: міра</t>
  </si>
  <si>
    <t>Дверне Полотно: лінда</t>
  </si>
  <si>
    <t>Дверне Полотно: тіана</t>
  </si>
  <si>
    <t>Дверне Полотно: єва</t>
  </si>
  <si>
    <t>Дверне Полотно: лінея</t>
  </si>
  <si>
    <t>Дверне Полотно: елегант</t>
  </si>
  <si>
    <t>дверна коробка: STANDARD МДФ (на ширину 80мм)</t>
  </si>
  <si>
    <t>дверна коробка: Verto-FIT (на ширину 75-95мм)</t>
  </si>
  <si>
    <t>дверна коробка: Verto-FIT (на ширину 95-115мм)</t>
  </si>
  <si>
    <t>дверна коробка: Verto-FIT (на ширину 100-120мм)</t>
  </si>
  <si>
    <t>дверна коробка: Verto-FIT (на ширину 120-140мм)</t>
  </si>
  <si>
    <t>дверна коробка: Verto-FIT (на ширину 140-160мм)</t>
  </si>
  <si>
    <t>дверна коробка: Verto-FIT (на ширину 160-180мм)</t>
  </si>
  <si>
    <t>дверна коробка: Verto-FIT (на ширину 180-200мм)</t>
  </si>
  <si>
    <t>дверна коробка: Verto-FIT (на ширину 200-220мм)</t>
  </si>
  <si>
    <t>дверна коробка: Verto-FIT (на ширину 220-240мм)</t>
  </si>
  <si>
    <t>дверна коробка: Verto-FIT (на ширину 240-260мм)</t>
  </si>
  <si>
    <t>дверна коробка: Verto-FIT Plus (на ширину 75-95мм)</t>
  </si>
  <si>
    <t>дверна коробка: Verto-FIT Plus (на ширину 95-115мм)</t>
  </si>
  <si>
    <t>дверна коробка: Verto-FIT Plus (на ширину 100-120мм)</t>
  </si>
  <si>
    <t>дверна коробка: Verto-FIT Plus (на ширину 120-140мм)</t>
  </si>
  <si>
    <t>дверна коробка: Verto-FIT Plus (на ширину 140-160мм)</t>
  </si>
  <si>
    <t>дверна коробка: Verto-FIT Plus (на ширину 160-180мм)</t>
  </si>
  <si>
    <t>дверна коробка: Verto-FIT Plus (на ширину 180-200мм)</t>
  </si>
  <si>
    <t>дверна коробка: Verto-FIT Plus (на ширину 200-220мм)</t>
  </si>
  <si>
    <t>дверна коробка: Verto-FIT Plus (на ширину 220-240мм)</t>
  </si>
  <si>
    <t>дверна коробка: Verto-FIT Plus (на ширину 240-260мм)</t>
  </si>
  <si>
    <t>дверна коробка: Verto-FIT Comfort (на ширину 75-95мм)</t>
  </si>
  <si>
    <t>дверна коробка: Verto-FIT Comfort (на ширину 95-115мм)</t>
  </si>
  <si>
    <t>дверна коробка: Verto-FIT Comfort (на ширину 115-135мм)</t>
  </si>
  <si>
    <t>дверна коробка: Verto-FIT Comfort (на ширину 120-140мм)</t>
  </si>
  <si>
    <t>дверна коробка: Verto-FIT Comfort (на ширину 140-160мм)</t>
  </si>
  <si>
    <t>дверна коробка: Verto-FIT Comfort (на ширину 160-180мм)</t>
  </si>
  <si>
    <t>дверна коробка: Verto-FIT Comfort (на ширину 180-200мм)</t>
  </si>
  <si>
    <t>дверна коробка: Verto-FIT Comfort (на ширину 200-220мм)</t>
  </si>
  <si>
    <t>дверна коробка: Verto-FIT Comfort (на ширину 220-240мм)</t>
  </si>
  <si>
    <t>дверна коробка: Verto-FIT Comfort (на ширину 240-260мм)</t>
  </si>
  <si>
    <t>дверна коробка: STANDARD дерев'яна (на ширину 80мм)</t>
  </si>
  <si>
    <t>Розсувна система: Verto-SLIDE</t>
  </si>
  <si>
    <t>Лиштва (пряма): 60мм (МДФ)</t>
  </si>
  <si>
    <t>Лиштва (пряма): 80мм (МДФ)</t>
  </si>
  <si>
    <t>Планка добірна 60мм</t>
  </si>
  <si>
    <t>Планка добірна 110мм</t>
  </si>
  <si>
    <t>Планка добірна 200мм</t>
  </si>
  <si>
    <t>Планка добірна 60мм.100</t>
  </si>
  <si>
    <t>Планка добірна 60мм.200</t>
  </si>
  <si>
    <t>Планка добірна 110мм.100</t>
  </si>
  <si>
    <t>Планка добірна 110мм.200</t>
  </si>
  <si>
    <t>Планка добірна 200мм.100</t>
  </si>
  <si>
    <t>Планка добірна 200мм.200</t>
  </si>
  <si>
    <t>добірна планка: 60 мм (МДФ)</t>
  </si>
  <si>
    <t>добірна планка: 110 мм (МДФ)</t>
  </si>
  <si>
    <t>добірна планка: 200 мм (МДФ)</t>
  </si>
  <si>
    <t>Планка добірна 60мм.Verto-Cell</t>
  </si>
  <si>
    <t>Планка добірна 60мм.Verto-Cell Plus</t>
  </si>
  <si>
    <t>Планка добірна 60мм.Uni-Mat</t>
  </si>
  <si>
    <t>Планка добірна 60мм.Резист</t>
  </si>
  <si>
    <t>Планка добірна 60мм.LINE-3D</t>
  </si>
  <si>
    <t>Планка добірна 60мм.Лофт</t>
  </si>
  <si>
    <t>Планка добірна 110мм.Verto-Cell</t>
  </si>
  <si>
    <t>Планка добірна 110мм.Verto-Cell Plus</t>
  </si>
  <si>
    <t>Планка добірна 110мм.Uni-Mat</t>
  </si>
  <si>
    <t>Планка добірна 110мм.Резист</t>
  </si>
  <si>
    <t>Планка добірна 110мм.LINE-3D</t>
  </si>
  <si>
    <t>Планка добірна 110мм.Лофт</t>
  </si>
  <si>
    <t>Планка добірна 200мм.Verto-Cell</t>
  </si>
  <si>
    <t>Планка добірна 200мм.Verto-Cell Plus</t>
  </si>
  <si>
    <t>Планка добірна 200мм.Uni-Mat</t>
  </si>
  <si>
    <t>Планка добірна 200мм.Резист</t>
  </si>
  <si>
    <t>Планка добірна 200мм.LINE-3D</t>
  </si>
  <si>
    <t>Планка добірна 200мм.Лофт</t>
  </si>
  <si>
    <t>Регулювальна планка: 80мм (МДФ)</t>
  </si>
  <si>
    <t>Регулювальна планка: 160мм (МДФ)</t>
  </si>
  <si>
    <t>Регулювальна планка: 200мм (МДФ)</t>
  </si>
  <si>
    <t>Регулювальна планка: 80мм (МДФ)до Дверної Коробки Verto-FIT Comfort</t>
  </si>
  <si>
    <t>Регулювальна планка: 160мм (МДФ)до Дверної Коробки Verto-FIT Comfort</t>
  </si>
  <si>
    <t>Регулювальна планка: 200мм (МДФ)до Дверної Коробки Verto-FIT Comfort</t>
  </si>
  <si>
    <t>Завіса напівшарнірна (хром)</t>
  </si>
  <si>
    <t>Накладка на завіси (золото)</t>
  </si>
  <si>
    <t>Відповідна Планка Замка (хром)</t>
  </si>
  <si>
    <t>Адаптор під ключ</t>
  </si>
  <si>
    <t>Циліндр (вкладиш-патент)</t>
  </si>
  <si>
    <t>розмір(мм): 2070*670</t>
  </si>
  <si>
    <t>розмір(мм): 2070*770</t>
  </si>
  <si>
    <t>розмір(мм): 2070*870</t>
  </si>
  <si>
    <t>розмір(мм): 2070*970</t>
  </si>
  <si>
    <t>розмір(мм): 2070*1070</t>
  </si>
  <si>
    <t>розмір(мм): 2050*626</t>
  </si>
  <si>
    <t>розмір(мм): 2050*726</t>
  </si>
  <si>
    <t>розмір(мм): 2050*826</t>
  </si>
  <si>
    <t>розмір(мм): 2050*926</t>
  </si>
  <si>
    <t>розмір(мм): 2050*1026</t>
  </si>
  <si>
    <t>розмір(мм): 2063*652</t>
  </si>
  <si>
    <t>розмір(мм): 2063*752</t>
  </si>
  <si>
    <t>розмір(мм): 2063*852</t>
  </si>
  <si>
    <t>розмір(мм): 2063*952</t>
  </si>
  <si>
    <t>розмір(мм): 2063*1052</t>
  </si>
  <si>
    <t>розмір(мм): 2130*1460</t>
  </si>
  <si>
    <t>розмір(мм): 2130*1660</t>
  </si>
  <si>
    <t>розмір(мм): 2130*1860</t>
  </si>
  <si>
    <t>розмір(мм): 2130*2060</t>
  </si>
  <si>
    <t xml:space="preserve">розмір(мм): </t>
  </si>
  <si>
    <t>розмір(мм): 2220*1100</t>
  </si>
  <si>
    <t>розмір(мм): 2070*1030</t>
  </si>
  <si>
    <t>розмір(мм): 2050</t>
  </si>
  <si>
    <t>розмір (мм): 2040*626 з фальцем (робоче полотно)</t>
  </si>
  <si>
    <t>розмір (мм): 2040*726 з фальцем (робоче полотно)</t>
  </si>
  <si>
    <t>розмір (мм): 2040*826 з фальцем (робоче полотно)</t>
  </si>
  <si>
    <t>розмір (мм): 2040*926 з фальцем (робоче полотно)</t>
  </si>
  <si>
    <t>розмір (мм): 2040*626 з фальцем (неробоче полотно)</t>
  </si>
  <si>
    <t>розмір (мм): 2040*726 з фальцем (неробоче полотно)</t>
  </si>
  <si>
    <t>розмір (мм): 2040*826 з фальцем (неробоче полотно)</t>
  </si>
  <si>
    <t>розмір (мм): 2040*926 з фальцем (неробоче полотно)</t>
  </si>
  <si>
    <t>розмір (мм): 2040*626 без фальцю (робоче полотно)</t>
  </si>
  <si>
    <t>розмір (мм): 2040*726 без фальцю (робоче полотно)</t>
  </si>
  <si>
    <t>розмір (мм): 2040*826 без фальцю (робоче полотно)</t>
  </si>
  <si>
    <t>розмір (мм): 2040*926 без фальцю (робоче полотно)</t>
  </si>
  <si>
    <t>розмір (мм): 2040*1026 з фальцем (робоче полотно)</t>
  </si>
  <si>
    <t>розмір (мм): 2040*426 з фальцем (неробоче полотно)</t>
  </si>
  <si>
    <t>розмір (мм): 2040*1026 з фальцем (неробоче полотно)</t>
  </si>
  <si>
    <t>розмір (мм): 2040*1026 без фальцю (робоче полотно)</t>
  </si>
  <si>
    <t>розмір (мм): 2040*626 без фальцю (двері-купе)</t>
  </si>
  <si>
    <t>розмір (мм): 2040*726 без фальцю (двері-купе)</t>
  </si>
  <si>
    <t>розмір (мм): 2040*826 без фальцю (двері-купе)</t>
  </si>
  <si>
    <t>розмір (мм): 2040*926 без фальцю (двері-купе)</t>
  </si>
  <si>
    <t>розмір (мм): 2040*1026 без фальцю (двері-купе)</t>
  </si>
  <si>
    <t>розмір (мм): 2027*600 скло (робоче полотно)</t>
  </si>
  <si>
    <t>розмір (мм): 2027*700 скло (робоче полотно)</t>
  </si>
  <si>
    <t>розмір (мм): 2027*800 скло (робоче полотно)</t>
  </si>
  <si>
    <t>розмір (мм): 2027*900 скло (робоче полотно)</t>
  </si>
  <si>
    <t>розмір (мм): 2027*1000 скло (робоче полотно)</t>
  </si>
  <si>
    <t>розмір(мм): 2050*626  тунель</t>
  </si>
  <si>
    <t>розмір(мм): 2050*726  тунель</t>
  </si>
  <si>
    <t>розмір(мм): 2050*826  тунель</t>
  </si>
  <si>
    <t>розмір(мм): 2050*926  тунель</t>
  </si>
  <si>
    <t>розмір(мм): 2050*1026  тунель</t>
  </si>
  <si>
    <t>колір: дуб африканський (верто-цел)</t>
  </si>
  <si>
    <t>колір: дуб золотистий (верто-цел)</t>
  </si>
  <si>
    <t>колір: горіх медовий (верто-цел)</t>
  </si>
  <si>
    <t>колір: дуб британський (верто-цел)</t>
  </si>
  <si>
    <t>колір: дуб вибілений (верто-цел)</t>
  </si>
  <si>
    <t>колір: дуб ретро (верто-цел)</t>
  </si>
  <si>
    <t>колір: дуб невада (верто-цел)</t>
  </si>
  <si>
    <t>колір: дуб ірландський (верто-цел)</t>
  </si>
  <si>
    <t>колір: сосна азіатська (верто-цел)</t>
  </si>
  <si>
    <t>колір: гесато (верто-цел)</t>
  </si>
  <si>
    <t>колір: дуб катання (верто-цел)</t>
  </si>
  <si>
    <t>колір: капучино (уні-мат)</t>
  </si>
  <si>
    <t>колір: графіт (уні-мат)</t>
  </si>
  <si>
    <t>колір: антрацит (уні-мат)</t>
  </si>
  <si>
    <t>колір: ясен (резист)</t>
  </si>
  <si>
    <t>колір: горіх (резист)</t>
  </si>
  <si>
    <t>колір: дуб темний (резист)</t>
  </si>
  <si>
    <t>колір: дуб мілано (резист)</t>
  </si>
  <si>
    <t>колір: кора біла (верто лайн-3Д)</t>
  </si>
  <si>
    <t>колір: кора попеляста (верто лайн-3Д)</t>
  </si>
  <si>
    <t>колір: кора дуб (верто лайн-3Д)</t>
  </si>
  <si>
    <t>колір: кора венге (верто лайн-3Д)</t>
  </si>
  <si>
    <t>колір: акація медова (ЕКО Шпон)</t>
  </si>
  <si>
    <t>колір: акація світла (ЕКО Шпон)</t>
  </si>
  <si>
    <t>колір: дуб карпатський (ЕКО Шпон)</t>
  </si>
  <si>
    <t>колір: бетон темний (лофт)</t>
  </si>
  <si>
    <t>колір: дуб полярний (ЕКО Шпон)</t>
  </si>
  <si>
    <t>колір: кора береза (верто лайн-3Д)</t>
  </si>
  <si>
    <t>зап:відсутнє</t>
  </si>
  <si>
    <t>скло: кризет</t>
  </si>
  <si>
    <t>скло: сатин</t>
  </si>
  <si>
    <t>скло: жалюзі</t>
  </si>
  <si>
    <t>скло: малюнок</t>
  </si>
  <si>
    <t>скло: графіт</t>
  </si>
  <si>
    <t>скло: бронза</t>
  </si>
  <si>
    <t>скло: триплекс матовий</t>
  </si>
  <si>
    <t>скло: чорний триплекс</t>
  </si>
  <si>
    <t>скло: відсутнє</t>
  </si>
  <si>
    <t>фурн: без замку та завіс</t>
  </si>
  <si>
    <t>фурн: без замка та завіс + вент.відд</t>
  </si>
  <si>
    <t>фурн: без замка та завіс + вент. підріз</t>
  </si>
  <si>
    <t>фурн: замок Soft (циліндр) + 2 завіси</t>
  </si>
  <si>
    <t>фурн: замок Soft (сантехнічний) + 2 завіси</t>
  </si>
  <si>
    <t>фурн: замок Magnet (циліндр) + 2 завіси</t>
  </si>
  <si>
    <t>фурн: замок Magnet (сантехнічний) + 2 завіси</t>
  </si>
  <si>
    <t>фурн: замок Soft (циліндр) + 2 завіси + вент.відд</t>
  </si>
  <si>
    <t>фурн: замок Soft (сантехнічний) + 2 завіси + вент.відд</t>
  </si>
  <si>
    <t>фурн: замок Magnet (циліндр) + 2 завіси + вент.відд</t>
  </si>
  <si>
    <t>фурн: замок Soft (циліндр) + 2 завіси + вент.підріз</t>
  </si>
  <si>
    <t>фурн: замок Soft (сантехнічний) + 2 завіси + вент.підріз</t>
  </si>
  <si>
    <t>фурн: замок Magnet (циліндр) + 2 завіси + вент.підріз</t>
  </si>
  <si>
    <t>фурн: замок Magnet (сантехнічний) + 2 завіси + вент.підріз</t>
  </si>
  <si>
    <t>фурн: замок Soft (циліндр) + 3 завіси</t>
  </si>
  <si>
    <t>фурн: замок Soft (сантехнічний) + 3 завіси</t>
  </si>
  <si>
    <t>фурн: замок Magnet (циліндр) + 3 завіси</t>
  </si>
  <si>
    <t>фурн: замок Magnet (сантехнічний) + 3 завіси</t>
  </si>
  <si>
    <t>фурн: замок Soft (циліндр) + 3 завіси + вент.відд</t>
  </si>
  <si>
    <t>фурн: замок Soft (сантехнічний) + 3 завіси + вент.відд</t>
  </si>
  <si>
    <t>фурн: замок Magnet (циліндр) + 3 завіси + вент.відд</t>
  </si>
  <si>
    <t>фурн: замок Magnet (сантехнічний) + 3 завіси + вент.відд</t>
  </si>
  <si>
    <t>фурн: замок Soft (циліндр) + 3 завіси + вент. підріз</t>
  </si>
  <si>
    <t>фурн: замок Soft (сантехнічний) + 3 завіси + вент. підріз</t>
  </si>
  <si>
    <t>фурн: замок Magnet (циліндр) + 3 завіси + вент. підріз</t>
  </si>
  <si>
    <t>фурн: замок Magnet (сантехнічний) + 3 завіси + вент. підріз</t>
  </si>
  <si>
    <t>фурн: замок Magnet (циліндр) без завіс</t>
  </si>
  <si>
    <t>фурн: замок Magnet (сантехнічний) без завіс</t>
  </si>
  <si>
    <t>фурн: замок Magnet (циліндр) без завіс + вент.відд</t>
  </si>
  <si>
    <t>фурн: замок Magnet (сантехнічний) без завіс + вент.відд</t>
  </si>
  <si>
    <t>фурн: замок Magnet (циліндр) без завіс + вент.підріз</t>
  </si>
  <si>
    <t>фурн: замок Magnet (сантехнічний) без завіс + вент.підріз</t>
  </si>
  <si>
    <t>фурн: замок Glass (універсальний) + 2 завіси</t>
  </si>
  <si>
    <t>фурн: замок Glass (ключ) + 2 завіси</t>
  </si>
  <si>
    <t>фурн: замок Glass (циліндр) + 2 завіси</t>
  </si>
  <si>
    <t>фурн: ручка-замок + паз унизу полотна під напрямну</t>
  </si>
  <si>
    <t>фурн: ручка-захват + паз внизу полотна під напрямну</t>
  </si>
  <si>
    <t>фурн: ручка-захват + паз внизу полотна під напрямну + вент.відд</t>
  </si>
  <si>
    <t>фурн: ручка-замок + паз внизу полотна під напрямну + вент.відд</t>
  </si>
  <si>
    <t>фурн: без врізання та встановлення фурнітури (завіси та планка відповідна)</t>
  </si>
  <si>
    <t>фурн: відп планка замка Standard + 2 завіси + ущільнювач</t>
  </si>
  <si>
    <t>фурн: відп планка замка Soft + 2 завіси + ущільнювач</t>
  </si>
  <si>
    <t>фурн: відп планка замка Magnet + 2 завіси + ущільнювач</t>
  </si>
  <si>
    <t>фурн: відп планка замка Standard + 3 завіси + ущільнювач</t>
  </si>
  <si>
    <t>фурн: відп планка замка Soft + 3 завіси + ущільнювач</t>
  </si>
  <si>
    <t>фурн: відп планка замка Magnet + 3 завіси + ущільнювач</t>
  </si>
  <si>
    <t>фурн: механізм (ролики, напрямний елемент) + декоративна накладка + відбійний елемент</t>
  </si>
  <si>
    <t>фурн: відпов планка замка Magnet без врізання та встановлення завіс + ущільнювач</t>
  </si>
  <si>
    <t>фурн: відпов планка замка Magnet + 2 завіси приховані 3D (завіси в комплекті) + ущільнювач</t>
  </si>
  <si>
    <t>фурн: відпов планка замка Magnet + 3 завіси приховані 3D (завіси в комплекті) + ущільнювач</t>
  </si>
  <si>
    <t>фурн: відпов планка замка + механізм (ролики, напрямний елемент) + декоративна накладка + відбійний елемент</t>
  </si>
  <si>
    <t>завіса: ліва</t>
  </si>
  <si>
    <t xml:space="preserve">завіса: ліва  </t>
  </si>
  <si>
    <t xml:space="preserve">завіса: права </t>
  </si>
  <si>
    <t>завіса: права</t>
  </si>
  <si>
    <t>завіса: відсутня</t>
  </si>
  <si>
    <t>Замок Standard під циліндр (хром) правий</t>
  </si>
  <si>
    <t>Замок Standard під ключ (хром) правий</t>
  </si>
  <si>
    <t>Замок Standard сантехнічний (хром) правий</t>
  </si>
  <si>
    <t>Замок Standard під циліндр (хром) лівий</t>
  </si>
  <si>
    <t>Замок Standard під ключ (хром) лівий</t>
  </si>
  <si>
    <t>Замок Standard сантехнічний (хром) лівий</t>
  </si>
  <si>
    <t>Замок Standard цл прав</t>
  </si>
  <si>
    <t>Замок Standard кл прав</t>
  </si>
  <si>
    <t>Замок Standard ст прав</t>
  </si>
  <si>
    <t>Замок Standard цл лев</t>
  </si>
  <si>
    <t>Замок Standard кл лев</t>
  </si>
  <si>
    <t>Замок Standard ст лев</t>
  </si>
  <si>
    <t>Ручка дверна VERONA (золото)</t>
  </si>
  <si>
    <t>Ручка дверна MILANO (золото)</t>
  </si>
  <si>
    <t>Ручка дверна HANDY (срібло)</t>
  </si>
  <si>
    <t>Ручка дверна PRIUS (срібло)</t>
  </si>
  <si>
    <t>Ручка дверна OFFICE (античная латунь)</t>
  </si>
  <si>
    <t>завіса накладна (хром)</t>
  </si>
  <si>
    <t>завіса штирова Presige (золото)</t>
  </si>
  <si>
    <t>завіса  штирова Presige (срібло)</t>
  </si>
  <si>
    <t>ДП Геометрія</t>
  </si>
  <si>
    <t>ДП Геометрія.ДСП тр.</t>
  </si>
  <si>
    <t>ДП Геометрія.</t>
  </si>
  <si>
    <t>ДП Геометрія.ВП</t>
  </si>
  <si>
    <t>ДП Геометрія.1/0</t>
  </si>
  <si>
    <t>ДП Геометрія.1/1</t>
  </si>
  <si>
    <t>ДП Геометрія.3/0</t>
  </si>
  <si>
    <t>ДП Геометрія.3/3</t>
  </si>
  <si>
    <t>ДП Геометрія.4/0</t>
  </si>
  <si>
    <t>ДП Геометрія.4/4</t>
  </si>
  <si>
    <t>ДП Геометрія.5/0</t>
  </si>
  <si>
    <t>ДП Геометрія.5/5</t>
  </si>
  <si>
    <t>ДП Геометрія.6/0</t>
  </si>
  <si>
    <t>ДП Геометрія.6/6</t>
  </si>
  <si>
    <t>ДП Геометрія.1/0.Verto-Cell</t>
  </si>
  <si>
    <t>ДП Геометрія.1/1.Verto-Cell</t>
  </si>
  <si>
    <t>ДП Геометрія.3/0.Verto-Cell</t>
  </si>
  <si>
    <t>ДП Геометрія.3/3.Verto-Cell</t>
  </si>
  <si>
    <t>ДП Геометрія.4/0.Verto-Cell</t>
  </si>
  <si>
    <t>ДП Геометрія.4/4.Verto-Cell</t>
  </si>
  <si>
    <t>ДП Геометрія.5/0.Verto-Cell</t>
  </si>
  <si>
    <t>ДП Геометрія.5/5.Verto-Cell</t>
  </si>
  <si>
    <t>ДП Геометрія.6/0.Verto-Cell</t>
  </si>
  <si>
    <t>ДП Геометрія.6/6.Verto-Cell</t>
  </si>
  <si>
    <t>ДП Геометрія.1/0.Uni-Mat</t>
  </si>
  <si>
    <t>ДП Геометрія.1/1.Uni-Mat</t>
  </si>
  <si>
    <t>ДП Геометрія.3/0.Uni-Mat</t>
  </si>
  <si>
    <t>ДП Геометрія.3/3.Uni-Mat</t>
  </si>
  <si>
    <t>ДП Геометрія.4/0.Uni-Mat</t>
  </si>
  <si>
    <t>ДП Геометрія.4/4.Uni-Mat</t>
  </si>
  <si>
    <t>ДП Геометрія.5/0.Uni-Mat</t>
  </si>
  <si>
    <t>ДП Геометрія.5/5.Uni-Mat</t>
  </si>
  <si>
    <t>ДП Геометрія.6/0.Uni-Mat</t>
  </si>
  <si>
    <t>ДП Геометрія.6/6.Uni-Mat</t>
  </si>
  <si>
    <t>ДП Геометрія.1/0.Резист</t>
  </si>
  <si>
    <t>ДП Геометрія.1/1.Резист</t>
  </si>
  <si>
    <t>ДП Геометрія.3/0.Резист</t>
  </si>
  <si>
    <t>ДП Геометрія.3/3.Резист</t>
  </si>
  <si>
    <t>ДП Геометрія.4/0.Резист</t>
  </si>
  <si>
    <t>ДП Геометрія.4/4.Резист</t>
  </si>
  <si>
    <t>ДП Геометрія.5/0.Резист</t>
  </si>
  <si>
    <t>ДП Геометрія.5/5.Резист</t>
  </si>
  <si>
    <t>ДП Геометрія.6/0.Резист</t>
  </si>
  <si>
    <t>ДП Геометрія.6/6.Резист</t>
  </si>
  <si>
    <t>ДП Геометрія.1/1.Кризет</t>
  </si>
  <si>
    <t>ДП Геометрія.1/1.Сатин</t>
  </si>
  <si>
    <t>ДП Геометрія.1/1.Бронза</t>
  </si>
  <si>
    <t>ДП Геометрія.3/3.Кризет</t>
  </si>
  <si>
    <t>ДП Геометрія.3/3.Сатин</t>
  </si>
  <si>
    <t>ДП Геометрія.3/3.Бронза</t>
  </si>
  <si>
    <t>ДП Геометрія.4/4.Кризет</t>
  </si>
  <si>
    <t>ДП Геометрія.4/4.Сатин</t>
  </si>
  <si>
    <t>ДП Геометрія.4/4.Бронза</t>
  </si>
  <si>
    <t>ДП Геометрія.5/5.Кризет</t>
  </si>
  <si>
    <t>ДП Геометрія.5/5.Сатин</t>
  </si>
  <si>
    <t>ДП Геометрія.5/5.Бронза</t>
  </si>
  <si>
    <t>ДП Геометрія.6/6.Кризет</t>
  </si>
  <si>
    <t>ДП Геометрія.6/6.Сатин</t>
  </si>
  <si>
    <t>ДП Геометрія.6/6.Бронза</t>
  </si>
  <si>
    <t>ДП Геометрія.Ручка-Захват</t>
  </si>
  <si>
    <t>ДП Геометрія.Ручка-Замок</t>
  </si>
  <si>
    <t>ДП Ідея</t>
  </si>
  <si>
    <t>ДП Ідея-Лофт</t>
  </si>
  <si>
    <t>ДП Ідея.ДСП тр.</t>
  </si>
  <si>
    <t>ДП Ідея-ЛОФТ</t>
  </si>
  <si>
    <t>ДП Ідея-ЛОФТ.ДСП тр.</t>
  </si>
  <si>
    <t>ДП Ідея.</t>
  </si>
  <si>
    <t>ДП Ідея.ВП</t>
  </si>
  <si>
    <t>ДП Ідея-ЛОФТ.</t>
  </si>
  <si>
    <t>ДП Ідея-ЛОФТ.ВП</t>
  </si>
  <si>
    <t>ДП Ідея.1</t>
  </si>
  <si>
    <t>ДП Ідея.3/0</t>
  </si>
  <si>
    <t>ДП Ідея.3/1</t>
  </si>
  <si>
    <t>ДП Ідея.3/2</t>
  </si>
  <si>
    <t>ДП Ідея.3/3</t>
  </si>
  <si>
    <t>ДП Ідея.4/0</t>
  </si>
  <si>
    <t>ДП Ідея.4/1</t>
  </si>
  <si>
    <t>ДП Ідея.4/2</t>
  </si>
  <si>
    <t>ДП Ідея.4/3</t>
  </si>
  <si>
    <t>ДП Ідея.4/4</t>
  </si>
  <si>
    <t>ДП Ідея.6/0</t>
  </si>
  <si>
    <t>ДП Ідея.6/6</t>
  </si>
  <si>
    <t>ДП Ідея.7/0</t>
  </si>
  <si>
    <t>ДП Ідея.7/1</t>
  </si>
  <si>
    <t>ДП Ідея-ЛОФТ.1</t>
  </si>
  <si>
    <t>ДП Ідея.1.Verto-Cell</t>
  </si>
  <si>
    <t>ДП Ідея.3/0.Verto-Cell</t>
  </si>
  <si>
    <t>ДП Ідея.3/1.Verto-Cell</t>
  </si>
  <si>
    <t>ДП Ідея.3/2.Verto-Cell</t>
  </si>
  <si>
    <t>ДП Ідея.3/3.Verto-Cell</t>
  </si>
  <si>
    <t>ДП Ідея.4/0.Verto-Cell</t>
  </si>
  <si>
    <t>ДП Ідея.4/1.Verto-Cell</t>
  </si>
  <si>
    <t>ДП Ідея.4/2.Verto-Cell</t>
  </si>
  <si>
    <t>ДП Ідея.4/3.Verto-Cell</t>
  </si>
  <si>
    <t>ДП Ідея.4/4.Verto-Cell</t>
  </si>
  <si>
    <t>ДП Ідея.6/0.Verto-Cell</t>
  </si>
  <si>
    <t>ДП Ідея.6/6.Verto-Cell</t>
  </si>
  <si>
    <t>ДП Ідея.7/0.Verto-Cell</t>
  </si>
  <si>
    <t>ДП Ідея.7/1.Verto-Cell</t>
  </si>
  <si>
    <t>ДП Ідея.1.Uni-Mat</t>
  </si>
  <si>
    <t>ДП Ідея.3/0.Uni-Mat</t>
  </si>
  <si>
    <t>ДП Ідея.3/1.Uni-Mat</t>
  </si>
  <si>
    <t>ДП Ідея.3/2.Uni-Mat</t>
  </si>
  <si>
    <t>ДП Ідея.3/3.Uni-Mat</t>
  </si>
  <si>
    <t>ДП Ідея.4/0.Uni-Mat</t>
  </si>
  <si>
    <t>ДП Ідея.4/1.Uni-Mat</t>
  </si>
  <si>
    <t>ДП Ідея.4/2.Uni-Mat</t>
  </si>
  <si>
    <t>ДП Ідея.4/3.Uni-Mat</t>
  </si>
  <si>
    <t>ДП Ідея.4/4.Uni-Mat</t>
  </si>
  <si>
    <t>ДП Ідея.6/0.Uni-Mat</t>
  </si>
  <si>
    <t>ДП Ідея.6/6.Uni-Mat</t>
  </si>
  <si>
    <t>ДП Ідея.7/0.Uni-Mat</t>
  </si>
  <si>
    <t>ДП Ідея.7/1.Uni-Mat</t>
  </si>
  <si>
    <t>ДП Ідея.1.Резист</t>
  </si>
  <si>
    <t>ДП Ідея.3/0.Резист</t>
  </si>
  <si>
    <t>ДП Ідея.3/1.Резист</t>
  </si>
  <si>
    <t>ДП Ідея.3/2.Резист</t>
  </si>
  <si>
    <t>ДП Ідея.3/3.Резист</t>
  </si>
  <si>
    <t>ДП Ідея.4/0.Резист</t>
  </si>
  <si>
    <t>ДП Ідея.4/1.Резист</t>
  </si>
  <si>
    <t>ДП Ідея.4/2.Резист</t>
  </si>
  <si>
    <t>ДП Ідея.4/3.Резист</t>
  </si>
  <si>
    <t>ДП Ідея.4/4.Резист</t>
  </si>
  <si>
    <t>ДП Ідея.6/0.Резист</t>
  </si>
  <si>
    <t>ДП Ідея.6/6.Резист</t>
  </si>
  <si>
    <t>ДП Ідея.7/0.Резист</t>
  </si>
  <si>
    <t>ДП Ідея.7/1.Резист</t>
  </si>
  <si>
    <t>ДП Ідея.3/1.Сатин</t>
  </si>
  <si>
    <t>ДП Ідея-ЛОФТ.1.Лофт</t>
  </si>
  <si>
    <t>ДП Ідея.3/1.Бронза</t>
  </si>
  <si>
    <t>ДП Ідея.3/2.Сатин</t>
  </si>
  <si>
    <t>ДП Ідея.3/2.Бронза</t>
  </si>
  <si>
    <t>ДП Ідея.3/3.Сатин</t>
  </si>
  <si>
    <t>ДП Ідея.3/3.Бронза</t>
  </si>
  <si>
    <t>ДП Ідея.4/1.Сатин</t>
  </si>
  <si>
    <t>ДП Ідея.4/1.Бронза</t>
  </si>
  <si>
    <t>ДП Ідея.4/2.Сатин</t>
  </si>
  <si>
    <t>ДП Ідея.4/2.Бронза</t>
  </si>
  <si>
    <t>ДП Ідея.4/3.Сатин</t>
  </si>
  <si>
    <t>ДП Ідея.4/3.Бронза</t>
  </si>
  <si>
    <t>ДП Ідея.4/4.Сатин</t>
  </si>
  <si>
    <t>ДП Ідея.4/4.Бронза</t>
  </si>
  <si>
    <t>ДП Ідея.6/6.Сатин</t>
  </si>
  <si>
    <t>ДП Ідея.6/6.Бронза</t>
  </si>
  <si>
    <t>ДП Ідея.7/1.Сатин</t>
  </si>
  <si>
    <t>ДП Ідея.7/1.Бронза</t>
  </si>
  <si>
    <t>ДП Ідея.Ручка-Захват</t>
  </si>
  <si>
    <t>ДП Ідея.Ручка-Замок</t>
  </si>
  <si>
    <t>ДП Ідея-ЛОФТ.Ручка-Захват</t>
  </si>
  <si>
    <t>ДП Ідея-ЛОФТ.Ручка-Замок</t>
  </si>
  <si>
    <t>ДП Ніка</t>
  </si>
  <si>
    <t>ДП Ніка.</t>
  </si>
  <si>
    <t>ДП Ніка.ВП</t>
  </si>
  <si>
    <t>ДП Ніка.1/0</t>
  </si>
  <si>
    <t>ДП Ніка.1/1</t>
  </si>
  <si>
    <t>ДП Ніка.1/2</t>
  </si>
  <si>
    <t>ДП Ніка.1/3</t>
  </si>
  <si>
    <t>ДП Ніка.1/4</t>
  </si>
  <si>
    <t>ДП Ніка.1/5</t>
  </si>
  <si>
    <t>ДП Ніка.1/6</t>
  </si>
  <si>
    <t>ДП Ніка.1/7</t>
  </si>
  <si>
    <t>ДП Ніка.1/8</t>
  </si>
  <si>
    <t>ДП Ніка.2/1</t>
  </si>
  <si>
    <t>ДП Ніка.2/2</t>
  </si>
  <si>
    <t>ДП Ніка.2/3</t>
  </si>
  <si>
    <t>ДП Ніка.2/4</t>
  </si>
  <si>
    <t>ДП Ніка.1/1.Сатин</t>
  </si>
  <si>
    <t>ДП Ніка.1/1.Бронза</t>
  </si>
  <si>
    <t>ДП Ніка.1/2.Сатин</t>
  </si>
  <si>
    <t>ДП Ніка.1/2.Бронза</t>
  </si>
  <si>
    <t>ДП Ніка.1/3.Сатин</t>
  </si>
  <si>
    <t>ДП Ніка.1/3.Бронза</t>
  </si>
  <si>
    <t>ДП Ніка.1/4.Сатин</t>
  </si>
  <si>
    <t>ДП Ніка.1/4.Бронза</t>
  </si>
  <si>
    <t>ДП Ніка.1/5.Сатин</t>
  </si>
  <si>
    <t>ДП Ніка.1/5.Бронза</t>
  </si>
  <si>
    <t>ДП Ніка.1/6.Сатин</t>
  </si>
  <si>
    <t>ДП Ніка.1/6.Бронза</t>
  </si>
  <si>
    <t>ДП Ніка.1/7.Сатин</t>
  </si>
  <si>
    <t>ДП Ніка.1/7.Бронза</t>
  </si>
  <si>
    <t>ДП Ніка.1/8.Сатин</t>
  </si>
  <si>
    <t>ДП Ніка.1/8.Бронза</t>
  </si>
  <si>
    <t>ДП Ніка.2/1.Сатин</t>
  </si>
  <si>
    <t>ДП Ніка.Ручка-Захват</t>
  </si>
  <si>
    <t>ДП Ніка.2/1.Бронза</t>
  </si>
  <si>
    <t>ДП Ніка.Ручка-Замок</t>
  </si>
  <si>
    <t>ДП Ніка.2/2.Сатин</t>
  </si>
  <si>
    <t>ДП Ніка.2/2.Бронза</t>
  </si>
  <si>
    <t>ДП Ніка.2/3.Сатин</t>
  </si>
  <si>
    <t>ДП Ніка.2/3.Бронза</t>
  </si>
  <si>
    <t>ДП Ніка.2/4.Сатин</t>
  </si>
  <si>
    <t>ДП Ніка.2/4.Бронза</t>
  </si>
  <si>
    <t>ДП Ніка.1/0.Verto-Cell</t>
  </si>
  <si>
    <t>ДП Ніка.1/1.Verto-Cell</t>
  </si>
  <si>
    <t>ДП Ніка.1/2.Verto-Cell</t>
  </si>
  <si>
    <t>ДП Ніка.1/3.Verto-Cell</t>
  </si>
  <si>
    <t>ДП Ніка.1/4.Verto-Cell</t>
  </si>
  <si>
    <t>ДП Ніка.1/5.Verto-Cell</t>
  </si>
  <si>
    <t>ДП Ніка.1/6.Verto-Cell</t>
  </si>
  <si>
    <t>ДП Ніка.1/7.Verto-Cell</t>
  </si>
  <si>
    <t>ДП Ніка.1/8.Verto-Cell</t>
  </si>
  <si>
    <t>ДП Ніка.2/1.Verto-Cell</t>
  </si>
  <si>
    <t>ДП Ніка.2/2.Verto-Cell</t>
  </si>
  <si>
    <t>ДП Ніка.2/3.Verto-Cell</t>
  </si>
  <si>
    <t>ДП Ніка.2/4.Verto-Cell</t>
  </si>
  <si>
    <t>ДП Ніка.1/0.Uni-Mat.</t>
  </si>
  <si>
    <t>ДП Ніка.1/1.Uni-Mat.</t>
  </si>
  <si>
    <t>ДП Ніка.1/2.Uni-Mat.</t>
  </si>
  <si>
    <t>ДП Ніка.1/3.Uni-Mat.</t>
  </si>
  <si>
    <t>ДП Ніка.1/4.Uni-Mat.</t>
  </si>
  <si>
    <t>ДП Ніка.1/5.Uni-Mat.</t>
  </si>
  <si>
    <t>ДП Ніка.1/6.Uni-Mat.</t>
  </si>
  <si>
    <t>ДП Ніка.1/7.Uni-Mat.</t>
  </si>
  <si>
    <t>ДП Ніка.1/8.Uni-Mat.</t>
  </si>
  <si>
    <t>ДП Ніка.2/1.Uni-Mat.</t>
  </si>
  <si>
    <t>ДП Ніка.2/2.Uni-Mat.</t>
  </si>
  <si>
    <t>ДП Ніка.2/3.Uni-Mat.</t>
  </si>
  <si>
    <t>ДП Ніка.2/4.Uni-Mat.</t>
  </si>
  <si>
    <t>ДП Ніка.1/0.Резист</t>
  </si>
  <si>
    <t>ДП Ніка.1/1.Резист</t>
  </si>
  <si>
    <t>ДП Ніка.1/2.Резист</t>
  </si>
  <si>
    <t>ДП Ніка.1/3.Резист</t>
  </si>
  <si>
    <t>ДП Ніка.1/4.Резист</t>
  </si>
  <si>
    <t>ДП Ніка.1/5.Резист</t>
  </si>
  <si>
    <t>ДП Ніка.1/6.Резист</t>
  </si>
  <si>
    <t>ДП Ніка.1/7.Резист</t>
  </si>
  <si>
    <t>ДП Ніка.1/8.Резист</t>
  </si>
  <si>
    <t>ДП Ніка.2/1.Резист</t>
  </si>
  <si>
    <t>ДП Ніка.2/2.Резист</t>
  </si>
  <si>
    <t>ДП Ніка.2/3.Резист</t>
  </si>
  <si>
    <t>ДП Ніка.2/4.Резист</t>
  </si>
  <si>
    <t>ДП Ніка.1/0.LINE-3D</t>
  </si>
  <si>
    <t>ДП Ніка.1/1.LINE-3D</t>
  </si>
  <si>
    <t>ДП Ніка.1/2.LINE-3D</t>
  </si>
  <si>
    <t>ДП Ніка.1/3.LINE-3D</t>
  </si>
  <si>
    <t>ДП Ніка.1/4.LINE-3D</t>
  </si>
  <si>
    <t>ДП Ніка.1/5.LINE-3D</t>
  </si>
  <si>
    <t>ДП Ніка.1/6.LINE-3D</t>
  </si>
  <si>
    <t>ДП Ніка.1/7.LINE-3D</t>
  </si>
  <si>
    <t>ДП Ніка.1/8.LINE-3D</t>
  </si>
  <si>
    <t>ДП Ніка.2/1.LINE-3D</t>
  </si>
  <si>
    <t>ДП Ніка.2/2.LINE-3D</t>
  </si>
  <si>
    <t>ДП Ніка.2/3.LINE-3D</t>
  </si>
  <si>
    <t>ДП Ніка.2/4.LINE-3D</t>
  </si>
  <si>
    <t>ДП Ніка.100</t>
  </si>
  <si>
    <t>ДП Ліса</t>
  </si>
  <si>
    <t>ДП Ліса.</t>
  </si>
  <si>
    <t>ДП Ліса.ВП</t>
  </si>
  <si>
    <t>ДП Ліса.2/0</t>
  </si>
  <si>
    <t>ДП Ліса.2/1</t>
  </si>
  <si>
    <t>ДП Ліса.2/2</t>
  </si>
  <si>
    <t>ДП Ліса.3/0</t>
  </si>
  <si>
    <t>ДП Ліса.3/1</t>
  </si>
  <si>
    <t>ДП Ліса.3/2</t>
  </si>
  <si>
    <t>ДП Ліса.3/3</t>
  </si>
  <si>
    <t>ДП Ліса.3/4</t>
  </si>
  <si>
    <t>ДП Ліса.2/0.Сатин</t>
  </si>
  <si>
    <t>ДП Ліса.2/0.Бронза</t>
  </si>
  <si>
    <t>ДП Ліса.2/1.Сатин</t>
  </si>
  <si>
    <t>ДП Ліса.2/1.Бронза</t>
  </si>
  <si>
    <t>ДП Ліса.2/2.Сатин</t>
  </si>
  <si>
    <t>ДП Ліса.2/2.Бронза</t>
  </si>
  <si>
    <t>ДП Ліса.Ручка-Захват</t>
  </si>
  <si>
    <t>ДП Ліса.Ручка-Замок</t>
  </si>
  <si>
    <t>ДП Ліса.3/1.Сатин</t>
  </si>
  <si>
    <t>ДП Ліса.3/1.Бронза</t>
  </si>
  <si>
    <t>ДП Ліса.3/2.Сатин</t>
  </si>
  <si>
    <t>ДП Ліса.3/2.Бронза</t>
  </si>
  <si>
    <t>ДП Ліса.3/3.Сатин</t>
  </si>
  <si>
    <t>ДП Ліса.3/3.Бронза</t>
  </si>
  <si>
    <t>ДП Ліса.3/4.Сатин</t>
  </si>
  <si>
    <t>ДП Ліса.3/4.Бронза</t>
  </si>
  <si>
    <t>ДП Ліса.2/0.Verto-Cell</t>
  </si>
  <si>
    <t>ДП Ліса.2/1.Verto-Cell</t>
  </si>
  <si>
    <t>ДП Ліса.2/2.Verto-Cell</t>
  </si>
  <si>
    <t>ДП Ліса.3/0.Verto-Cell</t>
  </si>
  <si>
    <t>ДП Ліса.3/1.Verto-Cell</t>
  </si>
  <si>
    <t>ДП Ліса.3/2.Verto-Cell</t>
  </si>
  <si>
    <t>ДП Ліса.3/3.Verto-Cell</t>
  </si>
  <si>
    <t>ДП Ліса.3/4.Verto-Cell</t>
  </si>
  <si>
    <t>ДП Ліса.2/0.Uni-Mat.</t>
  </si>
  <si>
    <t>ДП Ліса.2/1.Uni-Mat.</t>
  </si>
  <si>
    <t>ДП Ліса.2/2.Uni-Mat.</t>
  </si>
  <si>
    <t>ДП Ліса.3/0.Uni-Mat.</t>
  </si>
  <si>
    <t>ДП Ліса.3/1.Uni-Mat.</t>
  </si>
  <si>
    <t>ДП Ліса.3/2.Uni-Mat.</t>
  </si>
  <si>
    <t>ДП Ліса.3/3.Uni-Mat.</t>
  </si>
  <si>
    <t>ДП Ліса.3/4.Uni-Mat.</t>
  </si>
  <si>
    <t>ДП Ліса.2/0.Резист</t>
  </si>
  <si>
    <t>ДП Ліса.2/1.Резист</t>
  </si>
  <si>
    <t>ДП Ліса.2/2.Резист</t>
  </si>
  <si>
    <t>ДП Ліса.3/0.Резист</t>
  </si>
  <si>
    <t>ДП Ліса.3/1.Резист</t>
  </si>
  <si>
    <t>ДП Ліса.3/2.Резист</t>
  </si>
  <si>
    <t>ДП Ліса.3/3.Резист</t>
  </si>
  <si>
    <t>ДП Ліса.3/4.Резист</t>
  </si>
  <si>
    <t>ДП Ліса.2/0.LINE-3D</t>
  </si>
  <si>
    <t>ДП Ліса.2/1.LINE-3D</t>
  </si>
  <si>
    <t>ДП Ліса.2/2.LINE-3D</t>
  </si>
  <si>
    <t>ДП Ліса.3/0.LINE-3D</t>
  </si>
  <si>
    <t>ДП Ліса.3/1.LINE-3D</t>
  </si>
  <si>
    <t>ДП Ліса.3/2.LINE-3D</t>
  </si>
  <si>
    <t>ДП Ліса.3/3.LINE-3D</t>
  </si>
  <si>
    <t>ДП Ліса.3/4.LINE-3D</t>
  </si>
  <si>
    <t>ДП Ліса.100</t>
  </si>
  <si>
    <t>ДП Міра</t>
  </si>
  <si>
    <t>ДП Міра.</t>
  </si>
  <si>
    <t>ДП Міра.ВП</t>
  </si>
  <si>
    <t>ДП Міра.1/0</t>
  </si>
  <si>
    <t>ДП Міра.1/1</t>
  </si>
  <si>
    <t>ДП Міра.1/2</t>
  </si>
  <si>
    <t>ДП Міра.1/3</t>
  </si>
  <si>
    <t>ДП Міра.1/4</t>
  </si>
  <si>
    <t>ДП Міра.1/5</t>
  </si>
  <si>
    <t>ДП Міра.1/6</t>
  </si>
  <si>
    <t>ДП Міра.2/1</t>
  </si>
  <si>
    <t>ДП Міра.2/2</t>
  </si>
  <si>
    <t>ДП Міра.2/3</t>
  </si>
  <si>
    <t>ДП Міра.Ручка-Захват</t>
  </si>
  <si>
    <t>ДП Міра.Ручка-Замок</t>
  </si>
  <si>
    <t>ДП Міра.1/1.Сатин</t>
  </si>
  <si>
    <t>ДП Міра.1/1.Бронза</t>
  </si>
  <si>
    <t>ДП Міра.1/2.Сатин</t>
  </si>
  <si>
    <t>ДП Міра.1/2.Бронза</t>
  </si>
  <si>
    <t>ДП Міра.1/3.Сатин</t>
  </si>
  <si>
    <t>ДП Міра.1/3.Бронза</t>
  </si>
  <si>
    <t>ДП Міра.1/4.Сатин</t>
  </si>
  <si>
    <t>ДП Міра.1/4.Бронза</t>
  </si>
  <si>
    <t>ДП Міра.1/5.Сатин</t>
  </si>
  <si>
    <t>ДП Міра.1/5.Бронза</t>
  </si>
  <si>
    <t>ДП Міра.1/6.Сатин</t>
  </si>
  <si>
    <t>ДП Міра.1/6.Бронза</t>
  </si>
  <si>
    <t>ДП Міра.2/1.Сатин</t>
  </si>
  <si>
    <t>ДП Міра.2/1.Бронза</t>
  </si>
  <si>
    <t>ДП Міра.2/2.Сатин</t>
  </si>
  <si>
    <t>ДП Міра.2/2.Бронза</t>
  </si>
  <si>
    <t>ДП Міра.2/3.Сатин</t>
  </si>
  <si>
    <t>ДП Міра.2/3.Бронза</t>
  </si>
  <si>
    <t>ДП Міра.1/0.Verto-Cell</t>
  </si>
  <si>
    <t>ДП Міра.1/1.Verto-Cell</t>
  </si>
  <si>
    <t>ДП Міра.1/2.Verto-Cell</t>
  </si>
  <si>
    <t>ДП Міра.1/3.Verto-Cell</t>
  </si>
  <si>
    <t>ДП Міра.1/4.Verto-Cell</t>
  </si>
  <si>
    <t>ДП Міра.1/5.Verto-Cell</t>
  </si>
  <si>
    <t>ДП Міра.1/6.Verto-Cell</t>
  </si>
  <si>
    <t>ДП Міра.2/1.Verto-Cell</t>
  </si>
  <si>
    <t>ДП Міра.2/2.Verto-Cell</t>
  </si>
  <si>
    <t>ДП Міра.2/3.Verto-Cell</t>
  </si>
  <si>
    <t>ДП Міра.1/0.Uni-Mat.</t>
  </si>
  <si>
    <t>ДП Міра.1/1.Uni-Mat.</t>
  </si>
  <si>
    <t>ДП Міра.1/2.Uni-Mat.</t>
  </si>
  <si>
    <t>ДП Міра.1/3.Uni-Mat.</t>
  </si>
  <si>
    <t>ДП Міра.1/4.Uni-Mat.</t>
  </si>
  <si>
    <t>ДП Міра.1/5.Uni-Mat.</t>
  </si>
  <si>
    <t>ДП Міра.1/6.Uni-Mat.</t>
  </si>
  <si>
    <t>ДП Міра.2/1.Uni-Mat.</t>
  </si>
  <si>
    <t>ДП Міра.2/2.Uni-Mat.</t>
  </si>
  <si>
    <t>ДП Міра.2/3.Uni-Mat.</t>
  </si>
  <si>
    <t>ДП Міра.1/0.Резист</t>
  </si>
  <si>
    <t>ДП Міра.1/1.Резист</t>
  </si>
  <si>
    <t>ДП Міра.1/2.Резист</t>
  </si>
  <si>
    <t>ДП Міра.1/3.Резист</t>
  </si>
  <si>
    <t>ДП Міра.1/4.Резист</t>
  </si>
  <si>
    <t>ДП Міра.1/5.Резист</t>
  </si>
  <si>
    <t>ДП Міра.1/6.Резист</t>
  </si>
  <si>
    <t>ДП Міра.2/1.Резист</t>
  </si>
  <si>
    <t>ДП Міра.2/2.Резист</t>
  </si>
  <si>
    <t>ДП Міра.2/3.Резист</t>
  </si>
  <si>
    <t>ДП Міра.1/0.LINE-3D</t>
  </si>
  <si>
    <t>ДП Міра.1/1.LINE-3D</t>
  </si>
  <si>
    <t>ДП Міра.1/2.LINE-3D</t>
  </si>
  <si>
    <t>ДП Міра.1/3.LINE-3D</t>
  </si>
  <si>
    <t>ДП Міра.1/4.LINE-3D</t>
  </si>
  <si>
    <t>ДП Міра.1/5.LINE-3D</t>
  </si>
  <si>
    <t>ДП Міра.1/6.LINE-3D</t>
  </si>
  <si>
    <t>ДП Міра.2/1.LINE-3D</t>
  </si>
  <si>
    <t>ДП Міра.2/2.LINE-3D</t>
  </si>
  <si>
    <t>ДП Міра.2/3.LINE-3D</t>
  </si>
  <si>
    <t>ДП Міра.100</t>
  </si>
  <si>
    <t>ДП Лінда</t>
  </si>
  <si>
    <t>ДП Лінда.</t>
  </si>
  <si>
    <t>ДП Лінда.ВП</t>
  </si>
  <si>
    <t>ДП Лінда.1/0</t>
  </si>
  <si>
    <t>ДП Лінда.1/1</t>
  </si>
  <si>
    <t>ДП Лінда.1/2</t>
  </si>
  <si>
    <t>ДП Лінда.1/3</t>
  </si>
  <si>
    <t>ДП Лінда.1/4</t>
  </si>
  <si>
    <t>ДП Лінда.1/5</t>
  </si>
  <si>
    <t>ДП Лінда.1/6</t>
  </si>
  <si>
    <t>ДП Лінда.1/7</t>
  </si>
  <si>
    <t>ДП Лінда.1/8</t>
  </si>
  <si>
    <t>ДП Лінда.Ручка-Захват</t>
  </si>
  <si>
    <t>ДП Лінда.Ручка-Замок</t>
  </si>
  <si>
    <t>ДП Лінда.1/1.Сатин</t>
  </si>
  <si>
    <t>ДП Лінда.1/1.Бронза</t>
  </si>
  <si>
    <t>ДП Лінда.1/2.Сатин</t>
  </si>
  <si>
    <t>ДП Лінда.1/2.Бронза</t>
  </si>
  <si>
    <t>ДП Лінда.1/3.Сатин</t>
  </si>
  <si>
    <t>ДП Лінда.1/3.Бронза</t>
  </si>
  <si>
    <t>ДП Лінда.1/4.Сатин</t>
  </si>
  <si>
    <t>ДП Лінда.1/4.Бронза</t>
  </si>
  <si>
    <t>ДП Лінда.1/5.Сатин</t>
  </si>
  <si>
    <t>ДП Лінда.1/5.Бронза</t>
  </si>
  <si>
    <t>ДП Лінда.1/6.Сатин</t>
  </si>
  <si>
    <t>ДП Лінда.1/6.Бронза</t>
  </si>
  <si>
    <t>ДП Лінда.1/7.Сатин</t>
  </si>
  <si>
    <t>ДП Лінда.1/7.Бронза</t>
  </si>
  <si>
    <t>ДП Лінда.1/8.Сатин</t>
  </si>
  <si>
    <t>ДП Лінда.1/8.Бронза</t>
  </si>
  <si>
    <t>ДП Лінда.100</t>
  </si>
  <si>
    <t>ДП Лінда.1/0.Verto-Cell</t>
  </si>
  <si>
    <t>ДП Лінда.1/1.Verto-Cell</t>
  </si>
  <si>
    <t>ДП Лінда.1/2.Verto-Cell</t>
  </si>
  <si>
    <t>ДП Лінда.1/3.Verto-Cell</t>
  </si>
  <si>
    <t>ДП Лінда.1/4.Verto-Cell</t>
  </si>
  <si>
    <t>ДП Лінда.1/5.Verto-Cell</t>
  </si>
  <si>
    <t>ДП Лінда.1/6.Verto-Cell</t>
  </si>
  <si>
    <t>ДП Лінда.1/7.Verto-Cell</t>
  </si>
  <si>
    <t>ДП Лінда.1/8.Verto-Cell</t>
  </si>
  <si>
    <t>ДП Лінда.1/0.Uni-Mat.</t>
  </si>
  <si>
    <t>ДП Лінда.1/1.Uni-Mat.</t>
  </si>
  <si>
    <t>ДП Лінда.1/2.Uni-Mat.</t>
  </si>
  <si>
    <t>ДП Лінда.1/3.Uni-Mat.</t>
  </si>
  <si>
    <t>ДП Лінда.1/4.Uni-Mat.</t>
  </si>
  <si>
    <t>ДП Лінда.1/5.Uni-Mat.</t>
  </si>
  <si>
    <t>ДП Лінда.1/6.Uni-Mat.</t>
  </si>
  <si>
    <t>ДП Лінда.1/7.Uni-Mat.</t>
  </si>
  <si>
    <t>ДП Лінда.1/8.Uni-Mat.</t>
  </si>
  <si>
    <t>ДП Лінда.1/0.Резист</t>
  </si>
  <si>
    <t>ДП Лінда.1/1.Резист</t>
  </si>
  <si>
    <t>ДП Лінда.1/2.Резист</t>
  </si>
  <si>
    <t>ДП Лінда.1/3.Резист</t>
  </si>
  <si>
    <t>ДП Лінда.1/4.Резист</t>
  </si>
  <si>
    <t>ДП Лінда.1/5.Резист</t>
  </si>
  <si>
    <t>ДП Лінда.1/6.Резист</t>
  </si>
  <si>
    <t>ДП Лінда.1/7.Резист</t>
  </si>
  <si>
    <t>ДП Лінда.1/8.Резист</t>
  </si>
  <si>
    <t>ДП Лінда.1/0.LINE-3D</t>
  </si>
  <si>
    <t>ДП Лінда.1/1.LINE-3D</t>
  </si>
  <si>
    <t>ДП Лінда.1/2.LINE-3D</t>
  </si>
  <si>
    <t>ДП Лінда.1/3.LINE-3D</t>
  </si>
  <si>
    <t>ДП Лінда.1/4.LINE-3D</t>
  </si>
  <si>
    <t>ДП Лінда.1/5.LINE-3D</t>
  </si>
  <si>
    <t>ДП Лінда.1/6.LINE-3D</t>
  </si>
  <si>
    <t>ДП Лінда.1/7.LINE-3D</t>
  </si>
  <si>
    <t>ДП Лінда.1/8.LINE-3D</t>
  </si>
  <si>
    <t>ДП Єва.</t>
  </si>
  <si>
    <t>ДП Єва.ВП</t>
  </si>
  <si>
    <t>ДП Єва</t>
  </si>
  <si>
    <t>ДП Єва.2/0</t>
  </si>
  <si>
    <t>ДП Єва.2/1</t>
  </si>
  <si>
    <t>ДП Єва.2/2</t>
  </si>
  <si>
    <t>ДП Єва.4/0</t>
  </si>
  <si>
    <t>ДП Єва.4/1</t>
  </si>
  <si>
    <t>ДП Єва.4/2</t>
  </si>
  <si>
    <t>ДП Єва.4/3</t>
  </si>
  <si>
    <t>ДП Єва.4/4</t>
  </si>
  <si>
    <t>ДП Єва.4/5</t>
  </si>
  <si>
    <t>ДП Єва.4/6</t>
  </si>
  <si>
    <t>ДП Єва.Ручка-Захват</t>
  </si>
  <si>
    <t>ДП Єва.Ручка-Замок</t>
  </si>
  <si>
    <t>ДП Єва.2/0.Сатин</t>
  </si>
  <si>
    <t>ДП Єва.2/0.Бронза</t>
  </si>
  <si>
    <t>ДП Єва.2/1.Сатин</t>
  </si>
  <si>
    <t>ДП Єва.2/1.Бронза</t>
  </si>
  <si>
    <t>ДП Єва.2/2.Сатин</t>
  </si>
  <si>
    <t>ДП Єва.2/2.Бронза</t>
  </si>
  <si>
    <t>ДП Єва.4/1.Сатин</t>
  </si>
  <si>
    <t>ДП Єва.4/1.Бронза</t>
  </si>
  <si>
    <t>ДП Єва.4/2.Сатин</t>
  </si>
  <si>
    <t>ДП Єва.4/2.Бронза</t>
  </si>
  <si>
    <t>ДП Єва.4/3.Сатин</t>
  </si>
  <si>
    <t>ДП Єва.4/3.Бронза</t>
  </si>
  <si>
    <t>ДП Єва.4/4.Сатин</t>
  </si>
  <si>
    <t>ДП Єва.4/4.Бронза</t>
  </si>
  <si>
    <t>ДП Єва.4/5.Сатин</t>
  </si>
  <si>
    <t>ДП Єва.4/5.Бронза</t>
  </si>
  <si>
    <t>ДП Єва.4/6.Сатин</t>
  </si>
  <si>
    <t>ДП Єва.4/6.Бронза</t>
  </si>
  <si>
    <t>ДП Єва.100</t>
  </si>
  <si>
    <t>ДП Єва.2/0.Verto-Cell</t>
  </si>
  <si>
    <t>ДП Єва.2/1.Verto-Cell</t>
  </si>
  <si>
    <t>ДП Єва.2/2.Verto-Cell</t>
  </si>
  <si>
    <t>ДП Єва.4/0.Verto-Cell</t>
  </si>
  <si>
    <t>ДП Єва.4/1.Verto-Cell</t>
  </si>
  <si>
    <t>ДП Єва.4/2.Verto-Cell</t>
  </si>
  <si>
    <t>ДП Єва.4/3.Verto-Cell</t>
  </si>
  <si>
    <t>ДП Єва.4/4.Verto-Cell</t>
  </si>
  <si>
    <t>ДП Єва.4/5.Verto-Cell</t>
  </si>
  <si>
    <t>ДП Єва.4/6.Verto-Cell</t>
  </si>
  <si>
    <t>ДП Єва.2/0.Uni-Mat.</t>
  </si>
  <si>
    <t>ДП Єва.2/1.Uni-Mat.</t>
  </si>
  <si>
    <t>ДП Єва.2/2.Uni-Mat.</t>
  </si>
  <si>
    <t>ДП Єва.4/0.Uni-Mat.</t>
  </si>
  <si>
    <t>ДП Єва.4/1.Uni-Mat.</t>
  </si>
  <si>
    <t>ДП Єва.4/2.Uni-Mat.</t>
  </si>
  <si>
    <t>ДП Єва.4/3.Uni-Mat.</t>
  </si>
  <si>
    <t>ДП Єва.4/4.Uni-Mat.</t>
  </si>
  <si>
    <t>ДП Єва.4/5.Uni-Mat.</t>
  </si>
  <si>
    <t>ДП Єва.4/6.Uni-Mat.</t>
  </si>
  <si>
    <t>ДП Єва.2/0.Резист</t>
  </si>
  <si>
    <t>ДП Єва.2/1.Резист</t>
  </si>
  <si>
    <t>ДП Єва.2/2.Резист</t>
  </si>
  <si>
    <t>ДП Єва.4/0.Резист</t>
  </si>
  <si>
    <t>ДП Єва.4/1.Резист</t>
  </si>
  <si>
    <t>ДП Єва.4/2.Резист</t>
  </si>
  <si>
    <t>ДП Єва.4/3.Резист</t>
  </si>
  <si>
    <t>ДП Єва.4/4.Резист</t>
  </si>
  <si>
    <t>ДП Єва.4/5.Резист</t>
  </si>
  <si>
    <t>ДП Єва.4/6.Резист</t>
  </si>
  <si>
    <t>ДП Єва.2/0.LINE-3D</t>
  </si>
  <si>
    <t>ДП Єва.2/1.LINE-3D</t>
  </si>
  <si>
    <t>ДП Єва.2/2.LINE-3D</t>
  </si>
  <si>
    <t>ДП Єва.4/0.LINE-3D</t>
  </si>
  <si>
    <t>ДП Єва.4/1.LINE-3D</t>
  </si>
  <si>
    <t>ДП Єва.4/2.LINE-3D</t>
  </si>
  <si>
    <t>ДП Єва.4/3.LINE-3D</t>
  </si>
  <si>
    <t>ДП Єва.4/4.LINE-3D</t>
  </si>
  <si>
    <t>ДП Єва.4/5.LINE-3D</t>
  </si>
  <si>
    <t>ДП Єва.4/6.LINE-3D</t>
  </si>
  <si>
    <t>ДП Тіана.</t>
  </si>
  <si>
    <t>ДП Тіана.ВП</t>
  </si>
  <si>
    <t>ДП Тіана</t>
  </si>
  <si>
    <t>ДП Тіана.1/0</t>
  </si>
  <si>
    <t>ДП Тіана.1/1</t>
  </si>
  <si>
    <t>ДП Тіана.1/2</t>
  </si>
  <si>
    <t>ДП Тіана.1/3</t>
  </si>
  <si>
    <t>ДП Тіана.1/4</t>
  </si>
  <si>
    <t>ДП Тіана.1/5</t>
  </si>
  <si>
    <t>ДП Тіана.1/6</t>
  </si>
  <si>
    <t>ДП Тіана.1/7</t>
  </si>
  <si>
    <t>ДП Тіана.1/8</t>
  </si>
  <si>
    <t>ДП Тіана.Ручка-Захват</t>
  </si>
  <si>
    <t>ДП Тіана.Ручка-Замок</t>
  </si>
  <si>
    <t>ДП Тіана.1/0.Сатин</t>
  </si>
  <si>
    <t>ДП Тіана.1/0.Бронза</t>
  </si>
  <si>
    <t>ДП Тіана.1/1.Сатин</t>
  </si>
  <si>
    <t>ДП Тіана.1/1.Бронза</t>
  </si>
  <si>
    <t>ДП Тіана.1/2.Сатин</t>
  </si>
  <si>
    <t>ДП Тіана.1/2.Бронза</t>
  </si>
  <si>
    <t>ДП Тіана.1/3.Сатин</t>
  </si>
  <si>
    <t>ДП Тіана.1/3.Бронза</t>
  </si>
  <si>
    <t>ДП Тіана.1/4.Сатин</t>
  </si>
  <si>
    <t>ДП Тіана.1/4.Бронза</t>
  </si>
  <si>
    <t>ДП Тіана.1/5.Сатин</t>
  </si>
  <si>
    <t>ДП Тіана.1/5.Бронза</t>
  </si>
  <si>
    <t>ДП Тіана.1/6.Сатин</t>
  </si>
  <si>
    <t>ДП Тіана.1/6.Бронза</t>
  </si>
  <si>
    <t>ДП Тіана.1/7.Сатин</t>
  </si>
  <si>
    <t>ДП Тіана.1/7.Бронза</t>
  </si>
  <si>
    <t>ДП Тіана.1/8.Сатин</t>
  </si>
  <si>
    <t>ДП Тіана.1/8.Бронза</t>
  </si>
  <si>
    <t>ДП Тіана.100</t>
  </si>
  <si>
    <t>ДП Тіана.1/0.Verto-Cell</t>
  </si>
  <si>
    <t>ДП Тіана.1/1.Verto-Cell</t>
  </si>
  <si>
    <t>ДП Тіана.1/2.Verto-Cell</t>
  </si>
  <si>
    <t>ДП Тіана.1/3.Verto-Cell</t>
  </si>
  <si>
    <t>ДП Тіана.1/4.Verto-Cell</t>
  </si>
  <si>
    <t>ДП Тіана.1/5.Verto-Cell</t>
  </si>
  <si>
    <t>ДП Тіана.1/6.Verto-Cell</t>
  </si>
  <si>
    <t>ДП Тіана.1/7.Verto-Cell</t>
  </si>
  <si>
    <t>ДП Тіана.1/8.Verto-Cell</t>
  </si>
  <si>
    <t>ДП Тіана.1/0.Uni-Mat.</t>
  </si>
  <si>
    <t>ДП Тіана.1/1.Uni-Mat.</t>
  </si>
  <si>
    <t>ДП Тіана.1/2.Uni-Mat.</t>
  </si>
  <si>
    <t>ДП Тіана.1/3.Uni-Mat.</t>
  </si>
  <si>
    <t>ДП Тіана.1/4.Uni-Mat.</t>
  </si>
  <si>
    <t>ДП Тіана.1/5.Uni-Mat.</t>
  </si>
  <si>
    <t>ДП Тіана.1/6.Uni-Mat.</t>
  </si>
  <si>
    <t>ДП Тіана.1/7.Uni-Mat.</t>
  </si>
  <si>
    <t>ДП Тіана.1/8.Uni-Mat.</t>
  </si>
  <si>
    <t>ДП Тіана.1/0.Резист</t>
  </si>
  <si>
    <t>ДП Тіана.1/1.Резист</t>
  </si>
  <si>
    <t>ДП Тіана.1/2.Резист</t>
  </si>
  <si>
    <t>ДП Тіана.1/3.Резист</t>
  </si>
  <si>
    <t>ДП Тіана.1/4.Резист</t>
  </si>
  <si>
    <t>ДП Тіана.1/5.Резист</t>
  </si>
  <si>
    <t>ДП Тіана.1/6.Резист</t>
  </si>
  <si>
    <t>ДП Тіана.1/7.Резист</t>
  </si>
  <si>
    <t>ДП Тіана.1/8.Резист</t>
  </si>
  <si>
    <t>ДП Тіана.1/0.LINE-3D</t>
  </si>
  <si>
    <t>ДП Тіана.1/1.LINE-3D</t>
  </si>
  <si>
    <t>ДП Тіана.1/2.LINE-3D</t>
  </si>
  <si>
    <t>ДП Тіана.1/3.LINE-3D</t>
  </si>
  <si>
    <t>ДП Тіана.1/4.LINE-3D</t>
  </si>
  <si>
    <t>ДП Тіана.1/5.LINE-3D</t>
  </si>
  <si>
    <t>ДП Тіана.1/6.LINE-3D</t>
  </si>
  <si>
    <t>ДП Тіана.1/7.LINE-3D</t>
  </si>
  <si>
    <t>ДП Тіана.1/8.LINE-3D</t>
  </si>
  <si>
    <t>ДП Лінея</t>
  </si>
  <si>
    <t>ДП Лінея.ДСП тр.</t>
  </si>
  <si>
    <t>ДП Лінея.</t>
  </si>
  <si>
    <t>ДП Лінея.1</t>
  </si>
  <si>
    <t>ДП Лінея.3</t>
  </si>
  <si>
    <t>ДП Лінея.4</t>
  </si>
  <si>
    <t>ДП Лінея.1.Сатин</t>
  </si>
  <si>
    <t>ДП Лінея.1.Бронза</t>
  </si>
  <si>
    <t>ДП Лінея.1.Трипл. мат</t>
  </si>
  <si>
    <t>ДП Лінея.1.Трипл. чер</t>
  </si>
  <si>
    <t>ДП Лінея.3.Сатин</t>
  </si>
  <si>
    <t>ДП Лінея.3.Бронза</t>
  </si>
  <si>
    <t>ДП Лінея.3.Трипл. мат</t>
  </si>
  <si>
    <t>ДП Лінея.3.Трипл. чер</t>
  </si>
  <si>
    <t>ДП Лінея.4.Сатин</t>
  </si>
  <si>
    <t>ДП Лінея.4.Бронза</t>
  </si>
  <si>
    <t>ДП Лінея.4.Трипл. мат</t>
  </si>
  <si>
    <t>ДП Лінея.4.Трипл. чер</t>
  </si>
  <si>
    <t>ДП Лінея.100</t>
  </si>
  <si>
    <t>ДП Лінея.1.Verto-Cell (L)</t>
  </si>
  <si>
    <t>ДП Лінея.3.Verto-Cell (L)</t>
  </si>
  <si>
    <t>ДП Лінея.4.Verto-Cell (L)</t>
  </si>
  <si>
    <t>ДП Елегант</t>
  </si>
  <si>
    <t>ДП Елегант.</t>
  </si>
  <si>
    <t>ДП Елегант.1</t>
  </si>
  <si>
    <t>ДП Елегант.2</t>
  </si>
  <si>
    <t>ДП Елегант.3</t>
  </si>
  <si>
    <t>ДП Елегант.4</t>
  </si>
  <si>
    <t>ДП Елегант.5</t>
  </si>
  <si>
    <t>ДП Елегант.6</t>
  </si>
  <si>
    <t>ДП Елегант.7</t>
  </si>
  <si>
    <t>ДП Елегант.1.Сатин</t>
  </si>
  <si>
    <t>ДП Елегант.1.Бронза</t>
  </si>
  <si>
    <t>ДП Елегант.1.Трипл. мат</t>
  </si>
  <si>
    <t>ДП Елегант.1.Трипл. чер</t>
  </si>
  <si>
    <t>ДП Елегант.2.Бронза</t>
  </si>
  <si>
    <t>ДП Елегант.2.Трипл. мат</t>
  </si>
  <si>
    <t>ДП Елегант.2.Трипл. чер</t>
  </si>
  <si>
    <t>ДП Елегант.3.Бронза</t>
  </si>
  <si>
    <t>ДП Елегант.3.Трипл. мат</t>
  </si>
  <si>
    <t>ДП Елегант.3.Трипл. чер</t>
  </si>
  <si>
    <t>ДП Елегант.4.Бронза</t>
  </si>
  <si>
    <t>ДП Елегант.4.Трипл. мат</t>
  </si>
  <si>
    <t>ДП Елегант.4.Трипл. чер</t>
  </si>
  <si>
    <t>ДП Елегант.5.Бронза</t>
  </si>
  <si>
    <t>ДП Елегант.5.Трипл. мат</t>
  </si>
  <si>
    <t>ДП Елегант.5.Трипл. чер</t>
  </si>
  <si>
    <t>ДП Елегант.6.Бронза</t>
  </si>
  <si>
    <t>ДП Елегант.6.Трипл. мат</t>
  </si>
  <si>
    <t>ДП Елегант.6.Трипл. чер</t>
  </si>
  <si>
    <t>ДП Елегант.7.Бронза</t>
  </si>
  <si>
    <t>ДП Елегант.7.Трипл. мат</t>
  </si>
  <si>
    <t>ДП Елегант.7.Трипл. чер</t>
  </si>
  <si>
    <t>ДП Елегант.1.Verto-Cell</t>
  </si>
  <si>
    <t>ДП Елегант.2.Verto-Cell</t>
  </si>
  <si>
    <t>ДП Елегант.3.Verto-Cell</t>
  </si>
  <si>
    <t>ДП Елегант.4.Verto-Cell</t>
  </si>
  <si>
    <t>ДП Елегант.5.Verto-Cell</t>
  </si>
  <si>
    <t>ДП Елегант.6.Verto-Cell</t>
  </si>
  <si>
    <t>ДП Елегант.7.Verto-Cell</t>
  </si>
  <si>
    <t>ДП Елегант.1.Резист</t>
  </si>
  <si>
    <t>ДП Елегант.2.Резист</t>
  </si>
  <si>
    <t>ДП Елегант.3.Резист</t>
  </si>
  <si>
    <t>ДП Елегант.4.Резист</t>
  </si>
  <si>
    <t>ДП Елегант.5.Резист</t>
  </si>
  <si>
    <t>ДП Елегант.6.Резист</t>
  </si>
  <si>
    <t>ДП Елегант.7.Резист</t>
  </si>
  <si>
    <t>ДП Елегант.1.LINE-3D</t>
  </si>
  <si>
    <t>ДП Елегант.2.LINE-3D</t>
  </si>
  <si>
    <t>ДП Елегант.3.LINE-3D</t>
  </si>
  <si>
    <t>ДП Елегант.4.LINE-3D</t>
  </si>
  <si>
    <t>ДП Елегант.5.LINE-3D</t>
  </si>
  <si>
    <t>ДП Елегант.6.LINE-3D</t>
  </si>
  <si>
    <t>ДП Елегант.7.LINE-3D</t>
  </si>
  <si>
    <t>ДП Добір</t>
  </si>
  <si>
    <t>ДП Добір-ЛАДА</t>
  </si>
  <si>
    <t>ДП Добір.ДСП тр.</t>
  </si>
  <si>
    <t>ДП Добір.</t>
  </si>
  <si>
    <t>ДП Добір-ЛАДА.</t>
  </si>
  <si>
    <t>ДП Добір.А</t>
  </si>
  <si>
    <t>Дверне Полотно: Добір</t>
  </si>
  <si>
    <t>ДП Добір.Б</t>
  </si>
  <si>
    <t>ДП Добір-ЛАДА.Л1/0</t>
  </si>
  <si>
    <t>ДП Добір-Лада</t>
  </si>
  <si>
    <t>Дверне Полотно: Добір-лада</t>
  </si>
  <si>
    <t>ДП Добір-ЛАДА.Л1/1</t>
  </si>
  <si>
    <t>ДП Добір-ЛАДА.Л3/0</t>
  </si>
  <si>
    <t>ДП Добір-ЛАДА.Л3/1</t>
  </si>
  <si>
    <t>ДП Добір-ЛАДА.Л3/2</t>
  </si>
  <si>
    <t>ДП Добір-ЛАДА.Л4/0</t>
  </si>
  <si>
    <t>ДП Добір-ЛАДА.Л4/1</t>
  </si>
  <si>
    <t>ДП Добір-ЛАДА.Л5/0</t>
  </si>
  <si>
    <t>ДП Добір-ЛАДА.Л5/1</t>
  </si>
  <si>
    <t>ДП Добір-ЛАДА.Л6/0</t>
  </si>
  <si>
    <t>ДП Добір-ЛАДА.Л6/1</t>
  </si>
  <si>
    <t>ДП Добір.Б.Сатин</t>
  </si>
  <si>
    <t>ДП Добір.Б.Бронза</t>
  </si>
  <si>
    <t>ДП Добір.Б.Трипл. мат</t>
  </si>
  <si>
    <t>ДП Добір.Б.Трипл. чер</t>
  </si>
  <si>
    <t>ДП Добір-ЛАДА.Л1/1.Сатин</t>
  </si>
  <si>
    <t>ДП Добір-ЛАДА.Л1/1.Бронза</t>
  </si>
  <si>
    <t>ДП Добір-ЛАДА.Л3/1.Сатин</t>
  </si>
  <si>
    <t>ДП Добір-ЛАДА.Л3/1.Бронза</t>
  </si>
  <si>
    <t>ДП Добір-ЛАДА.Л3/2.Сатин</t>
  </si>
  <si>
    <t>ДП Добір-ЛАДА.Л3/2.Бронза</t>
  </si>
  <si>
    <t>ДП Добір-ЛАДА.Л4/1.Сатин</t>
  </si>
  <si>
    <t>ДП Добір-ЛАДА.Л4/1.Бронза</t>
  </si>
  <si>
    <t>ДП Добір-ЛАДА.Л5/1.Сатин</t>
  </si>
  <si>
    <t>ДП Добір-ЛАДА.Л5/1.Бронза</t>
  </si>
  <si>
    <t>ДП Добір-ЛАДА.Л6/1.Сатин</t>
  </si>
  <si>
    <t>ДП Добір-ЛАДА.Л6/1.Бронза</t>
  </si>
  <si>
    <t>ДП Добір.А.Verto-Cell</t>
  </si>
  <si>
    <t>ДП Добір.Б.Verto-Cell</t>
  </si>
  <si>
    <t>ДП Добір.А.Uni-Mat</t>
  </si>
  <si>
    <t>ДП Добір.Б.Uni-Mat</t>
  </si>
  <si>
    <t>ДП Добір.А.Резист</t>
  </si>
  <si>
    <t>ДП Добір.Б.Резист</t>
  </si>
  <si>
    <t>ДП Добір-ЛАДА.Л1/0.Verto-Cell</t>
  </si>
  <si>
    <t>ДП Добір-ЛАДА.Л1/1.Verto-Cell</t>
  </si>
  <si>
    <t>ДП Добір-ЛАДА.Л3/0.Verto-Cell</t>
  </si>
  <si>
    <t>ДП Добір-ЛАДА.Л3/1.Verto-Cell</t>
  </si>
  <si>
    <t>ДП Добір-ЛАДА.Л3/2.Verto-Cell</t>
  </si>
  <si>
    <t>ДП Добір-ЛАДА.Л4/0.Verto-Cell</t>
  </si>
  <si>
    <t>ДП Добір-ЛАДА.Л4/1.Verto-Cell</t>
  </si>
  <si>
    <t>ДП Добір-ЛАДА.Л5/0.Verto-Cell</t>
  </si>
  <si>
    <t>ДП Добір-ЛАДА.Л5/1.Verto-Cell</t>
  </si>
  <si>
    <t>ДП Добір-ЛАДА.Л6/0.Verto-Cell</t>
  </si>
  <si>
    <t>ДП Добір-ЛАДА.Л6/1.Verto-Cell</t>
  </si>
  <si>
    <t>ДП Добір-ЛАДА.Л1/0.Verto-Cell Plus</t>
  </si>
  <si>
    <t>ДП Добір-ЛАДА.Л1/1.Verto-Cell Plus</t>
  </si>
  <si>
    <t>ДП Добір-ЛАДА.Л3/0.Verto-Cell Plus</t>
  </si>
  <si>
    <t>ДП Добір-ЛАДА.Л3/1.Verto-Cell Plus</t>
  </si>
  <si>
    <t>ДП Добір-ЛАДА.Л3/2.Verto-Cell Plus</t>
  </si>
  <si>
    <t>ДП Добір-ЛАДА.Л4/0.Verto-Cell Plus</t>
  </si>
  <si>
    <t>ДП Добір-ЛАДА.Л4/1.Verto-Cell Plus</t>
  </si>
  <si>
    <t>ДП Добір-ЛАДА.Л5/0.Verto-Cell Plus</t>
  </si>
  <si>
    <t>ДП Добір-ЛАДА.Л5/1.Verto-Cell Plus</t>
  </si>
  <si>
    <t>ДП Добір-ЛАДА.Л6/0.Verto-Cell Plus</t>
  </si>
  <si>
    <t>ДП Добір-ЛАДА.Л6/1.Verto-Cell Plus</t>
  </si>
  <si>
    <t>ДП Добір-ЛАДА.Л1/0.Uni-Mat.</t>
  </si>
  <si>
    <t>ДП Добір-ЛАДА.Л1/1.Uni-Mat.</t>
  </si>
  <si>
    <t>ДП Добір-ЛАДА.Л3/0.Uni-Mat.</t>
  </si>
  <si>
    <t>ДП Добір-ЛАДА.Л3/1.Uni-Mat.</t>
  </si>
  <si>
    <t>ДП Добір-ЛАДА.Л3/2.Uni-Mat.</t>
  </si>
  <si>
    <t>ДП Добір-ЛАДА.Л4/0.Uni-Mat.</t>
  </si>
  <si>
    <t>ДП Добір-ЛАДА.Л4/1.Uni-Mat.</t>
  </si>
  <si>
    <t>ДП Добір-ЛАДА.Л5/0.Uni-Mat.</t>
  </si>
  <si>
    <t>ДП Добір-ЛАДА.Л5/1.Uni-Mat.</t>
  </si>
  <si>
    <t>ДП Добір-ЛАДА.Л6/0.Uni-Mat.</t>
  </si>
  <si>
    <t>ДП Добір-ЛАДА.Л6/1.Uni-Mat.</t>
  </si>
  <si>
    <t>ДП Добір-ЛАДА.Л1/0.Резист</t>
  </si>
  <si>
    <t>ДП Добір-ЛАДА.Л1/1.Резист</t>
  </si>
  <si>
    <t>ДП Добір-ЛАДА.Л3/0.Резист</t>
  </si>
  <si>
    <t>ДП Добір-ЛАДА.Л3/1.Резист</t>
  </si>
  <si>
    <t>ДП Добір-ЛАДА.Л3/2.Резист</t>
  </si>
  <si>
    <t>ДП Добір-ЛАДА.Л4/0.Резист</t>
  </si>
  <si>
    <t>ДП Добір-ЛАДА.Л4/1.Резист</t>
  </si>
  <si>
    <t>ДП Добір-ЛАДА.Л5/0.Резист</t>
  </si>
  <si>
    <t>ДП Добір-ЛАДА.Л5/1.Резист</t>
  </si>
  <si>
    <t>ДП Добір-ЛАДА.Л6/0.Резист</t>
  </si>
  <si>
    <t>ДП Добір-ЛАДА.Л6/1.Резист</t>
  </si>
  <si>
    <t>ДП Добір-ЛАДА.Л1/0.LINE-3D</t>
  </si>
  <si>
    <t>ДП Добір-ЛАДА.Л1/1.LINE-3D</t>
  </si>
  <si>
    <t>ДП Добір-ЛАДА.Л3/0.LINE-3D</t>
  </si>
  <si>
    <t>ДП Добір-ЛАДА.Л3/1.LINE-3D</t>
  </si>
  <si>
    <t>ДП Добір-ЛАДА.Л3/2.LINE-3D</t>
  </si>
  <si>
    <t>ДП Добір-ЛАДА.Л4/0.LINE-3D</t>
  </si>
  <si>
    <t>ДП Добір-ЛАДА.Л4/1.LINE-3D</t>
  </si>
  <si>
    <t>ДП Добір-ЛАДА.Л5/0.LINE-3D</t>
  </si>
  <si>
    <t>ДП Добір-ЛАДА.Л5/1.LINE-3D</t>
  </si>
  <si>
    <t>ДП Добір-ЛАДА.Л6/0.LINE-3D</t>
  </si>
  <si>
    <t>ДП Добір-ЛАДА.Л6/1.LINE-3D</t>
  </si>
  <si>
    <t>Лиштва</t>
  </si>
  <si>
    <t>Плінтус М060</t>
  </si>
  <si>
    <t>Плінтус М080</t>
  </si>
  <si>
    <t>поріг дерев'яний (лак) - одностулковий</t>
  </si>
  <si>
    <t>Завіса полушарнирная (хром)</t>
  </si>
  <si>
    <t>Завіса Presige (золото)</t>
  </si>
  <si>
    <t>Завіса накладная (хром)</t>
  </si>
  <si>
    <t>Завіса Presige (срібло)</t>
  </si>
  <si>
    <t>Ручка HANDY (срібло)</t>
  </si>
  <si>
    <t>Ручка PRIUS (срібло)</t>
  </si>
  <si>
    <t>Завіса Presige (золото матове)</t>
  </si>
  <si>
    <t>Завіса Presige (срібло матове)</t>
  </si>
  <si>
    <t>Ручка VERONA (срібло матове)</t>
  </si>
  <si>
    <t>Ручка MILANO (срібло матове)</t>
  </si>
  <si>
    <t>Ручка HANDY (срібло матове)</t>
  </si>
  <si>
    <t>Ручка PRIUS (срібло матове)</t>
  </si>
  <si>
    <t>Ручка OFFICE (срібло матове)</t>
  </si>
  <si>
    <t>завіса  штирова Presige (золото матове)</t>
  </si>
  <si>
    <t>завіса  штирова Presige (срібло матове)</t>
  </si>
  <si>
    <t>Ручка дверна VERONA (срібло матове)</t>
  </si>
  <si>
    <t>Ручка дверна MILANO (срібло матове)</t>
  </si>
  <si>
    <t>Ручка дверна HANDY (срібло матове)</t>
  </si>
  <si>
    <t>Ручка дверна PRIUS (срібло матове)</t>
  </si>
  <si>
    <t>Ручка дверна OFFICE (срібло матове)</t>
  </si>
  <si>
    <t>Накладка на завіси (золото матове)</t>
  </si>
  <si>
    <t>Накладка на завіси (срібло матове)</t>
  </si>
  <si>
    <t>4 завіси (2+2)</t>
  </si>
  <si>
    <t>КД Standard-MDF.4 завіси (2+2)</t>
  </si>
  <si>
    <t>КД Standard.4 завіси (2+2)</t>
  </si>
  <si>
    <t>КД Verto-FIT.4 завіси (2+2)</t>
  </si>
  <si>
    <t>КД Verto-FIT Plus.4 завіси (2+2)</t>
  </si>
  <si>
    <t>Відповідна планка Замка (хром)</t>
  </si>
  <si>
    <t>Шпінгалет (хром)</t>
  </si>
  <si>
    <t>фурн: відп планка замка Standard + 2 завіси + 2 Шпінгалети</t>
  </si>
  <si>
    <t>фурн: відп планка замка Soft + 2 завіси + 2 Шпінгалети</t>
  </si>
  <si>
    <t>фурн: відп планка замка Magnet + 2 завіси + 2 Шпінгалети</t>
  </si>
  <si>
    <t>фурн: відп планка замка Standard + 2 завіси + 2 Шпінгалети +вент.відд</t>
  </si>
  <si>
    <t>фурн: відп планка замка Soft + 2 завіси + 2 Шпінгалети  +вент.відд</t>
  </si>
  <si>
    <t>фурн: відп планка замка Magnet + 2 завіси + 2 Шпінгалети  +вент.відд</t>
  </si>
  <si>
    <t>фурн: відп планка замка Standard + 2 завіси + 2 Шпінгалети +вент.підріз</t>
  </si>
  <si>
    <t>фурн: відп планка замка Soft + 2 завіси + 2 Шпінгалети  +вент.підріз</t>
  </si>
  <si>
    <t>фурн: відп планка замка Magnet + 2 завіси + 2 Шпінгалети  +вент.підріз</t>
  </si>
  <si>
    <t>фурн: відп планка замка Standard + 3 завіси + 2 Шпінгалети</t>
  </si>
  <si>
    <t>фурн: відп планка замка Soft + 3 завіси + 2 Шпінгалети</t>
  </si>
  <si>
    <t>фурн: відп планка замка Magnet + 3 завіси + 2 Шпінгалети</t>
  </si>
  <si>
    <t>фурн: відп планка замка Standard + 3 завіси + 2 Шпінгалети +вент.відд</t>
  </si>
  <si>
    <t>фурн: відп планка замка Soft + 3 завіси + 2 Шпінгалети  +вент.відд</t>
  </si>
  <si>
    <t>фурн: відп планка замка Magnet + 3 завіси + 2 Шпінгалети  +вент.відд</t>
  </si>
  <si>
    <t>фурн: відп планка замка Standard + 3 завіси + 2 Шпінгалети +вент.підріз</t>
  </si>
  <si>
    <t>фурн: відп планка замка Soft + 3 завіси + 2 Шпінгалети  +вент.підріз</t>
  </si>
  <si>
    <t>фурн: відп планка замка Magnet + 3 завіси + 2 Шпінгалети  +вент.підріз</t>
  </si>
  <si>
    <t>Циліндр (вкладиш)</t>
  </si>
  <si>
    <t>Виставковий стенд Verto 60</t>
  </si>
  <si>
    <t>Виставковий стенд Verto 70</t>
  </si>
  <si>
    <t>Виставковий стенд Verto 80</t>
  </si>
  <si>
    <t>Виставковий стенд Verto 90</t>
  </si>
  <si>
    <t>Виставковий стенд Verto 100</t>
  </si>
  <si>
    <t>Виставковий стенд Verto (100)</t>
  </si>
  <si>
    <t>Виставковий стенд Verto (110)</t>
  </si>
  <si>
    <t>Виставковий стенд Verto (120)</t>
  </si>
  <si>
    <t>Виставковий стенд Verto (130)</t>
  </si>
  <si>
    <t>Виставковий стенд Verto (140)</t>
  </si>
  <si>
    <t>Виставковий стенд Verto (150)</t>
  </si>
  <si>
    <t>Виставковий стенд Verto (160)</t>
  </si>
  <si>
    <t>Виставковий стенд Verto (170)</t>
  </si>
  <si>
    <t>Виставковий стенд Verto (180)</t>
  </si>
  <si>
    <t>фальц.робоча.60</t>
  </si>
  <si>
    <t>робоча</t>
  </si>
  <si>
    <t>ДП СТАНДАРТ.фальц.робоча</t>
  </si>
  <si>
    <t>фальц.робоча.70</t>
  </si>
  <si>
    <t>неробоча</t>
  </si>
  <si>
    <t>фальц.робоча.80</t>
  </si>
  <si>
    <t>фальц.робоча.90</t>
  </si>
  <si>
    <t>ДП СТАНДАРТ.фальц.неробоча</t>
  </si>
  <si>
    <t>фальц.неробоча.60</t>
  </si>
  <si>
    <t>фальц.неробоча.70</t>
  </si>
  <si>
    <t>робоча.</t>
  </si>
  <si>
    <t>ДП СТАНДАРТ.б/з фальц.робоча</t>
  </si>
  <si>
    <t>фальц.неробоча.80</t>
  </si>
  <si>
    <t>неробоча.</t>
  </si>
  <si>
    <t>ДП СТАНДАРТ.купе.робоча</t>
  </si>
  <si>
    <t>фальц.неробоча.90</t>
  </si>
  <si>
    <t>б/з фальц.робоча.60</t>
  </si>
  <si>
    <t>ДП КУПАВА.фальц.робоча</t>
  </si>
  <si>
    <t>б/з фальц.робоча.70</t>
  </si>
  <si>
    <t>б/з фальц.робоча.80</t>
  </si>
  <si>
    <t>б/з фальц.робоча.90</t>
  </si>
  <si>
    <t>неробоча,</t>
  </si>
  <si>
    <t>купе.робоча.60</t>
  </si>
  <si>
    <t>ДП КУПАВА.фальц.неробоча</t>
  </si>
  <si>
    <t>купе.робоча.70</t>
  </si>
  <si>
    <t>ДП КУПАВА.б/з фальц.робоча</t>
  </si>
  <si>
    <t>купе.робоча.80</t>
  </si>
  <si>
    <t>ДП КУПАВА.купе.робоча</t>
  </si>
  <si>
    <t>купе.робоча.90</t>
  </si>
  <si>
    <t>неробоча..</t>
  </si>
  <si>
    <t>ДП РУТА.фальц.робоча</t>
  </si>
  <si>
    <t>фальц..робоча..60</t>
  </si>
  <si>
    <t>фальц..робоча..70</t>
  </si>
  <si>
    <t>фальц..робоча..80</t>
  </si>
  <si>
    <t>фальц..робоча..90</t>
  </si>
  <si>
    <t>ДП Геометрія.фальц.робоча</t>
  </si>
  <si>
    <t>ДП РУТА.фальц.неробоча</t>
  </si>
  <si>
    <t>фальц..робоча..100</t>
  </si>
  <si>
    <t>ДП РУТА.б/з фальц.робоча</t>
  </si>
  <si>
    <t>фальц..неробоча..40</t>
  </si>
  <si>
    <t>ДП РУТА.купе.робоча</t>
  </si>
  <si>
    <t>фальц..неробоча..60</t>
  </si>
  <si>
    <t>ДП Геометрія.фальц.неробоча</t>
  </si>
  <si>
    <t>фальц..неробоча..70</t>
  </si>
  <si>
    <t>ДП РУТА-FUSION.фальц.робоча</t>
  </si>
  <si>
    <t>фальц..неробоча..80</t>
  </si>
  <si>
    <t>фальц..неробоча..90</t>
  </si>
  <si>
    <t>ДП Геометрія.б/з фальц.робоча</t>
  </si>
  <si>
    <t>фальц..неробоча..100</t>
  </si>
  <si>
    <t>б/з фальц..робоча..60</t>
  </si>
  <si>
    <t>ДП РУТА-FUSION.фальц.неробоча</t>
  </si>
  <si>
    <t>б/з фальц..робоча..70</t>
  </si>
  <si>
    <t>ДП Геометрія.купе.робоча</t>
  </si>
  <si>
    <t>ДП РУТА-FUSION.б/з фальц.робоча</t>
  </si>
  <si>
    <t>б/з фальц..робоча..80</t>
  </si>
  <si>
    <t>ДП РУТА-FUSION.купе.робоча</t>
  </si>
  <si>
    <t>б/з фальц..робоча..90</t>
  </si>
  <si>
    <t>б/з фальц..робоча..100</t>
  </si>
  <si>
    <t>купе..робоча..60</t>
  </si>
  <si>
    <t>ДП Ідея.фальц.робоча</t>
  </si>
  <si>
    <t>купе..робоча..70</t>
  </si>
  <si>
    <t>купе..робоча..80</t>
  </si>
  <si>
    <t>купе..робоча..90</t>
  </si>
  <si>
    <t>ДП Ідея.фальц.неробоча</t>
  </si>
  <si>
    <t>купе..робоча..100</t>
  </si>
  <si>
    <t>фальц,.робоча..60</t>
  </si>
  <si>
    <t>ДП Ідея.б/з фальц.робоча</t>
  </si>
  <si>
    <t>фальц,.робоча..70</t>
  </si>
  <si>
    <t>ДП ГОРДАНА.фальц.робоча</t>
  </si>
  <si>
    <t>фальц,.робоча..80</t>
  </si>
  <si>
    <t>фальц,.робоча..90</t>
  </si>
  <si>
    <t>ДП Ідея.купе.робоча</t>
  </si>
  <si>
    <t>фальц,.робоча..100</t>
  </si>
  <si>
    <t>фальц,.неробоча,.60</t>
  </si>
  <si>
    <t>ДП ГОРДАНА.фальц.неробоча</t>
  </si>
  <si>
    <t>фальц,.неробоча,.70</t>
  </si>
  <si>
    <t>ДП Ідея-ЛОФТ.фальц.робоча</t>
  </si>
  <si>
    <t>ДП ГОРДАНА.б/з фальц.робоча</t>
  </si>
  <si>
    <t>фальц,.неробоча,.80</t>
  </si>
  <si>
    <t>ДП ГОРДАНА.купе.робоча</t>
  </si>
  <si>
    <t>фальц,.неробоча,.90</t>
  </si>
  <si>
    <t>фальц,.неробоча,.100</t>
  </si>
  <si>
    <t>ДП Ідея-ЛОФТ.фальц.неробоча</t>
  </si>
  <si>
    <t>ДП Ідея-ЛОФТ.б/з фальц.робоча</t>
  </si>
  <si>
    <t>ДП Ідея-ЛОФТ.купе.робоча</t>
  </si>
  <si>
    <t>фальц...неробоча...40</t>
  </si>
  <si>
    <t>ДП ЛАДА A.фальц,.робоча.</t>
  </si>
  <si>
    <t>ДП ЛАДА A.фальц,.неробоча,</t>
  </si>
  <si>
    <t>ДП ЛАДА A.б/з фальц..робоча.</t>
  </si>
  <si>
    <t>ДП ЛАДА A.купе..робоча.</t>
  </si>
  <si>
    <t>ДП ЛАДА B.фальц,.робоча.</t>
  </si>
  <si>
    <t>ДП ЛАДА B.фальц..робоча.</t>
  </si>
  <si>
    <t>ДП ЛАДА B.фальц,.неробоча,</t>
  </si>
  <si>
    <t>ДП ЛАДА B.фальц..неробоча.</t>
  </si>
  <si>
    <t>ДП ЛАДА B.б/з фальц..робоча.</t>
  </si>
  <si>
    <t>ДП ЛАДА B.купе..робоча.</t>
  </si>
  <si>
    <t>ДП ЛАДА C.фальц..робоча.</t>
  </si>
  <si>
    <t>ДП ЛАДА C.фальц..неробоча.</t>
  </si>
  <si>
    <t>ДП ЛАДА C.б/з фальц..робоча.</t>
  </si>
  <si>
    <t>ДП ЛАДА C.купе..робоча.</t>
  </si>
  <si>
    <t>ДП ЛАДА D.фальц..робоча.</t>
  </si>
  <si>
    <t>ДП ЛАДА D.фальц..неробоча.</t>
  </si>
  <si>
    <t>ДП ЛАДА D.б/з фальц..робоча.</t>
  </si>
  <si>
    <t>ДП ЛАДА D.купе..робоча.</t>
  </si>
  <si>
    <t>ДП Ніка.фальц..робоча.</t>
  </si>
  <si>
    <t>ДП Ніка.фальц..неробоча.</t>
  </si>
  <si>
    <t>ДП Ніка.б/з фальц..робоча.</t>
  </si>
  <si>
    <t>ДП Ніка.купе..робоча.</t>
  </si>
  <si>
    <t>ДП Ліса.фальц..робоча.</t>
  </si>
  <si>
    <t>ДП Ліса.фальц..неробоча.</t>
  </si>
  <si>
    <t>ДП Ліса.б/з фальц..робоча.</t>
  </si>
  <si>
    <t>ДП Ліса.купе..робоча.</t>
  </si>
  <si>
    <t>ДП ЛАДА-КОНЦЕПТ.фальц..робоча.</t>
  </si>
  <si>
    <t>ДП ЛАДА-КОНЦЕПТ.фальц..неробоча.</t>
  </si>
  <si>
    <t>ДП ЛАДА-КОНЦЕПТ.б/з фальц..робоча.</t>
  </si>
  <si>
    <t>ДП ЛАДА-КОНЦЕПТ.купе..робоча.</t>
  </si>
  <si>
    <t>ДП ЛАДА-НОВА.фальц..робоча.</t>
  </si>
  <si>
    <t>ДП ЛАДА-НОВА.фальц..неробоча.</t>
  </si>
  <si>
    <t>ДП ЛАДА-НОВА.б/з фальц..робоча.</t>
  </si>
  <si>
    <t>ДП ЛАДА-НОВА.купе..робоча.</t>
  </si>
  <si>
    <t>ДП Міра.фальц..робоча.</t>
  </si>
  <si>
    <t>ДП Міра.фальц..неробоча.</t>
  </si>
  <si>
    <t>ДП Міра.б/з фальц..робоча.</t>
  </si>
  <si>
    <t>ДП Міра.купе..робоча.</t>
  </si>
  <si>
    <t>ДП ЛАДА-ЛОФТ.фальц,.робоча.</t>
  </si>
  <si>
    <t>ДП ЛАДА-ЛОФТ.фальц,.неробоча,</t>
  </si>
  <si>
    <t>ДП ЛАДА-ЛОФТ.б/з фальц..робоча.</t>
  </si>
  <si>
    <t>ДП ЛАДА-ЛОФТ.купе..робоча.</t>
  </si>
  <si>
    <t>ДП Лінда.фальц..робоча.</t>
  </si>
  <si>
    <t>ДП Лінда.фальц..неробоча.</t>
  </si>
  <si>
    <t>ДП Лінда.б/з фальц..робоча.</t>
  </si>
  <si>
    <t>ДП Лінда.купе..робоча.</t>
  </si>
  <si>
    <t>ДП Тіана.фальц..робоча.</t>
  </si>
  <si>
    <t>ДП Тіана.фальц..неробоча.</t>
  </si>
  <si>
    <t>ДП Тіана.б/з фальц..робоча.</t>
  </si>
  <si>
    <t>ДП Тіана.купе..робоча.</t>
  </si>
  <si>
    <t>ДП Єва.фальц..робоча.</t>
  </si>
  <si>
    <t>ДП Єва.фальц..неробоча.</t>
  </si>
  <si>
    <t>ДП Єва.б/з фальц..робоча.</t>
  </si>
  <si>
    <t>ДП Єва.купе..робоча.</t>
  </si>
  <si>
    <t>ДП ТРЕНД.фальц..робоча.</t>
  </si>
  <si>
    <t>ДП ТРЕНД.фальц..неробоча.</t>
  </si>
  <si>
    <t>ДП ТРЕНД.б/з фальц..робоча.</t>
  </si>
  <si>
    <t>ДП ТРЕНД.купе..робоча.</t>
  </si>
  <si>
    <t>ДП МОДЕРН.фальц..робоча.</t>
  </si>
  <si>
    <t>ДП МОДЕРН.фальц..неробоча.</t>
  </si>
  <si>
    <t>ДП МОДЕРН.б/з фальц..робоча.</t>
  </si>
  <si>
    <t>ДП МОДЕРН.купе..робоча.</t>
  </si>
  <si>
    <t>ДП ПОЛЛО.фальц..робоча.</t>
  </si>
  <si>
    <t>ДП ПОЛЛО.фальц..неробоча.</t>
  </si>
  <si>
    <t>ДП ПОЛЛО.б/з фальц..робоча.</t>
  </si>
  <si>
    <t>ДП ПОЛЛО.купе..робоча.</t>
  </si>
  <si>
    <t>ДП Лінея.фальц,.робоча.</t>
  </si>
  <si>
    <t>ДП Лінея.фальц.робоча</t>
  </si>
  <si>
    <t>ДП Лінея.фальц,.неробоча,</t>
  </si>
  <si>
    <t>ДП Лінея.фальц.неробоча</t>
  </si>
  <si>
    <t>ДП ЛАЙН.фальц,.робоча.</t>
  </si>
  <si>
    <t>ДП ЛАЙН.фальц,.неробоча,</t>
  </si>
  <si>
    <t>ДП Елегант.фальц.робоча</t>
  </si>
  <si>
    <t>ДП Елегант.фальц.неробоча</t>
  </si>
  <si>
    <t>ДП Добір.фальц...неробоча..</t>
  </si>
  <si>
    <t>ДП Добір-ЛАДА.фальц...неробоча..</t>
  </si>
  <si>
    <t>КД Standard-MDF.1.Verto-Cell.1-стулк</t>
  </si>
  <si>
    <t>КД Standard-MDF.1.Verto-Cell.2-стулк</t>
  </si>
  <si>
    <t>КД Standard-MDF.1.Verto-Cell Plus.1-стулк</t>
  </si>
  <si>
    <t>КД Standard-MDF.1.Verto-Cell Plus.2-стулк</t>
  </si>
  <si>
    <t>КД Standard-MDF.1.Uni-Mat.1-стулк</t>
  </si>
  <si>
    <t>КД Standard-MDF.1.Uni-Mat.2-стулк</t>
  </si>
  <si>
    <t>КД Standard-MDF.1.Резист.1-стулк</t>
  </si>
  <si>
    <t>КД Standard-MDF.1.Резист.2-стулк</t>
  </si>
  <si>
    <t>КД Standard-MDF.1.LINE-3D.1-стулк</t>
  </si>
  <si>
    <t>КД Standard-MDF.1.LINE-3D.2-стулк</t>
  </si>
  <si>
    <t>КД Standard-MDF.1.Лофт.1-стулк</t>
  </si>
  <si>
    <t>КД Standard-MDF.1.Лофт.2-стулк</t>
  </si>
  <si>
    <t>КД Standard.1.Verto-Cell.1-стулк</t>
  </si>
  <si>
    <t>1-стулк</t>
  </si>
  <si>
    <t>КД Standard.1.Verto-Cell.2-стулк</t>
  </si>
  <si>
    <t>2-стулк</t>
  </si>
  <si>
    <t>КД Standard.1.Verto-Cell Plus.1-стулк</t>
  </si>
  <si>
    <t>КД Standard.1.Verto-Cell Plus.2-стулк</t>
  </si>
  <si>
    <t>КД Standard.1.Uni-Mat.1-стулк</t>
  </si>
  <si>
    <t>КД Standard.1.Uni-Mat.2-стулк</t>
  </si>
  <si>
    <t>КД Standard.1.Резист.1-стулк</t>
  </si>
  <si>
    <t>КД Standard.1.Резист.2-стулк</t>
  </si>
  <si>
    <t>1-стулк.</t>
  </si>
  <si>
    <t>КД Standard.1.LINE-3D.1-стулк</t>
  </si>
  <si>
    <t>КД Standard.1.LINE-3D.2-стулк</t>
  </si>
  <si>
    <t>КД Standard.1.Лофт.1-стулк</t>
  </si>
  <si>
    <t>КД Standard.1.Лофт.2-стулк</t>
  </si>
  <si>
    <t>1-стулк,</t>
  </si>
  <si>
    <t>КД Verto-FIT.A.Verto-Cell.1-стулк</t>
  </si>
  <si>
    <t>2-стулк,</t>
  </si>
  <si>
    <t>КД Verto-FIT.A.Verto-Cell.2-стулк</t>
  </si>
  <si>
    <t>КД Verto-FIT.A.Verto-Cell Plus.1-стулк</t>
  </si>
  <si>
    <t>КД Verto-FIT.A.Verto-Cell Plus.2-стулк</t>
  </si>
  <si>
    <t>КД Verto-FIT.A.Uni-Mat.1-стулк</t>
  </si>
  <si>
    <t>КД Verto-FIT.A.Uni-Mat.2-стулк</t>
  </si>
  <si>
    <t>КД Verto-FIT.A.Резист.1-стулк</t>
  </si>
  <si>
    <t>КД Verto-FIT.A.Резист.2-стулк</t>
  </si>
  <si>
    <t>КД Verto-FIT.A.LINE-3D.1-стулк</t>
  </si>
  <si>
    <t>КД Verto-FIT.A.LINE-3D.2-стулк</t>
  </si>
  <si>
    <t>КД Verto-FIT.A.Лофт.1-стулк</t>
  </si>
  <si>
    <t>КД Verto-FIT.A.Лофт.2-стулк</t>
  </si>
  <si>
    <t>КД Verto-FIT.B.Verto-Cell.1-стулк</t>
  </si>
  <si>
    <t>КД Verto-FIT.B.Verto-Cell.2-стулк</t>
  </si>
  <si>
    <t>КД Verto-FIT.B.Verto-Cell Plus.1-стулк</t>
  </si>
  <si>
    <t>КД Verto-FIT.B.Verto-Cell Plus.2-стулк</t>
  </si>
  <si>
    <t>КД Verto-FIT.B.Uni-Mat.1-стулк</t>
  </si>
  <si>
    <t>КД Verto-FIT.B.Uni-Mat.2-стулк</t>
  </si>
  <si>
    <t>КД Verto-FIT.B.Резист.1-стулк</t>
  </si>
  <si>
    <t>КД Standard-MDF.стандарт.1-стулк.60</t>
  </si>
  <si>
    <t>КД Verto-FIT.B.Резист.2-стулк</t>
  </si>
  <si>
    <t>КД Standard-MDF.стандарт.1-стулк.70</t>
  </si>
  <si>
    <t>КД Verto-FIT.B.LINE-3D.1-стулк</t>
  </si>
  <si>
    <t>КД Standard-MDF.стандарт.1-стулк.80</t>
  </si>
  <si>
    <t>КД Verto-FIT.B.LINE-3D.2-стулк</t>
  </si>
  <si>
    <t>КД Standard-MDF.стандарт.1-стулк.90</t>
  </si>
  <si>
    <t>КД Standard-MDF.стандарт.1-стулк.100</t>
  </si>
  <si>
    <t>КД Standard-MDF.стандарт.2-стулк.(100)</t>
  </si>
  <si>
    <t>КД Verto-FIT.B.Лофт.1-стулк</t>
  </si>
  <si>
    <t>КД Standard-MDF.стандарт.2-стулк.(110)</t>
  </si>
  <si>
    <t>КД Verto-FIT.B.Лофт.2-стулк</t>
  </si>
  <si>
    <t>КД Standard-MDF.стандарт.2-стулк.(120)</t>
  </si>
  <si>
    <t>КД Standard-MDF.стандарт.2-стулк.(130)</t>
  </si>
  <si>
    <t>КД Standard-MDF.стандарт.2-стулк.(140)</t>
  </si>
  <si>
    <t>КД Standard-MDF.стандарт.2-стулк.(150)</t>
  </si>
  <si>
    <t>КД Verto-FIT.B+.Verto-Cell.1-стулк</t>
  </si>
  <si>
    <t>КД Standard-MDF.стандарт.2-стулк.(160)</t>
  </si>
  <si>
    <t>КД Verto-FIT.B+.Verto-Cell.2-стулк</t>
  </si>
  <si>
    <t>КД Standard-MDF.стандарт.2-стулк.(170)</t>
  </si>
  <si>
    <t>1-стулк..</t>
  </si>
  <si>
    <t>КД Verto-FIT.B+.Verto-Cell Plus.1-стулк</t>
  </si>
  <si>
    <t>КД Standard-MDF.стандарт.2-стулк.(180)</t>
  </si>
  <si>
    <t>КД Verto-FIT.B+.Verto-Cell Plus.2-стулк</t>
  </si>
  <si>
    <t>2-стулк.</t>
  </si>
  <si>
    <t>КД Verto-FIT.B+.Uni-Mat.1-стулк</t>
  </si>
  <si>
    <t>КД Standard.стандарт.1-стулк.60</t>
  </si>
  <si>
    <t>КД Verto-FIT.B+.Uni-Mat.2-стулк</t>
  </si>
  <si>
    <t>КД Standard.стандарт.1-стулк.70</t>
  </si>
  <si>
    <t>КД Verto-FIT.B+.Резист.1-стулк</t>
  </si>
  <si>
    <t>КД Standard.стандарт.1-стулк.80</t>
  </si>
  <si>
    <t>КД Verto-FIT.B+.Резист.2-стулк</t>
  </si>
  <si>
    <t>КД Standard.стандарт.1-стулк.90</t>
  </si>
  <si>
    <t>КД Verto-FIT.B+.LINE-3D.1-стулк</t>
  </si>
  <si>
    <t>КД Standard.стандарт.1-стулк.100</t>
  </si>
  <si>
    <t>КД Verto-FIT.B+.LINE-3D.2-стулк</t>
  </si>
  <si>
    <t>КД Standard.стандарт.2-стулк.(100)</t>
  </si>
  <si>
    <t>КД Standard.стандарт.2-стулк.(110)</t>
  </si>
  <si>
    <t>КД Standard.стандарт.2-стулк.(120)</t>
  </si>
  <si>
    <t>КД Verto-FIT.B+.Лофт.1-стулк</t>
  </si>
  <si>
    <t>КД Standard.стандарт.2-стулк.(130)</t>
  </si>
  <si>
    <t>КД Verto-FIT.B+.Лофт.2-стулк</t>
  </si>
  <si>
    <t>КД Standard.стандарт.2-стулк.(140)</t>
  </si>
  <si>
    <t>КД Standard.стандарт.2-стулк.(150)</t>
  </si>
  <si>
    <t>КД Standard.стандарт.2-стулк.(160)</t>
  </si>
  <si>
    <t>КД Standard.стандарт.2-стулк.(170)</t>
  </si>
  <si>
    <t>КД Verto-FIT.C.Verto-Cell.1-стулк</t>
  </si>
  <si>
    <t>КД Standard.стандарт.2-стулк.(180)</t>
  </si>
  <si>
    <t>КД Verto-FIT.C.Verto-Cell.2-стулк</t>
  </si>
  <si>
    <t>КД Verto-FIT.C.Verto-Cell Plus.1-стулк</t>
  </si>
  <si>
    <t>КД Verto-FIT.стандарт.1-стулк.60</t>
  </si>
  <si>
    <t>КД Verto-FIT.C.Verto-Cell Plus.2-стулк</t>
  </si>
  <si>
    <t>КД Verto-FIT.стандарт.1-стулк.70</t>
  </si>
  <si>
    <t>КД Verto-FIT.C.Uni-Mat.1-стулк</t>
  </si>
  <si>
    <t>КД Verto-FIT.стандарт.1-стулк.80</t>
  </si>
  <si>
    <t>КД Verto-FIT.C.Uni-Mat.2-стулк</t>
  </si>
  <si>
    <t>КД Verto-FIT.стандарт.1-стулк.90</t>
  </si>
  <si>
    <t>КД Verto-FIT.C.Резист.1-стулк</t>
  </si>
  <si>
    <t>КД Verto-FIT.стандарт.1-стулк.100</t>
  </si>
  <si>
    <t>КД Verto-FIT.C.Резист.2-стулк</t>
  </si>
  <si>
    <t>КД Verto-FIT.стандарт.2-стулк.(100)</t>
  </si>
  <si>
    <t>КД Verto-FIT.C.LINE-3D.1-стулк</t>
  </si>
  <si>
    <t>КД Verto-FIT.стандарт.2-стулк.(110)</t>
  </si>
  <si>
    <t>КД Verto-FIT.C.LINE-3D.2-стулк</t>
  </si>
  <si>
    <t>КД Verto-FIT.стандарт.2-стулк.(120)</t>
  </si>
  <si>
    <t>КД Verto-FIT.стандарт.2-стулк.(130)</t>
  </si>
  <si>
    <t>КД Verto-FIT.стандарт.2-стулк.(140)</t>
  </si>
  <si>
    <t>КД Verto-FIT.C.Лофт.1-стулк</t>
  </si>
  <si>
    <t>КД Verto-FIT.стандарт.2-стулк.(150)</t>
  </si>
  <si>
    <t>КД Verto-FIT.C.Лофт.2-стулк</t>
  </si>
  <si>
    <t>КД Verto-FIT.стандарт.2-стулк.(160)</t>
  </si>
  <si>
    <t>КД Verto-FIT.стандарт.2-стулк.(170)</t>
  </si>
  <si>
    <t>КД Verto-FIT.стандарт.2-стулк.(180)</t>
  </si>
  <si>
    <t>КД Verto-FIT.D.Verto-Cell.1-стулк</t>
  </si>
  <si>
    <t>КД Verto-FIT.D.Verto-Cell.2-стулк</t>
  </si>
  <si>
    <t>КД Verto-FIT.D.Verto-Cell Plus.1-стулк</t>
  </si>
  <si>
    <t>КД Verto-FIT.D.Verto-Cell Plus.2-стулк</t>
  </si>
  <si>
    <t>КД Verto-FIT.D.Uni-Mat.1-стулк</t>
  </si>
  <si>
    <t>КД Verto-FIT.D.Uni-Mat.2-стулк</t>
  </si>
  <si>
    <t>КД Verto-FIT.D.Резист.1-стулк</t>
  </si>
  <si>
    <t>КД Verto-FIT.D.Резист.2-стулк</t>
  </si>
  <si>
    <t>КД Verto-FIT.D.LINE-3D.1-стулк</t>
  </si>
  <si>
    <t>КД Verto-FIT.D.LINE-3D.2-стулк</t>
  </si>
  <si>
    <t>КД Verto-FIT.D.Лофт.1-стулк</t>
  </si>
  <si>
    <t>КД Verto-FIT.D.Лофт.2-стулк</t>
  </si>
  <si>
    <t>КД Verto-FIT Plus.стандарт.1-стулк.60</t>
  </si>
  <si>
    <t>КД Verto-FIT Plus.стандарт.1-стулк.70</t>
  </si>
  <si>
    <t>КД Verto-FIT Plus.стандарт.1-стулк.80</t>
  </si>
  <si>
    <t>КД Verto-FIT.E.Verto-Cell.1-стулк</t>
  </si>
  <si>
    <t>КД Verto-FIT Plus.стандарт.1-стулк.90</t>
  </si>
  <si>
    <t>КД Verto-FIT.E.Verto-Cell.2-стулк</t>
  </si>
  <si>
    <t>КД Verto-FIT Plus.стандарт.1-стулк.100</t>
  </si>
  <si>
    <t>КД Verto-FIT.E.Verto-Cell Plus.1-стулк</t>
  </si>
  <si>
    <t>КД Verto-FIT Plus.стандарт.2-стулк.(100)</t>
  </si>
  <si>
    <t>КД Verto-FIT.E.Verto-Cell Plus.2-стулк</t>
  </si>
  <si>
    <t>КД Verto-FIT Plus.стандарт.2-стулк.(110)</t>
  </si>
  <si>
    <t>КД Verto-FIT.E.Uni-Mat.1-стулк</t>
  </si>
  <si>
    <t>КД Verto-FIT Plus.стандарт.2-стулк.(120)</t>
  </si>
  <si>
    <t>КД Verto-FIT.E.Uni-Mat.2-стулк</t>
  </si>
  <si>
    <t>КД Verto-FIT Plus.стандарт.2-стулк.(130)</t>
  </si>
  <si>
    <t>КД Verto-FIT.E.Резист.1-стулк</t>
  </si>
  <si>
    <t>КД Verto-FIT Plus.стандарт.2-стулк.(140)</t>
  </si>
  <si>
    <t>КД Verto-FIT.E.Резист.2-стулк</t>
  </si>
  <si>
    <t>КД Verto-FIT Plus.стандарт.2-стулк.(150)</t>
  </si>
  <si>
    <t>КД Verto-FIT.E.LINE-3D.1-стулк</t>
  </si>
  <si>
    <t>КД Verto-FIT Plus.стандарт.2-стулк.(160)</t>
  </si>
  <si>
    <t>КД Verto-FIT.E.LINE-3D.2-стулк</t>
  </si>
  <si>
    <t>КД Verto-FIT Plus.стандарт.2-стулк.(170)</t>
  </si>
  <si>
    <t>КД Verto-FIT Plus.стандарт.2-стулк.(180)</t>
  </si>
  <si>
    <t>КД Verto-FIT.E.Лофт.1-стулк</t>
  </si>
  <si>
    <t>КД Verto-FIT Comfort.стандарт..1-стулк.60</t>
  </si>
  <si>
    <t>КД Verto-FIT.E.Лофт.2-стулк</t>
  </si>
  <si>
    <t>КД Verto-FIT Comfort.стандарт..1-стулк.70</t>
  </si>
  <si>
    <t>КД Verto-FIT Comfort.стандарт..1-стулк.80</t>
  </si>
  <si>
    <t>КД Verto-FIT Comfort.стандарт..1-стулк.90</t>
  </si>
  <si>
    <t>КД Verto-FIT Comfort.стандарт..1-стулк.100</t>
  </si>
  <si>
    <t>КД Verto-FIT.F.Verto-Cell.1-стулк</t>
  </si>
  <si>
    <t>КД Verto-FIT.F.Verto-Cell.2-стулк</t>
  </si>
  <si>
    <t>РС Verto-SLIDE.стандарт,.1-стулк..60</t>
  </si>
  <si>
    <t>КД Verto-FIT.F.Verto-Cell Plus.1-стулк</t>
  </si>
  <si>
    <t>РС Verto-SLIDE.стандарт,.1-стулк..70</t>
  </si>
  <si>
    <t>КД Verto-FIT.F.Verto-Cell Plus.2-стулк</t>
  </si>
  <si>
    <t>РС Verto-SLIDE.стандарт,.1-стулк..80</t>
  </si>
  <si>
    <t>КД Verto-FIT.F.Uni-Mat.1-стулк</t>
  </si>
  <si>
    <t>РС Verto-SLIDE.стандарт,.1-стулк..90</t>
  </si>
  <si>
    <t>КД Verto-FIT.F.Uni-Mat.2-стулк</t>
  </si>
  <si>
    <t>КД Verto-FIT.F.Резист.1-стулк</t>
  </si>
  <si>
    <t>КД Verto-FIT.F.Резист.2-стулк</t>
  </si>
  <si>
    <t>КД Verto-FIT.F.LINE-3D.1-стулк</t>
  </si>
  <si>
    <t>КД Verto-FIT.F.LINE-3D.2-стулк</t>
  </si>
  <si>
    <t>КД Verto-FIT.F.Лофт.1-стулк</t>
  </si>
  <si>
    <t>КД Verto-FIT.F.Лофт.2-стулк</t>
  </si>
  <si>
    <t>КД Verto-FIT.G.Verto-Cell.1-стулк</t>
  </si>
  <si>
    <t>КД Verto-FIT.G.Verto-Cell.2-стулк</t>
  </si>
  <si>
    <t>КД Verto-FIT.G.Verto-Cell Plus.1-стулк</t>
  </si>
  <si>
    <t>КД Verto-FIT.G.Verto-Cell Plus.2-стулк</t>
  </si>
  <si>
    <t>КД Verto-FIT.G.Uni-Mat.1-стулк</t>
  </si>
  <si>
    <t>КД Verto-FIT.G.Uni-Mat.2-стулк</t>
  </si>
  <si>
    <t>КД Verto-FIT.G.Резист.1-стулк</t>
  </si>
  <si>
    <t>КД Verto-FIT.G.Резист.2-стулк</t>
  </si>
  <si>
    <t>КД Verto-FIT.G.LINE-3D.1-стулк</t>
  </si>
  <si>
    <t>КД Verto-FIT.G.LINE-3D.2-стулк</t>
  </si>
  <si>
    <t>КД Verto-FIT.G.Лофт.1-стулк</t>
  </si>
  <si>
    <t>КД Verto-FIT.G.Лофт.2-стулк</t>
  </si>
  <si>
    <t>КД Verto-FIT.H.Verto-Cell.1-стулк</t>
  </si>
  <si>
    <t>КД Verto-FIT.H.Verto-Cell.2-стулк</t>
  </si>
  <si>
    <t>КД Verto-FIT.H.Verto-Cell Plus.1-стулк</t>
  </si>
  <si>
    <t>КД Verto-FIT.H.Verto-Cell Plus.2-стулк</t>
  </si>
  <si>
    <t>КД Verto-FIT.H.Uni-Mat.1-стулк</t>
  </si>
  <si>
    <t>КД Verto-FIT.H.Uni-Mat.2-стулк</t>
  </si>
  <si>
    <t>КД Verto-FIT.H.Резист.1-стулк</t>
  </si>
  <si>
    <t>КД Verto-FIT.H.Резист.2-стулк</t>
  </si>
  <si>
    <t>КД Verto-FIT.H.LINE-3D.1-стулк</t>
  </si>
  <si>
    <t>КД Verto-FIT.H.LINE-3D.2-стулк</t>
  </si>
  <si>
    <t>КД Verto-FIT.H.Лофт.1-стулк</t>
  </si>
  <si>
    <t>КД Verto-FIT.H.Лофт.2-стулк</t>
  </si>
  <si>
    <t>КД Verto-FIT.I.Verto-Cell.1-стулк</t>
  </si>
  <si>
    <t>КД Verto-FIT.I.Verto-Cell.2-стулк</t>
  </si>
  <si>
    <t>КД Verto-FIT.I.Verto-Cell Plus.1-стулк</t>
  </si>
  <si>
    <t>КД Verto-FIT.I.Verto-Cell Plus.2-стулк</t>
  </si>
  <si>
    <t>КД Verto-FIT.I.Uni-Mat.1-стулк</t>
  </si>
  <si>
    <t>КД Verto-FIT.I.Uni-Mat.2-стулк</t>
  </si>
  <si>
    <t>КД Verto-FIT.I.Резист.1-стулк</t>
  </si>
  <si>
    <t>КД Verto-FIT.I.Резист.2-стулк</t>
  </si>
  <si>
    <t>КД Verto-FIT.I.LINE-3D.1-стулк</t>
  </si>
  <si>
    <t>КД Verto-FIT.I.LINE-3D.2-стулк</t>
  </si>
  <si>
    <t>КД Verto-FIT.I.Лофт.1-стулк</t>
  </si>
  <si>
    <t>КД Verto-FIT.I.Лофт.2-стулк</t>
  </si>
  <si>
    <t>КД Verto-FIT Plus.A.Verto-Cell.1-стулк</t>
  </si>
  <si>
    <t>КД Verto-FIT Plus.A.Verto-Cell.2-стулк</t>
  </si>
  <si>
    <t>КД Verto-FIT Plus.A.Verto-Cell Plus.1-стулк</t>
  </si>
  <si>
    <t>КД Verto-FIT Plus.A.Verto-Cell Plus.2-стулк</t>
  </si>
  <si>
    <t>КД Verto-FIT Plus.A.Uni-Mat.1-стулк</t>
  </si>
  <si>
    <t>КД Verto-FIT Plus.A.Uni-Mat.2-стулк</t>
  </si>
  <si>
    <t>КД Verto-FIT Plus.A.Резист.1-стулк</t>
  </si>
  <si>
    <t>КД Verto-FIT Plus.A.Резист.2-стулк</t>
  </si>
  <si>
    <t>КД Verto-FIT Plus.A.LINE-3D.1-стулк</t>
  </si>
  <si>
    <t>КД Verto-FIT Plus.A.LINE-3D.2-стулк</t>
  </si>
  <si>
    <t>КД Verto-FIT Plus.A.Лофт.1-стулк</t>
  </si>
  <si>
    <t>КД Verto-FIT Plus.A.Лофт.2-стулк</t>
  </si>
  <si>
    <t>КД Verto-FIT Plus.B.Verto-Cell.1-стулк</t>
  </si>
  <si>
    <t>КД Verto-FIT Plus.B.Verto-Cell.2-стулк</t>
  </si>
  <si>
    <t>КД Verto-FIT Plus.B.Verto-Cell Plus.1-стулк</t>
  </si>
  <si>
    <t>КД Verto-FIT Plus.B.Verto-Cell Plus.2-стулк</t>
  </si>
  <si>
    <t>КД Verto-FIT Plus.B.Uni-Mat.1-стулк</t>
  </si>
  <si>
    <t>КД Verto-FIT Plus.B.Uni-Mat.2-стулк</t>
  </si>
  <si>
    <t>КД Verto-FIT Plus.B.Резист.1-стулк</t>
  </si>
  <si>
    <t>КД Verto-FIT Plus.B.Резист.2-стулк</t>
  </si>
  <si>
    <t>КД Verto-FIT Plus.B.LINE-3D.1-стулк</t>
  </si>
  <si>
    <t>КД Verto-FIT Plus.B.LINE-3D.2-стулк</t>
  </si>
  <si>
    <t>КД Verto-FIT Plus.B.Лофт.1-стулк</t>
  </si>
  <si>
    <t>КД Verto-FIT Plus.B.Лофт.2-стулк</t>
  </si>
  <si>
    <t>КД Verto-FIT Plus.B+.Verto-Cell.1-стулк</t>
  </si>
  <si>
    <t>КД Verto-FIT Plus.B+.Verto-Cell.2-стулк</t>
  </si>
  <si>
    <t>КД Verto-FIT Plus.B+.Verto-Cell Plus.1-стулк</t>
  </si>
  <si>
    <t>КД Verto-FIT Plus.B+.Verto-Cell Plus.2-стулк</t>
  </si>
  <si>
    <t>КД Verto-FIT Plus.B+.Uni-Mat.1-стулк</t>
  </si>
  <si>
    <t>КД Verto-FIT Plus.B+.Uni-Mat.2-стулк</t>
  </si>
  <si>
    <t>КД Verto-FIT Plus.B+.Резист.1-стулк</t>
  </si>
  <si>
    <t>КД Verto-FIT Plus.B+.Резист.2-стулк</t>
  </si>
  <si>
    <t>КД Verto-FIT Plus.B+.LINE-3D.1-стулк</t>
  </si>
  <si>
    <t>КД Verto-FIT Plus.B+.LINE-3D.2-стулк</t>
  </si>
  <si>
    <t>КД Verto-FIT Plus.B+.Лофт.1-стулк</t>
  </si>
  <si>
    <t>КД Verto-FIT Plus.B+.Лофт.2-стулк</t>
  </si>
  <si>
    <t>КД Verto-FIT Plus.C.Verto-Cell.1-стулк</t>
  </si>
  <si>
    <t>КД Verto-FIT Plus.C.Verto-Cell.2-стулк</t>
  </si>
  <si>
    <t>КД Verto-FIT Plus.C.Verto-Cell Plus.1-стулк</t>
  </si>
  <si>
    <t>КД Verto-FIT Plus.C.Verto-Cell Plus.2-стулк</t>
  </si>
  <si>
    <t>КД Verto-FIT Plus.C.Uni-Mat.1-стулк</t>
  </si>
  <si>
    <t>КД Verto-FIT Plus.C.Uni-Mat.2-стулк</t>
  </si>
  <si>
    <t>КД Verto-FIT Plus.C.Резист.1-стулк</t>
  </si>
  <si>
    <t>КД Verto-FIT Plus.C.Резист.2-стулк</t>
  </si>
  <si>
    <t>КД Verto-FIT Plus.C.LINE-3D.1-стулк</t>
  </si>
  <si>
    <t>КД Verto-FIT Plus.C.LINE-3D.2-стулк</t>
  </si>
  <si>
    <t>КД Verto-FIT Plus.C.Лофт.1-стулк</t>
  </si>
  <si>
    <t>КД Verto-FIT Plus.C.Лофт.2-стулк</t>
  </si>
  <si>
    <t>КД Verto-FIT Plus.D.Verto-Cell.1-стулк</t>
  </si>
  <si>
    <t>КД Verto-FIT Plus.D.Verto-Cell.2-стулк</t>
  </si>
  <si>
    <t>КД Verto-FIT Plus.D.Verto-Cell Plus.1-стулк</t>
  </si>
  <si>
    <t>КД Verto-FIT Plus.D.Verto-Cell Plus.2-стулк</t>
  </si>
  <si>
    <t>КД Verto-FIT Plus.D.Uni-Mat.1-стулк</t>
  </si>
  <si>
    <t>КД Verto-FIT Plus.D.Uni-Mat.2-стулк</t>
  </si>
  <si>
    <t>КД Verto-FIT Plus.D.Резист.1-стулк</t>
  </si>
  <si>
    <t>КД Verto-FIT Plus.D.Резист.2-стулк</t>
  </si>
  <si>
    <t>КД Verto-FIT Plus.D.LINE-3D.1-стулк</t>
  </si>
  <si>
    <t>КД Verto-FIT Plus.D.LINE-3D.2-стулк</t>
  </si>
  <si>
    <t>КД Verto-FIT Plus.D.Лофт.1-стулк</t>
  </si>
  <si>
    <t>КД Verto-FIT Plus.D.Лофт.2-стулк</t>
  </si>
  <si>
    <t>КД Verto-FIT Plus.E.Verto-Cell.1-стулк</t>
  </si>
  <si>
    <t>КД Verto-FIT Plus.E.Verto-Cell.2-стулк</t>
  </si>
  <si>
    <t>КД Verto-FIT Plus.E.Verto-Cell Plus.1-стулк</t>
  </si>
  <si>
    <t>КД Verto-FIT Plus.E.Verto-Cell Plus.2-стулк</t>
  </si>
  <si>
    <t>КД Verto-FIT Plus.E.Uni-Mat.1-стулк</t>
  </si>
  <si>
    <t>КД Verto-FIT Plus.E.Uni-Mat.2-стулк</t>
  </si>
  <si>
    <t>КД Verto-FIT Plus.E.Резист.1-стулк</t>
  </si>
  <si>
    <t>КД Verto-FIT Plus.E.Резист.2-стулк</t>
  </si>
  <si>
    <t>КД Verto-FIT Plus.E.LINE-3D.1-стулк</t>
  </si>
  <si>
    <t>КД Verto-FIT Plus.E.LINE-3D.2-стулк</t>
  </si>
  <si>
    <t>КД Verto-FIT Plus.E.Лофт.1-стулк</t>
  </si>
  <si>
    <t>КД Verto-FIT Plus.E.Лофт.2-стулк</t>
  </si>
  <si>
    <t>КД Verto-FIT Plus.F.Verto-Cell.1-стулк</t>
  </si>
  <si>
    <t>КД Verto-FIT Plus.F.Verto-Cell.2-стулк</t>
  </si>
  <si>
    <t>КД Verto-FIT Plus.F.Verto-Cell Plus.1-стулк</t>
  </si>
  <si>
    <t>КД Verto-FIT Plus.F.Verto-Cell Plus.2-стулк</t>
  </si>
  <si>
    <t>КД Verto-FIT Plus.F.Uni-Mat.1-стулк</t>
  </si>
  <si>
    <t>КД Verto-FIT Plus.F.Uni-Mat.2-стулк</t>
  </si>
  <si>
    <t>КД Verto-FIT Plus.F.Резист.1-стулк</t>
  </si>
  <si>
    <t>КД Verto-FIT Plus.F.Резист.2-стулк</t>
  </si>
  <si>
    <t>КД Verto-FIT Plus.F.LINE-3D.1-стулк</t>
  </si>
  <si>
    <t>КД Verto-FIT Plus.F.LINE-3D.2-стулк</t>
  </si>
  <si>
    <t>КД Verto-FIT Plus.F.Лофт.1-стулк</t>
  </si>
  <si>
    <t>КД Verto-FIT Plus.F.Лофт.2-стулк</t>
  </si>
  <si>
    <t>КД Verto-FIT Plus.G.Verto-Cell.1-стулк</t>
  </si>
  <si>
    <t>КД Verto-FIT Plus.G.Verto-Cell.2-стулк</t>
  </si>
  <si>
    <t>КД Verto-FIT Plus.G.Verto-Cell Plus.1-стулк</t>
  </si>
  <si>
    <t>КД Verto-FIT Plus.G.Verto-Cell Plus.2-стулк</t>
  </si>
  <si>
    <t>КД Verto-FIT Plus.G.Uni-Mat.1-стулк</t>
  </si>
  <si>
    <t>КД Verto-FIT Plus.G.Uni-Mat.2-стулк</t>
  </si>
  <si>
    <t>КД Verto-FIT Plus.G.Резист.1-стулк</t>
  </si>
  <si>
    <t>КД Verto-FIT Plus.G.Резист.2-стулк</t>
  </si>
  <si>
    <t>КД Verto-FIT Plus.G.LINE-3D.1-стулк</t>
  </si>
  <si>
    <t>КД Verto-FIT Plus.G.LINE-3D.2-стулк</t>
  </si>
  <si>
    <t>КД Verto-FIT Plus.G.Лофт.1-стулк</t>
  </si>
  <si>
    <t>КД Verto-FIT Plus.G.Лофт.2-стулк</t>
  </si>
  <si>
    <t>КД Verto-FIT Plus.H.Verto-Cell.1-стулк</t>
  </si>
  <si>
    <t>КД Verto-FIT Plus.H.Verto-Cell.2-стулк</t>
  </si>
  <si>
    <t>КД Verto-FIT Plus.H.Verto-Cell Plus.1-стулк</t>
  </si>
  <si>
    <t>КД Verto-FIT Plus.H.Verto-Cell Plus.2-стулк</t>
  </si>
  <si>
    <t>КД Verto-FIT Plus.H.Uni-Mat.1-стулк</t>
  </si>
  <si>
    <t>КД Verto-FIT Plus.H.Uni-Mat.2-стулк</t>
  </si>
  <si>
    <t>КД Verto-FIT Plus.H.Резист.1-стулк</t>
  </si>
  <si>
    <t>КД Verto-FIT Plus.H.Резист.2-стулк</t>
  </si>
  <si>
    <t>КД Verto-FIT Plus.H.LINE-3D.1-стулк</t>
  </si>
  <si>
    <t>КД Verto-FIT Plus.H.LINE-3D.2-стулк</t>
  </si>
  <si>
    <t>КД Verto-FIT Plus.H.Лофт.1-стулк</t>
  </si>
  <si>
    <t>КД Verto-FIT Plus.H.Лофт.2-стулк</t>
  </si>
  <si>
    <t>КД Verto-FIT Plus.I.Verto-Cell.1-стулк</t>
  </si>
  <si>
    <t>КД Verto-FIT Plus.I.Verto-Cell.2-стулк</t>
  </si>
  <si>
    <t>КД Verto-FIT Plus.I.Verto-Cell Plus.1-стулк</t>
  </si>
  <si>
    <t>КД Verto-FIT Plus.I.Verto-Cell Plus.2-стулк</t>
  </si>
  <si>
    <t>КД Verto-FIT Plus.I.Uni-Mat.1-стулк</t>
  </si>
  <si>
    <t>КД Verto-FIT Plus.I.Uni-Mat.2-стулк</t>
  </si>
  <si>
    <t>КД Verto-FIT Plus.I.Резист.1-стулк</t>
  </si>
  <si>
    <t>КД Verto-FIT Plus.I.Резист.2-стулк</t>
  </si>
  <si>
    <t>КД Verto-FIT Plus.I.LINE-3D.1-стулк</t>
  </si>
  <si>
    <t>КД Verto-FIT Plus.I.LINE-3D.2-стулк</t>
  </si>
  <si>
    <t>КД Verto-FIT Plus.I.Лофт.1-стулк</t>
  </si>
  <si>
    <t>КД Verto-FIT Plus.I.Лофт.2-стулк</t>
  </si>
  <si>
    <t>КД Verto-FIT Comfort.A.Verto-Cell.1-стулк</t>
  </si>
  <si>
    <t>КД Verto-FIT Comfort.A.Verto-Cell Plus.1-стулк</t>
  </si>
  <si>
    <t>КД Verto-FIT Comfort.A.Uni-Mat.1-стулк</t>
  </si>
  <si>
    <t>КД Verto-FIT Comfort.A.Резист.1-стулк</t>
  </si>
  <si>
    <t>КД Verto-FIT Comfort.A.LINE-3D.1-стулк</t>
  </si>
  <si>
    <t>КД Verto-FIT Comfort.A.Лофт.1-стулк</t>
  </si>
  <si>
    <t>КД Verto-FIT Comfort.B.Verto-Cell.1-стулк</t>
  </si>
  <si>
    <t>КД Verto-FIT Comfort.B.Verto-Cell Plus.1-стулк</t>
  </si>
  <si>
    <t>КД Verto-FIT Comfort.B.Uni-Mat.1-стулк</t>
  </si>
  <si>
    <t>КД Verto-FIT Comfort.B.Резист.1-стулк</t>
  </si>
  <si>
    <t>КД Verto-FIT Comfort.B.LINE-3D.1-стулк</t>
  </si>
  <si>
    <t>КД Verto-FIT Comfort.B.Лофт.1-стулк</t>
  </si>
  <si>
    <t>КД Verto-FIT Comfort.B+.Verto-Cell.1-стулк</t>
  </si>
  <si>
    <t>КД Verto-FIT Comfort.B+.Verto-Cell Plus.1-стулк</t>
  </si>
  <si>
    <t>КД Verto-FIT Comfort.B+.Uni-Mat.1-стулк</t>
  </si>
  <si>
    <t>КД Verto-FIT Comfort.B+.Резист.1-стулк</t>
  </si>
  <si>
    <t>КД Verto-FIT Comfort.B+.LINE-3D.1-стулк</t>
  </si>
  <si>
    <t>КД Verto-FIT Comfort.B+.Лофт.1-стулк</t>
  </si>
  <si>
    <t>КД Verto-FIT Comfort.C.Verto-Cell.1-стулк</t>
  </si>
  <si>
    <t>КД Verto-FIT Comfort.C.Verto-Cell Plus.1-стулк</t>
  </si>
  <si>
    <t>КД Verto-FIT Comfort.C.Uni-Mat.1-стулк</t>
  </si>
  <si>
    <t>КД Verto-FIT Comfort.C.Резист.1-стулк</t>
  </si>
  <si>
    <t>КД Verto-FIT Comfort.C.LINE-3D.1-стулк</t>
  </si>
  <si>
    <t>КД Verto-FIT Comfort.C.Лофт.1-стулк</t>
  </si>
  <si>
    <t>КД Verto-FIT Comfort.D.Verto-Cell.1-стулк</t>
  </si>
  <si>
    <t>КД Verto-FIT Comfort.D.Verto-Cell Plus.1-стулк</t>
  </si>
  <si>
    <t>КД Verto-FIT Comfort.D.Uni-Mat.1-стулк</t>
  </si>
  <si>
    <t>КД Verto-FIT Comfort.D.Резист.1-стулк</t>
  </si>
  <si>
    <t>КД Verto-FIT Comfort.D.LINE-3D.1-стулк</t>
  </si>
  <si>
    <t>КД Verto-FIT Comfort.D.Лофт.1-стулк</t>
  </si>
  <si>
    <t>КД Verto-FIT Comfort.E.Verto-Cell.1-стулк</t>
  </si>
  <si>
    <t>КД Verto-FIT Comfort.E.Verto-Cell Plus.1-стулк</t>
  </si>
  <si>
    <t>КД Verto-FIT Comfort.E.Uni-Mat.1-стулк</t>
  </si>
  <si>
    <t>КД Verto-FIT Comfort.E.Резист.1-стулк</t>
  </si>
  <si>
    <t>КД Verto-FIT Comfort.E.LINE-3D.1-стулк</t>
  </si>
  <si>
    <t>КД Verto-FIT Comfort.E.Лофт.1-стулк</t>
  </si>
  <si>
    <t>КД Verto-FIT Comfort.F.Verto-Cell.1-стулк</t>
  </si>
  <si>
    <t>КД Verto-FIT Comfort.F.Verto-Cell Plus.1-стулк</t>
  </si>
  <si>
    <t>КД Verto-FIT Comfort.F.Uni-Mat.1-стулк</t>
  </si>
  <si>
    <t>КД Verto-FIT Comfort.F.Резист.1-стулк</t>
  </si>
  <si>
    <t>КД Verto-FIT Comfort.F.LINE-3D.1-стулк</t>
  </si>
  <si>
    <t>КД Verto-FIT Comfort.F.Лофт.1-стулк</t>
  </si>
  <si>
    <t>КД Verto-FIT Comfort.G.Verto-Cell.1-стулк</t>
  </si>
  <si>
    <t>КД Verto-FIT Comfort.G.Verto-Cell Plus.1-стулк</t>
  </si>
  <si>
    <t>КД Verto-FIT Comfort.G.Uni-Mat.1-стулк</t>
  </si>
  <si>
    <t>КД Verto-FIT Comfort.G.Резист.1-стулк</t>
  </si>
  <si>
    <t>КД Verto-FIT Comfort.G.LINE-3D.1-стулк</t>
  </si>
  <si>
    <t>КД Verto-FIT Comfort.G.Лофт.1-стулк</t>
  </si>
  <si>
    <t>КД Verto-FIT Comfort.H.Verto-Cell.1-стулк</t>
  </si>
  <si>
    <t>КД Verto-FIT Comfort.H.Verto-Cell Plus.1-стулк</t>
  </si>
  <si>
    <t>КД Verto-FIT Comfort.H.Uni-Mat.1-стулк</t>
  </si>
  <si>
    <t>КД Verto-FIT Comfort.H.Резист.1-стулк</t>
  </si>
  <si>
    <t>КД Verto-FIT Comfort.H.LINE-3D.1-стулк</t>
  </si>
  <si>
    <t>КД Verto-FIT Comfort.H.Лофт.1-стулк</t>
  </si>
  <si>
    <t>КД Verto-FIT Comfort.I.Verto-Cell.1-стулк</t>
  </si>
  <si>
    <t>КД Verto-FIT Comfort.I.Verto-Cell Plus.1-стулк</t>
  </si>
  <si>
    <t>КД Verto-FIT Comfort.I.Uni-Mat.1-стулк</t>
  </si>
  <si>
    <t>КД Verto-FIT Comfort.I.Резист.1-стулк</t>
  </si>
  <si>
    <t>КД Verto-FIT Comfort.I.LINE-3D.1-стулк</t>
  </si>
  <si>
    <t>КД Verto-FIT Comfort.I.Лофт.1-стулк</t>
  </si>
  <si>
    <t>РС Verto-SLIDE.1.Verto-Cell.1-стулк.</t>
  </si>
  <si>
    <t>РС Verto-SLIDE.1.Verto-Cell Plus.1-стулк.</t>
  </si>
  <si>
    <t>РС Verto-SLIDE.1.Uni-Mat.1-стулк.</t>
  </si>
  <si>
    <t>РС Verto-SLIDE.1.Резист.1-стулк.</t>
  </si>
  <si>
    <t>РС Verto-SLIDE.1.LINE-3D.1-стулк.</t>
  </si>
  <si>
    <t>РС Verto-SLIDE.1.Лофт.1-стулк.</t>
  </si>
  <si>
    <t>Планка добірна 60мм.Verto-Cell.1-стулк,</t>
  </si>
  <si>
    <t>Планка добірна 60мм.Verto-Cell.2-стулк,</t>
  </si>
  <si>
    <t>Планка добірна 60мм.Verto-Cell Plus.1-стулк,</t>
  </si>
  <si>
    <t>Планка добірна 60мм.Verto-Cell Plus.2-стулк,</t>
  </si>
  <si>
    <t>Планка добірна 60мм.Uni-Mat.1-стулк,</t>
  </si>
  <si>
    <t>Планка добірна 60мм.Uni-Mat.2-стулк,</t>
  </si>
  <si>
    <t>Планка добірна 60мм.Резист.1-стулк,</t>
  </si>
  <si>
    <t>Планка добірна 60мм.Резист.2-стулк,</t>
  </si>
  <si>
    <t>Планка добірна 60мм.LINE-3D.1-стулк,</t>
  </si>
  <si>
    <t>Планка добірна 60мм.LINE-3D.2-стулк,</t>
  </si>
  <si>
    <t>Планка добірна 60мм.Лофт.1-стулк,</t>
  </si>
  <si>
    <t>Планка добірна 60мм.Лофт.2-стулк,</t>
  </si>
  <si>
    <t>Планка добірна 110мм.Verto-Cell.1-стулк,</t>
  </si>
  <si>
    <t>Планка добірна 110мм.Verto-Cell.2-стулк,</t>
  </si>
  <si>
    <t>Планка добірна 110мм.Verto-Cell Plus.1-стулк,</t>
  </si>
  <si>
    <t>Планка добірна 110мм.Verto-Cell Plus.2-стулк,</t>
  </si>
  <si>
    <t>Планка добірна 110мм.Uni-Mat.1-стулк,</t>
  </si>
  <si>
    <t>Планка добірна 110мм.Uni-Mat.2-стулк,</t>
  </si>
  <si>
    <t>Планка добірна 110мм.Резист.1-стулк,</t>
  </si>
  <si>
    <t>Планка добірна 110мм.Резист.2-стулк,</t>
  </si>
  <si>
    <t>Планка добірна 110мм.LINE-3D.1-стулк,</t>
  </si>
  <si>
    <t>Планка добірна 110мм.LINE-3D.2-стулк,</t>
  </si>
  <si>
    <t>Планка добірна 110мм.Лофт.1-стулк,</t>
  </si>
  <si>
    <t>Планка добірна 110мм.Лофт.2-стулк,</t>
  </si>
  <si>
    <t>Планка добірна 200мм.Verto-Cell.1-стулк,</t>
  </si>
  <si>
    <t>Планка добірна 200мм.Verto-Cell.2-стулк,</t>
  </si>
  <si>
    <t>Планка добірна 200мм.Verto-Cell Plus.1-стулк,</t>
  </si>
  <si>
    <t>Планка добірна 200мм.Verto-Cell Plus.2-стулк,</t>
  </si>
  <si>
    <t>Планка добірна 200мм.Uni-Mat.1-стулк,</t>
  </si>
  <si>
    <t>Планка добірна 200мм.Uni-Mat.2-стулк,</t>
  </si>
  <si>
    <t>Планка добірна 200мм.Резист.1-стулк,</t>
  </si>
  <si>
    <t>Планка добірна 200мм.Резист.2-стулк,</t>
  </si>
  <si>
    <t>Планка добірна 200мм.LINE-3D.1-стулк,</t>
  </si>
  <si>
    <t>Планка добірна 200мм.LINE-3D.2-стулк,</t>
  </si>
  <si>
    <t>Планка добірна 200мм.Лофт.1-стулк,</t>
  </si>
  <si>
    <t>Планка добірна 200мм.Лофт.2-стулк,</t>
  </si>
  <si>
    <t>Планка Verto-FIT 80мм.Verto-Cell.1-стулк</t>
  </si>
  <si>
    <t>Планка Verto-FIT 80мм.Verto-Cell.2-стулк</t>
  </si>
  <si>
    <t>Планка Verto-FIT 80мм.Verto-Cell Plus.1-стулк</t>
  </si>
  <si>
    <t>Планка Verto-FIT 80мм.Verto-Cell Plus.2-стулк</t>
  </si>
  <si>
    <t>Планка Verto-FIT 80мм.Uni-Mat.1-стулк</t>
  </si>
  <si>
    <t>Планка Verto-FIT 80мм.Uni-Mat.2-стулк</t>
  </si>
  <si>
    <t>Планка Verto-FIT 80мм.Резист.1-стулк</t>
  </si>
  <si>
    <t>Планка Verto-FIT 80мм.Резист.2-стулк</t>
  </si>
  <si>
    <t>Планка Verto-FIT 80мм.LINE-3D.1-стулк</t>
  </si>
  <si>
    <t>Планка Verto-FIT 80мм.LINE-3D.2-стулк</t>
  </si>
  <si>
    <t>Планка Verto-FIT 80мм.Лофт.1-стулк</t>
  </si>
  <si>
    <t>Планка Verto-FIT 80мм.Лофт.2-стулк</t>
  </si>
  <si>
    <t>Планка Verto-FIT 160мм.Verto-Cell.1-стулк</t>
  </si>
  <si>
    <t>Планка Verto-FIT 160мм.Verto-Cell.2-стулк</t>
  </si>
  <si>
    <t>Планка Verto-FIT 160мм.Verto-Cell Plus.1-стулк</t>
  </si>
  <si>
    <t>Планка Verto-FIT 160мм.Verto-Cell Plus.2-стулк</t>
  </si>
  <si>
    <t>Планка Verto-FIT 160мм.Uni-Mat.1-стулк</t>
  </si>
  <si>
    <t>Планка Verto-FIT 160мм.Uni-Mat.2-стулк</t>
  </si>
  <si>
    <t>Планка Verto-FIT 160мм.Резист.1-стулк</t>
  </si>
  <si>
    <t>Планка Verto-FIT 160мм.Резист.2-стулк</t>
  </si>
  <si>
    <t>Планка Verto-FIT 160мм.LINE-3D.1-стулк</t>
  </si>
  <si>
    <t>Планка Verto-FIT 160мм.LINE-3D.2-стулк</t>
  </si>
  <si>
    <t>Планка Verto-FIT 160мм.Лофт.1-стулк</t>
  </si>
  <si>
    <t>Планка Verto-FIT 160мм.Лофт.2-стулк</t>
  </si>
  <si>
    <t>Планка Verto-FIT 200мм.Verto-Cell.1-стулк</t>
  </si>
  <si>
    <t>Планка Verto-FIT 200мм.Verto-Cell.2-стулк</t>
  </si>
  <si>
    <t>Планка Verto-FIT 200мм.Verto-Cell Plus.1-стулк</t>
  </si>
  <si>
    <t>Планка Verto-FIT 200мм.Verto-Cell Plus.2-стулк</t>
  </si>
  <si>
    <t>Планка Verto-FIT 200мм.Uni-Mat.1-стулк</t>
  </si>
  <si>
    <t>Планка Verto-FIT 200мм.Uni-Mat.2-стулк</t>
  </si>
  <si>
    <t>Планка Verto-FIT 200мм.Резист.1-стулк</t>
  </si>
  <si>
    <t>Планка Verto-FIT 200мм.Резист.2-стулк</t>
  </si>
  <si>
    <t>Планка Verto-FIT 200мм.LINE-3D.1-стулк</t>
  </si>
  <si>
    <t>Планка Verto-FIT 200мм.LINE-3D.2-стулк</t>
  </si>
  <si>
    <t>Планка Verto-FIT 200мм.Лофт.1-стулк</t>
  </si>
  <si>
    <t>Планка Verto-FIT 200мм.Лофт.2-стулк</t>
  </si>
  <si>
    <t>Планка Verto-FIT Comfort 80мм.Verto-Cell.1-стулк</t>
  </si>
  <si>
    <t>Планка Verto-FIT Comfort 80мм.Verto-Cell Plus.1-стулк</t>
  </si>
  <si>
    <t>Планка Verto-FIT Comfort 80мм.Uni-Mat.1-стулк</t>
  </si>
  <si>
    <t>Планка Verto-FIT Comfort 80мм.Резист.1-стулк</t>
  </si>
  <si>
    <t>Планка Verto-FIT Comfort 80мм.LINE-3D.1-стулк</t>
  </si>
  <si>
    <t>Планка Verto-FIT Comfort 80мм.Лофт.1-стулк</t>
  </si>
  <si>
    <t>Планка Verto-FIT Comfort 160мм.Verto-Cell.1-стулк</t>
  </si>
  <si>
    <t>Планка Verto-FIT Comfort 160мм.Verto-Cell Plus.1-стулк</t>
  </si>
  <si>
    <t>Планка Verto-FIT Comfort 160мм.Uni-Mat.1-стулк</t>
  </si>
  <si>
    <t>Планка Verto-FIT Comfort 160мм.Резист.1-стулк</t>
  </si>
  <si>
    <t>Планка Verto-FIT Comfort 160мм.LINE-3D.1-стулк</t>
  </si>
  <si>
    <t>Планка Verto-FIT Comfort 160мм.Лофт.1-стулк</t>
  </si>
  <si>
    <t>Планка Verto-FIT Comfort 200мм.Verto-Cell.1-стулк</t>
  </si>
  <si>
    <t>Планка Verto-FIT Comfort 200мм.Verto-Cell Plus.1-стулк</t>
  </si>
  <si>
    <t>Планка Verto-FIT Comfort 200мм.Uni-Mat.1-стулк</t>
  </si>
  <si>
    <t>Планка Verto-FIT Comfort 200мм.Резист.1-стулк</t>
  </si>
  <si>
    <t>Планка Verto-FIT Comfort 200мм.LINE-3D.1-стулк</t>
  </si>
  <si>
    <t>Планка Verto-FIT Comfort 200мм.Лофт.1-стулк</t>
  </si>
  <si>
    <t>КД Standard-MDF.стандарт.1-стулк</t>
  </si>
  <si>
    <t>КД Standard-MDF.стандарт.2-стулк</t>
  </si>
  <si>
    <t>КД Standard.стандарт.1-стулк</t>
  </si>
  <si>
    <t>КД Standard.стандарт.2-стулк</t>
  </si>
  <si>
    <t>КД Verto-FIT.стандарт.1-стулк</t>
  </si>
  <si>
    <t>КД Verto-FIT.стандарт.2-стулк</t>
  </si>
  <si>
    <t>КД Verto-FIT Plus.стандарт.1-стулк</t>
  </si>
  <si>
    <t>КД Verto-FIT Plus.стандарт.2-стулк</t>
  </si>
  <si>
    <t>КД Verto-FIT Comfort.стандарт..1-стулк</t>
  </si>
  <si>
    <t>РС Verto-SLIDE.стандарт,.1-стулк.</t>
  </si>
  <si>
    <t>105 Білий</t>
  </si>
  <si>
    <t>201 Білий</t>
  </si>
  <si>
    <t>колір: Білий (резист)</t>
  </si>
  <si>
    <t>виставковий стендТМ ВЕРТО 80 мм (ДСП), размер(мм): 2400*1020 (для дверних коробок "60"), колір: Білий (обклеєний шпалерами)</t>
  </si>
  <si>
    <t>виставковий стендТМ ВЕРТО 80 мм (ДСП), размер(мм): 2400*1120 (для дверних коробок "70"), колір: Білий (обклеєний шпалерами)</t>
  </si>
  <si>
    <t>виставковий стендТМ ВЕРТО 80 мм (ДСП), размер(мм): 2400*1220 (для дверних коробок "80"), колір: Білий (обклеєний шпалерами)</t>
  </si>
  <si>
    <t>виставковий стендТМ ВЕРТО 80 мм (ДСП), размер(мм): 2400*1320 (для дверних коробок "90"), колір: Білий (обклеєний шпалерами)</t>
  </si>
  <si>
    <t>виставковий стендТМ ВЕРТО 80 мм (ДСП), размер(мм): 2400*1420 (для дверних коробок "100"), колір: Білий (обклеєний шпалерами)</t>
  </si>
  <si>
    <t>112 Сірий</t>
  </si>
  <si>
    <t>115 Горіх мед.</t>
  </si>
  <si>
    <t>204 Горіх</t>
  </si>
  <si>
    <t>118 Дуб вибіл.</t>
  </si>
  <si>
    <t>121 Дуб ірланд.</t>
  </si>
  <si>
    <t>151 Біанко</t>
  </si>
  <si>
    <t>Графіт</t>
  </si>
  <si>
    <t>ДП СТАНДАРТ.1/А.Графіт</t>
  </si>
  <si>
    <t>ДП СТАНДАРТ.1/Б.Графіт</t>
  </si>
  <si>
    <t>ДП СТАНДАРТ.2/А.Графіт</t>
  </si>
  <si>
    <t>ДП СТАНДАРТ.2/Б.Графіт</t>
  </si>
  <si>
    <t>153 Графіт</t>
  </si>
  <si>
    <t>ДП СТАНДАРТ.3/1.Графіт</t>
  </si>
  <si>
    <t>ДП СТАНДАРТ.4/1.Графіт</t>
  </si>
  <si>
    <t>ДП СТАНДАРТ.4/2.Графіт</t>
  </si>
  <si>
    <t>ДП КУПАВА.1/1.Графіт</t>
  </si>
  <si>
    <t>ДП КУПАВА.2/1.Графіт</t>
  </si>
  <si>
    <t>ДП КУПАВА.3/1.Графіт</t>
  </si>
  <si>
    <t>ДП КУПАВА.4/1.Графіт</t>
  </si>
  <si>
    <t>ДП РУТА.1/1.Графіт</t>
  </si>
  <si>
    <t>ДП РУТА.2/1.Графіт</t>
  </si>
  <si>
    <t>ДП РУТА.4/1.Графіт</t>
  </si>
  <si>
    <t>ДП РУТА.5/1.Графіт</t>
  </si>
  <si>
    <t>ДП РУТА-FUSION.14.Графіт</t>
  </si>
  <si>
    <t>ДП Геометрія.1/1.Графіт</t>
  </si>
  <si>
    <t>ДП Геометрія.3/3.Графіт</t>
  </si>
  <si>
    <t>ДП Геометрія.4/4.Графіт</t>
  </si>
  <si>
    <t>ДП Геометрія.5/5.Графіт</t>
  </si>
  <si>
    <t>ДП Геометрія.6/6.Графіт</t>
  </si>
  <si>
    <t>ДП ГОРДАНА.1/1.Графіт</t>
  </si>
  <si>
    <t>ДП ГОРДАНА.2/1.Графіт</t>
  </si>
  <si>
    <t>ДП ГОРДАНА.4.Графіт</t>
  </si>
  <si>
    <t>ДП ГОРДАНА.5.Графіт</t>
  </si>
  <si>
    <t>ДП ГОРДАНА.6.Графіт</t>
  </si>
  <si>
    <t>ДП Ідея.3/1.Графіт</t>
  </si>
  <si>
    <t>ДП Ідея.3/2.Графіт</t>
  </si>
  <si>
    <t>ДП Ідея.3/3.Графіт</t>
  </si>
  <si>
    <t>ДП Ідея.4/1.Графіт</t>
  </si>
  <si>
    <t>ДП Ідея.4/2.Графіт</t>
  </si>
  <si>
    <t>ДП Ідея.4/3.Графіт</t>
  </si>
  <si>
    <t>ДП Ідея.4/4.Графіт</t>
  </si>
  <si>
    <t>ДП Ідея.6/6.Графіт</t>
  </si>
  <si>
    <t>ДП Ідея.7/1.Графіт</t>
  </si>
  <si>
    <t>ДП ЛАДА A.2А/1.Графіт</t>
  </si>
  <si>
    <t>ДП ЛАДА A.3А/1.Графіт</t>
  </si>
  <si>
    <t>ДП ЛАДА A.3А/2.Графіт</t>
  </si>
  <si>
    <t>ДП ЛАДА A.8/1.Графіт</t>
  </si>
  <si>
    <t>ДП ЛАДА A.8/2.Графіт</t>
  </si>
  <si>
    <t>ДП ЛАДА A.8/3.Графіт</t>
  </si>
  <si>
    <t>ДП ЛАДА A.8/4.Графіт</t>
  </si>
  <si>
    <t>ДП ЛАДА A.8/5.Графіт</t>
  </si>
  <si>
    <t>ДП ЛАДА B.1/0.Графіт</t>
  </si>
  <si>
    <t>ДП ЛАДА B.1/1.Графіт</t>
  </si>
  <si>
    <t>ДП ЛАДА B.1/2.Графіт</t>
  </si>
  <si>
    <t>ДП ЛАДА B.2/0.Графіт</t>
  </si>
  <si>
    <t>ДП ЛАДА B.2/1.Графіт</t>
  </si>
  <si>
    <t>ДП ЛАДА B.3/0.Графіт</t>
  </si>
  <si>
    <t>ДП ЛАДА B.3/1.Графіт</t>
  </si>
  <si>
    <t>ДП ЛАДА B.3/2.Графіт</t>
  </si>
  <si>
    <t>ДП ЛАДА B.3/3.Графіт</t>
  </si>
  <si>
    <t>ДП ЛАДА B.3/4.Графіт</t>
  </si>
  <si>
    <t>ДП ЛАДА C.4/1.Графіт</t>
  </si>
  <si>
    <t>ДП ЛАДА C.4/2.Графіт</t>
  </si>
  <si>
    <t>ДП ЛАДА C.4/3.Графіт</t>
  </si>
  <si>
    <t>ДП ЛАДА C.4/4.Графіт</t>
  </si>
  <si>
    <t>ДП ЛАДА C.4/5.Графіт</t>
  </si>
  <si>
    <t>ДП ЛАДА C.4/6.Графіт</t>
  </si>
  <si>
    <t>ДП ЛАДА C.4/7.Графіт</t>
  </si>
  <si>
    <t>ДП ЛАДА C.4/8.Графіт</t>
  </si>
  <si>
    <t>ДП ЛАДА C.5/0.Графіт</t>
  </si>
  <si>
    <t>ДП ЛАДА C.5/1.Графіт</t>
  </si>
  <si>
    <t>ДП ЛАДА C.5/2.Графіт</t>
  </si>
  <si>
    <t>ДП ЛАДА C.5/3.Графіт</t>
  </si>
  <si>
    <t>ДП ЛАДА C.5/4.Графіт</t>
  </si>
  <si>
    <t>ДП ЛАДА C.5/5.Графіт</t>
  </si>
  <si>
    <t>ДП ЛАДА C.5/6.Графіт</t>
  </si>
  <si>
    <t>ДП ЛАДА D.6/1.Графіт</t>
  </si>
  <si>
    <t>ДП ЛАДА D.6/2.Графіт</t>
  </si>
  <si>
    <t>ДП ЛАДА D.6/3.Графіт</t>
  </si>
  <si>
    <t>ДП ЛАДА D.6/4.Графіт</t>
  </si>
  <si>
    <t>ДП ЛАДА D.7/0.Графіт</t>
  </si>
  <si>
    <t>ДП ЛАДА D.7/1.Графіт</t>
  </si>
  <si>
    <t>ДП ЛАДА D.7/2.Графіт</t>
  </si>
  <si>
    <t>ДП Ніка.1/1.Графіт</t>
  </si>
  <si>
    <t>ДП Ніка.1/2.Графіт</t>
  </si>
  <si>
    <t>ДП Ніка.1/3.Графіт</t>
  </si>
  <si>
    <t>ДП Ніка.1/4.Графіт</t>
  </si>
  <si>
    <t>ДП Ніка.1/5.Графіт</t>
  </si>
  <si>
    <t>ДП Ніка.1/6.Графіт</t>
  </si>
  <si>
    <t>ДП Ніка.1/7.Графіт</t>
  </si>
  <si>
    <t>ДП Ніка.1/8.Графіт</t>
  </si>
  <si>
    <t>ДП Ніка.2/1.Графіт</t>
  </si>
  <si>
    <t>ДП Ніка.2/2.Графіт</t>
  </si>
  <si>
    <t>ДП Ніка.2/3.Графіт</t>
  </si>
  <si>
    <t>ДП Ніка.2/4.Графіт</t>
  </si>
  <si>
    <t>ДП Ліса.2/0.Графіт</t>
  </si>
  <si>
    <t>ДП Ліса.2/1.Графіт</t>
  </si>
  <si>
    <t>ДП Ліса.2/2.Графіт</t>
  </si>
  <si>
    <t>ДП Ліса.3/1.Графіт</t>
  </si>
  <si>
    <t>ДП Ліса.3/2.Графіт</t>
  </si>
  <si>
    <t>ДП Ліса.3/3.Графіт</t>
  </si>
  <si>
    <t>ДП Ліса.3/4.Графіт</t>
  </si>
  <si>
    <t>ДП ЛАДА-КОНЦЕПТ.2/0.Графіт</t>
  </si>
  <si>
    <t>ДП ЛАДА-КОНЦЕПТ.2/2.Графіт</t>
  </si>
  <si>
    <t>ДП ЛАДА-КОНЦЕПТ.3/0.Графіт</t>
  </si>
  <si>
    <t>ДП ЛАДА-КОНЦЕПТ.3/3.Графіт</t>
  </si>
  <si>
    <t>ДП ЛАДА-КОНЦЕПТ.4/0.Графіт</t>
  </si>
  <si>
    <t>ДП ЛАДА-КОНЦЕПТ.4/4.Графіт</t>
  </si>
  <si>
    <t>ДП ЛАДА-КОНЦЕПТ.5/1.Графіт</t>
  </si>
  <si>
    <t>ДП ЛАДА-КОНЦЕПТ.5/2.Графіт</t>
  </si>
  <si>
    <t>ДП ЛАДА-КОНЦЕПТ.5/3.Графіт</t>
  </si>
  <si>
    <t>ДП ЛАДА-НОВА.4/3.Графіт</t>
  </si>
  <si>
    <t>ДП ЛАДА-НОВА.4/6.Графіт</t>
  </si>
  <si>
    <t>ДП ЛАДА-НОВА.4/9.Графіт</t>
  </si>
  <si>
    <t>ДП ЛАДА-НОВА.6А/1.Графіт</t>
  </si>
  <si>
    <t>ДП ЛАДА-НОВА.6А/5.Графіт</t>
  </si>
  <si>
    <t>ДП ЛАДА-НОВА.7/1.Графіт</t>
  </si>
  <si>
    <t>ДП ЛАДА-НОВА.7/2.Графіт</t>
  </si>
  <si>
    <t>ДП ЛАДА-НОВА.8/1.Графіт</t>
  </si>
  <si>
    <t>ДП Міра.1/1.Графіт</t>
  </si>
  <si>
    <t>ДП Міра.1/2.Графіт</t>
  </si>
  <si>
    <t>ДП Міра.1/3.Графіт</t>
  </si>
  <si>
    <t>ДП Міра.1/4.Графіт</t>
  </si>
  <si>
    <t>ДП Міра.1/5.Графіт</t>
  </si>
  <si>
    <t>ДП Міра.1/6.Графіт</t>
  </si>
  <si>
    <t>ДП Міра.2/1.Графіт</t>
  </si>
  <si>
    <t>ДП Міра.2/2.Графіт</t>
  </si>
  <si>
    <t>ДП Міра.2/3.Графіт</t>
  </si>
  <si>
    <t>ДП ЛАДА-ЛОФТ.1/1.Графіт</t>
  </si>
  <si>
    <t>ДП ЛАДА-ЛОФТ.3/1.Графіт</t>
  </si>
  <si>
    <t>ДП ЛАДА-ЛОФТ.4/0.Графіт</t>
  </si>
  <si>
    <t>ДП ЛАДА-ЛОФТ.4/1.Графіт</t>
  </si>
  <si>
    <t>ДП ЛАДА-ЛОФТ.5/0.Графіт</t>
  </si>
  <si>
    <t>ДП ЛАДА-ЛОФТ.5/1.Графіт</t>
  </si>
  <si>
    <t>ДП ЛАДА-ЛОФТ.6/0.Графіт</t>
  </si>
  <si>
    <t>ДП ЛАДА-ЛОФТ.6/1.Графіт</t>
  </si>
  <si>
    <t>ДП Лінда.1/1.Графіт</t>
  </si>
  <si>
    <t>ДП Лінда.1/2.Графіт</t>
  </si>
  <si>
    <t>ДП Лінда.1/3.Графіт</t>
  </si>
  <si>
    <t>ДП Лінда.1/4.Графіт</t>
  </si>
  <si>
    <t>ДП Лінда.1/5.Графіт</t>
  </si>
  <si>
    <t>ДП Лінда.1/6.Графіт</t>
  </si>
  <si>
    <t>ДП Лінда.1/7.Графіт</t>
  </si>
  <si>
    <t>ДП Лінда.1/8.Графіт</t>
  </si>
  <si>
    <t>ДП Тіана.1/0.Графіт</t>
  </si>
  <si>
    <t>ДП Тіана.1/1.Графіт</t>
  </si>
  <si>
    <t>ДП Тіана.1/2.Графіт</t>
  </si>
  <si>
    <t>ДП Тіана.1/3.Графіт</t>
  </si>
  <si>
    <t>ДП Тіана.1/4.Графіт</t>
  </si>
  <si>
    <t>ДП Тіана.1/5.Графіт</t>
  </si>
  <si>
    <t>ДП Тіана.1/6.Графіт</t>
  </si>
  <si>
    <t>ДП Тіана.1/7.Графіт</t>
  </si>
  <si>
    <t>ДП Тіана.1/8.Графіт</t>
  </si>
  <si>
    <t>ДП Єва.2/0.Графіт</t>
  </si>
  <si>
    <t>ДП Єва.2/1.Графіт</t>
  </si>
  <si>
    <t>ДП Єва.2/2.Графіт</t>
  </si>
  <si>
    <t>ДП Єва.4/1.Графіт</t>
  </si>
  <si>
    <t>ДП Єва.4/2.Графіт</t>
  </si>
  <si>
    <t>ДП Єва.4/3.Графіт</t>
  </si>
  <si>
    <t>ДП Єва.4/4.Графіт</t>
  </si>
  <si>
    <t>ДП Єва.4/5.Графіт</t>
  </si>
  <si>
    <t>ДП Єва.4/6.Графіт</t>
  </si>
  <si>
    <t>ДП ТРЕНД.5/1.Графіт</t>
  </si>
  <si>
    <t>ДП ТРЕНД.5/2.Графіт</t>
  </si>
  <si>
    <t>ДП ТРЕНД.5/3.Графіт</t>
  </si>
  <si>
    <t>ДП ТРЕНД.5/4.Графіт</t>
  </si>
  <si>
    <t>ДП ТРЕНД.5/5.Графіт</t>
  </si>
  <si>
    <t>ДП ТРЕНД.5А/1.Графіт</t>
  </si>
  <si>
    <t>ДП ТРЕНД.5А/2.Графіт</t>
  </si>
  <si>
    <t>ДП ТРЕНД.5А/3.Графіт</t>
  </si>
  <si>
    <t>ДП ТРЕНД.5Б/3.Графіт</t>
  </si>
  <si>
    <t>ДП МОДЕРН.1/1.Графіт</t>
  </si>
  <si>
    <t>ДП МОДЕРН.3/1.Графіт</t>
  </si>
  <si>
    <t>ДП МОДЕРН.3/2.Графіт</t>
  </si>
  <si>
    <t>ДП МОДЕРН.3/3.Графіт</t>
  </si>
  <si>
    <t>ДП МОДЕРН.3А/1.Графіт</t>
  </si>
  <si>
    <t>ДП МОДЕРН.3А/2.Графіт</t>
  </si>
  <si>
    <t>ДП ПОЛЛО.3/2.Графіт</t>
  </si>
  <si>
    <t>ДП ПОЛЛО.3/4.Графіт</t>
  </si>
  <si>
    <t>ДП ПОЛЛО.3/6.Графіт</t>
  </si>
  <si>
    <t>ДП ПОЛЛО.3А/3.Графіт</t>
  </si>
  <si>
    <t>ДП ПОЛЛО.3А/5.Графіт</t>
  </si>
  <si>
    <t>ДП ПОЛЛО.4/3.Графіт</t>
  </si>
  <si>
    <t>ДП Лінея.1.Графіт</t>
  </si>
  <si>
    <t>ДП Лінея.3.Графіт</t>
  </si>
  <si>
    <t>ДП Лінея.4.Графіт</t>
  </si>
  <si>
    <t>ДП ЛАЙН.1.Графіт</t>
  </si>
  <si>
    <t>ДП ЛАЙН.2.Графіт</t>
  </si>
  <si>
    <t>ДП ЛАЙН.3.Графіт</t>
  </si>
  <si>
    <t>ДП ЛАЙН.4.Графіт</t>
  </si>
  <si>
    <t>ДП ЛАЙН.5.Графіт</t>
  </si>
  <si>
    <t>ДП ЛАЙН.6.Графіт</t>
  </si>
  <si>
    <t>ДП ЛАЙН.7.Графіт</t>
  </si>
  <si>
    <t>ДП Елегант.1.Графіт</t>
  </si>
  <si>
    <t>ДП Елегант.2.Графіт</t>
  </si>
  <si>
    <t>ДП Елегант.3.Графіт</t>
  </si>
  <si>
    <t>ДП Елегант.4.Графіт</t>
  </si>
  <si>
    <t>ДП Елегант.5.Графіт</t>
  </si>
  <si>
    <t>ДП Елегант.6.Графіт</t>
  </si>
  <si>
    <t>ДП Елегант.7.Графіт</t>
  </si>
  <si>
    <t>ДП ГЛАСФОРД.1.Графіт</t>
  </si>
  <si>
    <t>ДП ГЛАСФОРД.2.Графіт</t>
  </si>
  <si>
    <t>ДП ГЛАСФОРД.3.Графіт</t>
  </si>
  <si>
    <t>ДП ГЛАСФОРД.4.Графіт</t>
  </si>
  <si>
    <t>ДП ГЛАСФОРД.5.Графіт</t>
  </si>
  <si>
    <t>ДП Добір.Б.Графіт</t>
  </si>
  <si>
    <t>ДП Добір-ЛАДА.Л1/1.Графіт</t>
  </si>
  <si>
    <t>ДП Добір-ЛАДА.Л3/1.Графіт</t>
  </si>
  <si>
    <t>ДП Добір-ЛАДА.Л3/2.Графіт</t>
  </si>
  <si>
    <t>ДП Добір-ЛАДА.Л4/1.Графіт</t>
  </si>
  <si>
    <t>ДП Добір-ЛАДА.Л5/1.Графіт</t>
  </si>
  <si>
    <t>ДП Добір-ЛАДА.Л6/1.Графіт</t>
  </si>
  <si>
    <t>ФР Standard.Графіт</t>
  </si>
  <si>
    <t>ФР Verto-FIT.Графіт</t>
  </si>
  <si>
    <t>202 Ясен</t>
  </si>
  <si>
    <t>207 Дуб мілано</t>
  </si>
  <si>
    <t>301 Кора біла</t>
  </si>
  <si>
    <t>401 Акація мед.</t>
  </si>
  <si>
    <t>402 Акація св.</t>
  </si>
  <si>
    <t>405 Дуб сільвер.</t>
  </si>
  <si>
    <t>колір: дуб сільвер. (ЕКО Шпон)</t>
  </si>
  <si>
    <t>Сотове</t>
  </si>
  <si>
    <t>ДП СТАНДАРТ.Сотове</t>
  </si>
  <si>
    <t>ДП КУПАВА.Сотове</t>
  </si>
  <si>
    <t>ДП РУТА.Сотове</t>
  </si>
  <si>
    <t>ДП РУТА-FUSION.Сотове</t>
  </si>
  <si>
    <t>ДП Геометрія.Сотове</t>
  </si>
  <si>
    <t>ДП ГОРДАНА.Сотове</t>
  </si>
  <si>
    <t>ДП Ідея.Сотове</t>
  </si>
  <si>
    <t>ДП Ідея-ЛОФТ.Сотове</t>
  </si>
  <si>
    <t>ДП Лінея.Сотове</t>
  </si>
  <si>
    <t>ДП ЛАЙН.Сотове</t>
  </si>
  <si>
    <t>ДП Добір.Сотове</t>
  </si>
  <si>
    <t>Скло</t>
  </si>
  <si>
    <t>ДП ГЛАСФОРД.Скло</t>
  </si>
  <si>
    <t>Скло.робоча..60</t>
  </si>
  <si>
    <t>Скло.робоча..70</t>
  </si>
  <si>
    <t>Скло.робоча..80</t>
  </si>
  <si>
    <t>Скло.робоча..90</t>
  </si>
  <si>
    <t>Скло.робоча..100</t>
  </si>
  <si>
    <t>ДП ГЛАСФОРД.Скло.робоча.</t>
  </si>
  <si>
    <t>Масив</t>
  </si>
  <si>
    <t>ДП ЛАДА A.Масив</t>
  </si>
  <si>
    <t>ДП ЛАДА B.Масив</t>
  </si>
  <si>
    <t>ДП ЛАДА C.Масив</t>
  </si>
  <si>
    <t>ДП ЛАДА D.Масив</t>
  </si>
  <si>
    <t>ДП Ніка.Масив</t>
  </si>
  <si>
    <t>ДП Ліса.Масив</t>
  </si>
  <si>
    <t>ДП ЛАДА-КОНЦЕПТ.Масив</t>
  </si>
  <si>
    <t>ДП ЛАДА-НОВА.Масив</t>
  </si>
  <si>
    <t>ДП Міра.Масив</t>
  </si>
  <si>
    <t>ДП ЛАДА-ЛОФТ.Масив</t>
  </si>
  <si>
    <t>ДП Лінда.Масив</t>
  </si>
  <si>
    <t>ДП Тіана.Масив</t>
  </si>
  <si>
    <t>ДП Єва.Масив</t>
  </si>
  <si>
    <t>ДП ТРЕНД.Масив</t>
  </si>
  <si>
    <t>ДП МОДЕРН.Масив</t>
  </si>
  <si>
    <t>ДП ПОЛЛО.Масив</t>
  </si>
  <si>
    <t>ДП Лінея.Масив</t>
  </si>
  <si>
    <t>ДП Елегант.Масив</t>
  </si>
  <si>
    <t>ДП Добір-ЛАДА.Масив</t>
  </si>
  <si>
    <t>(ні)</t>
  </si>
  <si>
    <t>ДП СТАНДАРТ.(ні)</t>
  </si>
  <si>
    <t>(ні).</t>
  </si>
  <si>
    <t>(ні).(ні)</t>
  </si>
  <si>
    <t>(ні).ВП</t>
  </si>
  <si>
    <t>ДП СТАНДАРТ.3/0.(ні)</t>
  </si>
  <si>
    <t>ДП СТАНДАРТ.4/0.(ні)</t>
  </si>
  <si>
    <t>ДП КУПАВА.(ні)</t>
  </si>
  <si>
    <t>ДП КУПАВА.1/0.(ні)</t>
  </si>
  <si>
    <t>ДП КУПАВА.2/0.(ні)</t>
  </si>
  <si>
    <t>ДП КУПАВА.3/0.(ні)</t>
  </si>
  <si>
    <t>ДП КУПАВА.4/0.(ні)</t>
  </si>
  <si>
    <t>ДП РУТА.1/0.(ні)</t>
  </si>
  <si>
    <t>ДП РУТА.2/0.(ні)</t>
  </si>
  <si>
    <t>ДП РУТА.(ні)</t>
  </si>
  <si>
    <t>ДП РУТА.4/0.(ні)</t>
  </si>
  <si>
    <t>ДП РУТА.5/0.(ні)</t>
  </si>
  <si>
    <t>ДП РУТА-FUSION.11.(ні)</t>
  </si>
  <si>
    <t>ДП Геометрія.1/0.(ні)</t>
  </si>
  <si>
    <t>ДП Геометрія.3/0.(ні)</t>
  </si>
  <si>
    <t>ДП РУТА-FUSION.(ні)</t>
  </si>
  <si>
    <t>ДП Геометрія.4/0.(ні)</t>
  </si>
  <si>
    <t>ДП Геометрія.5/0.(ні)</t>
  </si>
  <si>
    <t>ДП Геометрія.6/0.(ні)</t>
  </si>
  <si>
    <t>4 завіси (2+2).(ні)</t>
  </si>
  <si>
    <t>ДП ГОРДАНА.1/0.(ні)</t>
  </si>
  <si>
    <t>ДП ГОРДАНА.2/0.(ні)</t>
  </si>
  <si>
    <t>ДП Геометрія.(ні)</t>
  </si>
  <si>
    <t>Без планки замка.(ні)</t>
  </si>
  <si>
    <t>С планкой замка.(ні)</t>
  </si>
  <si>
    <t>ДП Ідея.1.(ні)</t>
  </si>
  <si>
    <t>ДП Ідея.3/0.(ні)</t>
  </si>
  <si>
    <t>ДП Ідея.4/0.(ні)</t>
  </si>
  <si>
    <t>ДП ГОРДАНА.(ні)</t>
  </si>
  <si>
    <t>ДП Ідея.6/0.(ні)</t>
  </si>
  <si>
    <t>ДП Ідея.7/0.(ні)</t>
  </si>
  <si>
    <t>ДП Ідея-ЛОФТ.1.(ні)</t>
  </si>
  <si>
    <t>ДП ЛАДА A.2А/0.(ні)</t>
  </si>
  <si>
    <t>ДП Ідея.(ні)</t>
  </si>
  <si>
    <t>ДП ЛАДА A.3А/0.(ні)</t>
  </si>
  <si>
    <t>ДП ЛАДА A.8/0.(ні)</t>
  </si>
  <si>
    <t>ДП Ідея-ЛОФТ.(ні)</t>
  </si>
  <si>
    <t>ДП ЛАДА B.1/3.(ні)</t>
  </si>
  <si>
    <t>ДП ЛАДА B.2/2.(ні)</t>
  </si>
  <si>
    <t>ДП ЛАДА B.3/5.(ні)</t>
  </si>
  <si>
    <t>ДП ЛАДА A.(ні)</t>
  </si>
  <si>
    <t>ДП ЛАДА C.4/0.(ні)</t>
  </si>
  <si>
    <t>ДП ЛАДА B.(ні)</t>
  </si>
  <si>
    <t>ДП ЛАДА C.(ні)</t>
  </si>
  <si>
    <t>ДП ЛАДА D.6/0.(ні)</t>
  </si>
  <si>
    <t>ДП ЛАДА D.(ні)</t>
  </si>
  <si>
    <t>ДП Ніка.1/0.(ні)</t>
  </si>
  <si>
    <t>ДП Ніка.(ні)</t>
  </si>
  <si>
    <t>ДП Ліса.(ні)</t>
  </si>
  <si>
    <t>ДП Ліса.3/0.(ні)</t>
  </si>
  <si>
    <t>ДП ЛАДА-КОНЦЕПТ.(ні)</t>
  </si>
  <si>
    <t>ДП ЛАДА-НОВА.(ні)</t>
  </si>
  <si>
    <t>ДП ЛАДА-НОВА.4/0.(ні)</t>
  </si>
  <si>
    <t>ДП Міра.(ні)</t>
  </si>
  <si>
    <t>ДП ЛАДА-ЛОФТ.(ні)</t>
  </si>
  <si>
    <t>ДП Міра.1/0.(ні)</t>
  </si>
  <si>
    <t>ДП Лінда.(ні)</t>
  </si>
  <si>
    <t>ДП ЛАДА-ЛОФТ.1/0.(ні)</t>
  </si>
  <si>
    <t>ДП ЛАДА-ЛОФТ.3/0.(ні)</t>
  </si>
  <si>
    <t>ДП Тіана.(ні)</t>
  </si>
  <si>
    <t>ДП Єва.(ні)</t>
  </si>
  <si>
    <t>ДП Лінда.1/0.(ні)</t>
  </si>
  <si>
    <t>ДП ТРЕНД.(ні)</t>
  </si>
  <si>
    <t>ДП МОДЕРН.(ні)</t>
  </si>
  <si>
    <t>ДП ПОЛЛО.(ні)</t>
  </si>
  <si>
    <t>ДП Єва.4/0.(ні)</t>
  </si>
  <si>
    <t>ДП Лінея.(ні)</t>
  </si>
  <si>
    <t>ДП ТРЕНД.5/0.(ні)</t>
  </si>
  <si>
    <t>ДП ЛАЙН.(ні)</t>
  </si>
  <si>
    <t>ДП Елегант.(ні)</t>
  </si>
  <si>
    <t>ДП МОДЕРН.1/0.(ні)</t>
  </si>
  <si>
    <t>ДП ГЛАСФОРД.(ні)</t>
  </si>
  <si>
    <t>ДП МОДЕРН.3/0.(ні)</t>
  </si>
  <si>
    <t>ДП Добір.(ні)</t>
  </si>
  <si>
    <t>ДП Добір-ЛАДА.(ні)</t>
  </si>
  <si>
    <t>ДП ПОЛЛО.3/0.(ні)</t>
  </si>
  <si>
    <t>КД Standard-MDF.(ні)</t>
  </si>
  <si>
    <t>КД Standard.(ні)</t>
  </si>
  <si>
    <t>КД Verto-FIT.(ні)</t>
  </si>
  <si>
    <t>КД Verto-FIT Plus.(ні)</t>
  </si>
  <si>
    <t>КД Verto-FIT Comfort.(ні)</t>
  </si>
  <si>
    <t>ДП Добір.А.(ні)</t>
  </si>
  <si>
    <t>ДП Добір-ЛАДА.Л1/0.(ні)</t>
  </si>
  <si>
    <t>ДП Добір-ЛАДА.Л3/0.(ні)</t>
  </si>
  <si>
    <t>ДП Добір-ЛАДА.Л4/0.(ні)</t>
  </si>
  <si>
    <t>ДП Добір-ЛАДА.Л5/0.(ні)</t>
  </si>
  <si>
    <t>ДП Добір-ЛАДА.Л6/0.(ні)</t>
  </si>
  <si>
    <t>ДП ГЛАСФОРД.1.(ні)</t>
  </si>
  <si>
    <t>ДП ГЛАСФОРД.2.(ні)</t>
  </si>
  <si>
    <t>ДП ГЛАСФОРД.3.(ні)</t>
  </si>
  <si>
    <t>ДП ГЛАСФОРД.4.(ні)</t>
  </si>
  <si>
    <t>ДП ГЛАСФОРД.5.(ні)</t>
  </si>
  <si>
    <t>Жалюзі</t>
  </si>
  <si>
    <t>ДП Геометрія.1/1.Жалюзі</t>
  </si>
  <si>
    <t>ДП Геометрія.3/3.Жалюзі</t>
  </si>
  <si>
    <t>ДП Геометрія.4/4.Жалюзі</t>
  </si>
  <si>
    <t>ДП Геометрія.5/5.Жалюзі</t>
  </si>
  <si>
    <t>ДП Геометрія.6/6.Жалюзі</t>
  </si>
  <si>
    <t>ДП Ідея.3/1.Жалюзі</t>
  </si>
  <si>
    <t>ДП Ідея.3/2.Жалюзі</t>
  </si>
  <si>
    <t>ДП Ідея.3/3.Жалюзі</t>
  </si>
  <si>
    <t>ДП Ідея.4/1.Жалюзі</t>
  </si>
  <si>
    <t>ДП Ідея.4/2.Жалюзі</t>
  </si>
  <si>
    <t>ДП Ідея.4/3.Жалюзі</t>
  </si>
  <si>
    <t>ДП Ідея.4/4.Жалюзі</t>
  </si>
  <si>
    <t>ДП Ідея.6/6.Жалюзі</t>
  </si>
  <si>
    <t>ДП Ідея.7/1.Жалюзі</t>
  </si>
  <si>
    <t>ФР Standard.Жалюзі</t>
  </si>
  <si>
    <t>ФР Verto-FIT.Жалюзі</t>
  </si>
  <si>
    <t>Малюнок</t>
  </si>
  <si>
    <t>ДП РУТА-FUSION.9.Малюнок</t>
  </si>
  <si>
    <t>ДП РУТА-FUSION.10.Малюнок</t>
  </si>
  <si>
    <t>ДП РУТА-FUSION.13.Малюнок</t>
  </si>
  <si>
    <t>ДП ЛАДА-КОНЦЕПТ.5/1.Малюнок</t>
  </si>
  <si>
    <t>ДП ЛАДА-КОНЦЕПТ.5/2.Малюнок</t>
  </si>
  <si>
    <t>ДП ЛАДА-КОНЦЕПТ.5/3.Малюнок</t>
  </si>
  <si>
    <t>ДП ПОЛЛО.3А/3.Малюнок</t>
  </si>
  <si>
    <t>ДП ПОЛЛО.3А/5.Малюнок</t>
  </si>
  <si>
    <t>ДП ПОЛЛО.4/3.Малюнок</t>
  </si>
  <si>
    <t>ДП ЛАЙН.2.Малюнок</t>
  </si>
  <si>
    <t>ДП ЛАЙН.3.Малюнок</t>
  </si>
  <si>
    <t>ДП ЛАЙН.4.Малюнок</t>
  </si>
  <si>
    <t>ДП ЛАЙН.5.Малюнок</t>
  </si>
  <si>
    <t>ДП ЛАЙН.6.Малюнок</t>
  </si>
  <si>
    <t>ДП ЛАЙН.7.Малюнок</t>
  </si>
  <si>
    <t>ДП Елегант.2.Малюнок</t>
  </si>
  <si>
    <t>ДП Елегант.3.Малюнок</t>
  </si>
  <si>
    <t>ДП Елегант.4.Малюнок</t>
  </si>
  <si>
    <t>ДП Елегант.5.Малюнок</t>
  </si>
  <si>
    <t>ДП Елегант.6.Малюнок</t>
  </si>
  <si>
    <t>ДП Елегант.7.Малюнок</t>
  </si>
  <si>
    <t>ДП ГЛАСФОРД.2.Малюнок</t>
  </si>
  <si>
    <t>ДП ГЛАСФОРД.3.Малюнок</t>
  </si>
  <si>
    <t>ДП ГЛАСФОРД.4.Малюнок</t>
  </si>
  <si>
    <t>ДП ГЛАСФОРД.5.Малюнок</t>
  </si>
  <si>
    <t>ФР Standard.Малюнок</t>
  </si>
  <si>
    <t>ФР Verto-FIT.Малюнок</t>
  </si>
  <si>
    <t>Фільонка</t>
  </si>
  <si>
    <t>ФР Standard.Фільонка</t>
  </si>
  <si>
    <t>ФР Verto-FIT.Фільонка</t>
  </si>
  <si>
    <t>Дзеркало</t>
  </si>
  <si>
    <t>ДП ГЛАСФОРД.1.Дзеркало</t>
  </si>
  <si>
    <t>ДП ГЛАСФОРД.2.Дзеркало</t>
  </si>
  <si>
    <t>ДП ГЛАСФОРД.3.Дзеркало</t>
  </si>
  <si>
    <t>ДП ГЛАСФОРД.4.Дзеркало</t>
  </si>
  <si>
    <t>ДП ГЛАСФОРД.5.Дзеркало</t>
  </si>
  <si>
    <t>ФР Standard.Дзеркало</t>
  </si>
  <si>
    <t>ФР Verto-FIT.Дзеркало</t>
  </si>
  <si>
    <t>скло: Дзеркало</t>
  </si>
  <si>
    <t>СТВВРКИ</t>
  </si>
  <si>
    <t>ВВ</t>
  </si>
  <si>
    <t>ДП СТАНДАРТ.ВВ</t>
  </si>
  <si>
    <t>(ні).ВВ</t>
  </si>
  <si>
    <t>ДП РУТА.ВВ</t>
  </si>
  <si>
    <t>ДП РУТА-FUSION.ВВ</t>
  </si>
  <si>
    <t>ДП Геометрія.ВВ</t>
  </si>
  <si>
    <t>ДП ГОРДАНА.ВВ</t>
  </si>
  <si>
    <t>ДП Ідея.ВВ</t>
  </si>
  <si>
    <t>ДП Ідея-ЛОФТ.ВВ</t>
  </si>
  <si>
    <t>ДП ЛАДА A.ВВ</t>
  </si>
  <si>
    <t>ДП ЛАДА B.ВВ</t>
  </si>
  <si>
    <t>ДП ЛАДА C.ВВ</t>
  </si>
  <si>
    <t>ДП ЛАДА D.ВВ</t>
  </si>
  <si>
    <t>ДП Ніка.ВВ</t>
  </si>
  <si>
    <t>ДП Ліса.ВВ</t>
  </si>
  <si>
    <t>ДП ЛАДА-КОНЦЕПТ.ВВ</t>
  </si>
  <si>
    <t>ДП ЛАДА-НОВА.ВВ</t>
  </si>
  <si>
    <t>ДП Міра.ВВ</t>
  </si>
  <si>
    <t>ДП ЛАДА-ЛОФТ.ВВ</t>
  </si>
  <si>
    <t>ДП Лінда.ВВ</t>
  </si>
  <si>
    <t>ДП Тіана.ВВ</t>
  </si>
  <si>
    <t>ДП Єва.ВВ</t>
  </si>
  <si>
    <t>ДП ТРЕНД.ВВ</t>
  </si>
  <si>
    <t>ДП МОДЕРН.ВВ</t>
  </si>
  <si>
    <t>ДП ПОЛЛО.ВВ</t>
  </si>
  <si>
    <t>Ручка-Захват.ВВ</t>
  </si>
  <si>
    <t>Ручка-Замок.ВВ</t>
  </si>
  <si>
    <t>розмір(мм): 2220*2200 (дВВстулковий)</t>
  </si>
  <si>
    <t>поріг: 80мм (дереВВ), размер(мм): 35*1030, покрытие: лак</t>
  </si>
  <si>
    <t>поріг: 80мм (дереВВ), размер(мм): 35*2060, покрытие: лак</t>
  </si>
  <si>
    <t>ДП СТАНДАРТ.Soft цл +2завіс</t>
  </si>
  <si>
    <t>ДП СТАНДАРТ.Soft ст +2завіс</t>
  </si>
  <si>
    <t>ДП СТАНДАРТ.Magnet цл +2завіс</t>
  </si>
  <si>
    <t>Soft цл +2завіс</t>
  </si>
  <si>
    <t>ДП СТАНДАРТ.Magnet ст +2завіс</t>
  </si>
  <si>
    <t>Soft цл +2завіс.</t>
  </si>
  <si>
    <t>Soft ст +2завіс</t>
  </si>
  <si>
    <t>Soft ст +2завіс.</t>
  </si>
  <si>
    <t>Magnet цл +2завіс.</t>
  </si>
  <si>
    <t>Magnet цл +2завіс</t>
  </si>
  <si>
    <t>ДП СТАНДАРТ.Soft цл +3завіс</t>
  </si>
  <si>
    <t>Magnet ст +2завіс.</t>
  </si>
  <si>
    <t>ДП СТАНДАРТ.Soft ст +3завіс</t>
  </si>
  <si>
    <t>Soft цл +3завіс</t>
  </si>
  <si>
    <t>Magnet ст +2завіс</t>
  </si>
  <si>
    <t>ДП СТАНДАРТ.Magnet цл +3завіс</t>
  </si>
  <si>
    <t>Soft ст +3завіс</t>
  </si>
  <si>
    <t>ДП СТАНДАРТ.Magnet ст +3завіс</t>
  </si>
  <si>
    <t>ДП СТАНДАРТ.Пл Stand +2завіс</t>
  </si>
  <si>
    <t>ДП СТАНДАРТ.Пл Soft +2завіс</t>
  </si>
  <si>
    <t>Soft цл +2завіс.ВВ</t>
  </si>
  <si>
    <t>ДП СТАНДАРТ.Пл Magnet +2завіс</t>
  </si>
  <si>
    <t>Soft ст +2завіс.ВВ</t>
  </si>
  <si>
    <t>ДП СТАНДАРТ.Пл Stand +3завіс</t>
  </si>
  <si>
    <t>Magnet цл +2завіс.ВВ</t>
  </si>
  <si>
    <t>Magnet цл +3завіс</t>
  </si>
  <si>
    <t>ДП СТАНДАРТ.Пл Soft +3завіс</t>
  </si>
  <si>
    <t>Magnet ст +2завіс.ВВ</t>
  </si>
  <si>
    <t>Magnet ст +3завіс</t>
  </si>
  <si>
    <t>ДП СТАНДАРТ.Пл Magnet +3завіс</t>
  </si>
  <si>
    <t>ДП СТАНДАРТ.Magnet цл б/з завіс.</t>
  </si>
  <si>
    <t>ДП СТАНДАРТ.Magnet ст б/з завіс.</t>
  </si>
  <si>
    <t>Пл Stand +2завіс</t>
  </si>
  <si>
    <t>ДП СТАНДАРТ.Magnet цл +2завіс 3D</t>
  </si>
  <si>
    <t>Пл Stand +3завіс</t>
  </si>
  <si>
    <t>ДП СТАНДАРТ.Magnet ст +2завіс 3D</t>
  </si>
  <si>
    <t>Soft цл +2завіс.ВП</t>
  </si>
  <si>
    <t>ДП СТАНДАРТ.Magnet цл +3завіс 3D</t>
  </si>
  <si>
    <t>Soft ст +2завіс.ВП</t>
  </si>
  <si>
    <t>Пл Soft +2завіс</t>
  </si>
  <si>
    <t>ДП СТАНДАРТ.Magnet ст +3завіс 3D</t>
  </si>
  <si>
    <t>Magnet цл +2завіс.ВП</t>
  </si>
  <si>
    <t>Пл Soft +3завіс</t>
  </si>
  <si>
    <t>Magnet ст +2завіс.ВП</t>
  </si>
  <si>
    <t>Пл Magnet +2завіс</t>
  </si>
  <si>
    <t>Пл Magnet +3завіс</t>
  </si>
  <si>
    <t>Magnet цл б/з завіс.</t>
  </si>
  <si>
    <t>Soft цл +3завіс.</t>
  </si>
  <si>
    <t>Magnet ст б/з завіс.</t>
  </si>
  <si>
    <t>Soft ст +3завіс.</t>
  </si>
  <si>
    <t>ДП КУПАВА.Soft цл +2завіс</t>
  </si>
  <si>
    <t>Magnet цл +3завіс.</t>
  </si>
  <si>
    <t>Magnet цл +2завіс 3D</t>
  </si>
  <si>
    <t>ДП КУПАВА.Soft ст +2завіс</t>
  </si>
  <si>
    <t>Magnet ст +3завіс.</t>
  </si>
  <si>
    <t>ДП КУПАВА.Magnet цл +2завіс</t>
  </si>
  <si>
    <t>Magnet ст +2завіс 3D</t>
  </si>
  <si>
    <t>ДП КУПАВА.Magnet ст +2завіс</t>
  </si>
  <si>
    <t>Magnet цл +3завіс 3D</t>
  </si>
  <si>
    <t>Magnet ст +3завіс 3D</t>
  </si>
  <si>
    <t>Soft цл +3завіс.ВВ</t>
  </si>
  <si>
    <t>ДП КУПАВА.Soft цл +3завіс</t>
  </si>
  <si>
    <t>Soft ст +3завіс.ВВ</t>
  </si>
  <si>
    <t>ДП КУПАВА.Soft ст +3завіс</t>
  </si>
  <si>
    <t>Magnet цл +3завіс.ВВ</t>
  </si>
  <si>
    <t>ДП КУПАВА.Magnet цл +3завіс</t>
  </si>
  <si>
    <t>Magnet ст +3завіс.ВВ</t>
  </si>
  <si>
    <t>Glass +2завіс</t>
  </si>
  <si>
    <t>ДП КУПАВА.Magnet ст +3завіс</t>
  </si>
  <si>
    <t>ДП КУПАВА.Пл Stand +2завіс</t>
  </si>
  <si>
    <t>Glass кл +2завіс</t>
  </si>
  <si>
    <t>ДП КУПАВА.Пл Soft +2завіс</t>
  </si>
  <si>
    <t>ДП КУПАВА.Пл Magnet +2завіс</t>
  </si>
  <si>
    <t>Glass цл +2завіс</t>
  </si>
  <si>
    <t>ДП КУПАВА.Пл Stand +3завіс</t>
  </si>
  <si>
    <t>Soft цл +3завіс.ВП</t>
  </si>
  <si>
    <t>ДП КУПАВА.Пл Soft +3завіс</t>
  </si>
  <si>
    <t>Soft ст +3завіс.ВП</t>
  </si>
  <si>
    <t>Glass ст +2завіс</t>
  </si>
  <si>
    <t>ДП КУПАВА.Пл Magnet +3завіс</t>
  </si>
  <si>
    <t>Magnet цл +3завіс.ВП</t>
  </si>
  <si>
    <t>ДП КУПАВА.Magnet цл б/з завіс.</t>
  </si>
  <si>
    <t>Magnet ст +3завіс.ВП</t>
  </si>
  <si>
    <t>ДП КУПАВА.Magnet ст б/з завіс.</t>
  </si>
  <si>
    <t>ДП КУПАВА.Magnet цл +2завіс 3D</t>
  </si>
  <si>
    <t>ДП КУПАВА.Magnet ст +2завіс 3D</t>
  </si>
  <si>
    <t>ДП КУПАВА.Magnet цл +3завіс 3D</t>
  </si>
  <si>
    <t>ДП КУПАВА.Magnet ст +3завіс 3D</t>
  </si>
  <si>
    <t>Magnet цл б/з завіс..</t>
  </si>
  <si>
    <t>Magnet ст б/з завіс..</t>
  </si>
  <si>
    <t>Magnet цл +2завіс 3D.</t>
  </si>
  <si>
    <t>Magnet ст +2завіс 3D.</t>
  </si>
  <si>
    <t>Magnet цл +3завіс 3D.</t>
  </si>
  <si>
    <t>ДП РУТА.Stand цл +2завіс</t>
  </si>
  <si>
    <t>Magnet ст +3завіс 3D.</t>
  </si>
  <si>
    <t>ДП РУТА.Stand кл +2завіс</t>
  </si>
  <si>
    <t>ДП РУТА.Stand ст +2завіс</t>
  </si>
  <si>
    <t>Magnet цл б/з завіс..ВВ</t>
  </si>
  <si>
    <t>ДП РУТА.Soft цл +2завіс</t>
  </si>
  <si>
    <t>Magnet ст б/з завіс..ВВ</t>
  </si>
  <si>
    <t>ДП РУТА.Soft ст +2завіс</t>
  </si>
  <si>
    <t>Magnet цл +2завіс 3D.ВВ</t>
  </si>
  <si>
    <t>ДП РУТА.Magnet цл +2завіс</t>
  </si>
  <si>
    <t>Magnet ст +2завіс 3D.ВВ</t>
  </si>
  <si>
    <t>ДП РУТА.Magnet ст +2завіс</t>
  </si>
  <si>
    <t>Magnet цл +3завіс 3D.ВВ</t>
  </si>
  <si>
    <t>ДП РУТА.Stand цл +3завіс</t>
  </si>
  <si>
    <t>Magnet ст +3завіс 3D.ВВ</t>
  </si>
  <si>
    <t>ДП РУТА.Stand кл +3завіс</t>
  </si>
  <si>
    <t>ДП РУТА.Stand ст +3завіс</t>
  </si>
  <si>
    <t>Magnet цл б/з завіс..ВП</t>
  </si>
  <si>
    <t>ДП РУТА.Soft цл +3завіс</t>
  </si>
  <si>
    <t>Magnet ст б/з завіс..ВП</t>
  </si>
  <si>
    <t>ДП РУТА.Soft ст +3завіс</t>
  </si>
  <si>
    <t>Magnet цл +2завіс 3D.ВП</t>
  </si>
  <si>
    <t>ДП РУТА.Magnet цл +3завіс</t>
  </si>
  <si>
    <t>Magnet ст +2завіс 3D.ВП</t>
  </si>
  <si>
    <t>ДП РУТА.Magnet ст +3завіс</t>
  </si>
  <si>
    <t>Magnet цл +3завіс 3D.ВП</t>
  </si>
  <si>
    <t>Пл Magnet б/з завіс.</t>
  </si>
  <si>
    <t>ДП РУТА.Пл Stand +2завіс</t>
  </si>
  <si>
    <t>Magnet ст +3завіс 3D.ВП</t>
  </si>
  <si>
    <t>ДП РУТА.Пл Soft +2завіс</t>
  </si>
  <si>
    <t>Пл Magnet +2завіс 3D</t>
  </si>
  <si>
    <t>ДП РУТА.Пл Magnet +2завіс</t>
  </si>
  <si>
    <t>ДП РУТА.Пл Stand +3завіс</t>
  </si>
  <si>
    <t>Пл Magnet +3завіс 3D</t>
  </si>
  <si>
    <t>ДП РУТА.Пл Soft +3завіс</t>
  </si>
  <si>
    <t>ДП РУТА.Пл Magnet +3завіс</t>
  </si>
  <si>
    <t>Glass +2завіс.</t>
  </si>
  <si>
    <t>ДП РУТА.Magnet цл б/з завіс.</t>
  </si>
  <si>
    <t>Glass кл +2завіс.</t>
  </si>
  <si>
    <t>ДП РУТА.Magnet ст б/з завіс.</t>
  </si>
  <si>
    <t>Glass цл +2завіс.</t>
  </si>
  <si>
    <t>ДП РУТА.Magnet цл +2завіс 3D</t>
  </si>
  <si>
    <t>ДП РУТА.Magnet ст +2завіс 3D</t>
  </si>
  <si>
    <t>ДП РУТА.Magnet цл +3завіс 3D</t>
  </si>
  <si>
    <t>ДП РУТА.Magnet ст +3завіс 3D</t>
  </si>
  <si>
    <t>ДП РУТА-FUSION.Stand цл +2завіс</t>
  </si>
  <si>
    <t>ДП РУТА-FUSION.Stand кл +2завіс</t>
  </si>
  <si>
    <t>ДП РУТА-FUSION.Stand ст +2завіс</t>
  </si>
  <si>
    <t>ДП РУТА-FUSION.Soft цл +2завіс</t>
  </si>
  <si>
    <t>ДП РУТА-FUSION.Soft ст +2завіс</t>
  </si>
  <si>
    <t>ДП РУТА-FUSION.Magnet цл +2завіс</t>
  </si>
  <si>
    <t>Пл Stand +2завіс.</t>
  </si>
  <si>
    <t>ДП РУТА-FUSION.Magnet ст +2завіс</t>
  </si>
  <si>
    <t>Пл Soft +2завіс.</t>
  </si>
  <si>
    <t>ДП РУТА-FUSION.Stand цл +3завіс</t>
  </si>
  <si>
    <t>Пл Magnet +2завіс.</t>
  </si>
  <si>
    <t>ДП РУТА-FUSION.Stand кл +3завіс</t>
  </si>
  <si>
    <t>ДП РУТА-FUSION.Stand ст +3завіс</t>
  </si>
  <si>
    <t>Пл Stand +2завіс.ВВ</t>
  </si>
  <si>
    <t>ДП РУТА-FUSION.Soft цл +3завіс</t>
  </si>
  <si>
    <t>Пл Soft +2завіс.ВВ</t>
  </si>
  <si>
    <t>ДП РУТА-FUSION.Soft ст +3завіс</t>
  </si>
  <si>
    <t>Пл Magnet +2завіс.ВВ</t>
  </si>
  <si>
    <t>ДП РУТА-FUSION.Magnet цл +3завіс</t>
  </si>
  <si>
    <t>ДП РУТА-FUSION.Magnet ст +3завіс</t>
  </si>
  <si>
    <t>Пл Stand +2завіс.ВП</t>
  </si>
  <si>
    <t>ДП РУТА-FUSION.Пл Stand +2завіс</t>
  </si>
  <si>
    <t>Пл Soft +2завіс.ВП</t>
  </si>
  <si>
    <t>ДП РУТА-FUSION.Пл Soft +2завіс</t>
  </si>
  <si>
    <t>Пл Magnet +2завіс.ВП</t>
  </si>
  <si>
    <t>ДП РУТА-FUSION.Пл Magnet +2завіс</t>
  </si>
  <si>
    <t>ДП РУТА-FUSION.Пл Stand +3завіс</t>
  </si>
  <si>
    <t>Пл Stand +3завіс.</t>
  </si>
  <si>
    <t>ДП РУТА-FUSION.Пл Soft +3завіс</t>
  </si>
  <si>
    <t>Пл Soft +3завіс.</t>
  </si>
  <si>
    <t>ДП РУТА-FUSION.Пл Magnet +3завіс</t>
  </si>
  <si>
    <t>Пл Magnet +3завіс.</t>
  </si>
  <si>
    <t>ДП РУТА-FUSION.Magnet цл б/з завіс.</t>
  </si>
  <si>
    <t>ДП РУТА-FUSION.Magnet ст б/з завіс.</t>
  </si>
  <si>
    <t>Пл Stand +3завіс.ВВ</t>
  </si>
  <si>
    <t>ДП РУТА-FUSION.Magnet цл +2завіс 3D</t>
  </si>
  <si>
    <t>Пл Soft +3завіс.ВВ</t>
  </si>
  <si>
    <t>ДП РУТА-FUSION.Magnet ст +2завіс 3D</t>
  </si>
  <si>
    <t>Пл Magnet +3завіс.ВВ</t>
  </si>
  <si>
    <t>ДП РУТА-FUSION.Magnet цл +3завіс 3D</t>
  </si>
  <si>
    <t>ДП РУТА-FUSION.Magnet ст +3завіс 3D</t>
  </si>
  <si>
    <t>Пл Stand +3завіс.ВП</t>
  </si>
  <si>
    <t>Пл Soft +3завіс.ВП</t>
  </si>
  <si>
    <t>Пл Magnet +3завіс.ВП</t>
  </si>
  <si>
    <t>ДП Геометрія.Soft цл +2завіс</t>
  </si>
  <si>
    <t>ДП Геометрія.Soft ст +2завіс</t>
  </si>
  <si>
    <t>ДП Геометрія.Magnet цл +2завіс</t>
  </si>
  <si>
    <t>ДП Геометрія.Magnet ст +2завіс</t>
  </si>
  <si>
    <t>ДП Геометрія.Soft цл +3завіс</t>
  </si>
  <si>
    <t>ДП Геометрія.Soft ст +3завіс</t>
  </si>
  <si>
    <t>ДП Геометрія.Magnet цл +3завіс</t>
  </si>
  <si>
    <t>ДП Геометрія.Magnet ст +3завіс</t>
  </si>
  <si>
    <t>ДП Геометрія.Пл Stand +2завіс</t>
  </si>
  <si>
    <t>ДП Геометрія.Пл Soft +2завіс</t>
  </si>
  <si>
    <t>ДП Геометрія.Пл Magnet +2завіс</t>
  </si>
  <si>
    <t>ДП Геометрія.Пл Stand +3завіс</t>
  </si>
  <si>
    <t>ДП Геометрія.Пл Soft +3завіс</t>
  </si>
  <si>
    <t>ДП Геометрія.Пл Magnet +3завіс</t>
  </si>
  <si>
    <t>ДП Геометрія.Magnet цл б/з завіс.</t>
  </si>
  <si>
    <t>ДП Геометрія.Magnet ст б/з завіс.</t>
  </si>
  <si>
    <t>ДП Геометрія.Magnet цл +2завіс 3D</t>
  </si>
  <si>
    <t>ДП Геометрія.Magnet ст +2завіс 3D</t>
  </si>
  <si>
    <t>ДП Геометрія.Magnet цл +3завіс 3D</t>
  </si>
  <si>
    <t>ДП Геометрія.Magnet ст +3завіс 3D</t>
  </si>
  <si>
    <t>ДП ГОРДАНА.Stand цл +2завіс</t>
  </si>
  <si>
    <t>ДП ГОРДАНА.Stand кл +2завіс</t>
  </si>
  <si>
    <t>ДП ГОРДАНА.Stand ст +2завіс</t>
  </si>
  <si>
    <t>ДП ГОРДАНА.Soft цл +2завіс</t>
  </si>
  <si>
    <t>ДП ГОРДАНА.Soft ст +2завіс</t>
  </si>
  <si>
    <t>ДП ГОРДАНА.Magnet цл +2завіс</t>
  </si>
  <si>
    <t>ДП ГОРДАНА.Magnet ст +2завіс</t>
  </si>
  <si>
    <t>ДП ГОРДАНА.Stand цл +3завіс</t>
  </si>
  <si>
    <t>ДП ГОРДАНА.Stand кл +3завіс</t>
  </si>
  <si>
    <t>ДП ГОРДАНА.Stand ст +3завіс</t>
  </si>
  <si>
    <t>ДП ГОРДАНА.Soft цл +3завіс</t>
  </si>
  <si>
    <t>ДП ГОРДАНА.Soft ст +3завіс</t>
  </si>
  <si>
    <t>ДП ГОРДАНА.Magnet цл +3завіс</t>
  </si>
  <si>
    <t>ДП ГОРДАНА.Magnet ст +3завіс</t>
  </si>
  <si>
    <t>ДП ГОРДАНА.Пл Stand +2завіс</t>
  </si>
  <si>
    <t>ДП ГОРДАНА.Пл Soft +2завіс</t>
  </si>
  <si>
    <t>ДП ГОРДАНА.Пл Magnet +2завіс</t>
  </si>
  <si>
    <t>ДП ГОРДАНА.Пл Stand +3завіс</t>
  </si>
  <si>
    <t>ДП ГОРДАНА.Пл Soft +3завіс</t>
  </si>
  <si>
    <t>ДП ГОРДАНА.Пл Magnet +3завіс</t>
  </si>
  <si>
    <t>ДП ГОРДАНА.Magnet цл б/з завіс.</t>
  </si>
  <si>
    <t>ДП ГОРДАНА.Magnet ст б/з завіс.</t>
  </si>
  <si>
    <t>ДП ГОРДАНА.Magnet цл +2завіс 3D</t>
  </si>
  <si>
    <t>ДП ГОРДАНА.Magnet ст +2завіс 3D</t>
  </si>
  <si>
    <t>ДП ГОРДАНА.Magnet цл +3завіс 3D</t>
  </si>
  <si>
    <t>ДП ГОРДАНА.Magnet ст +3завіс 3D</t>
  </si>
  <si>
    <t>ДП Ідея.Soft цл +2завіс</t>
  </si>
  <si>
    <t>ДП Ідея.Soft ст +2завіс</t>
  </si>
  <si>
    <t>ДП Ідея.Magnet цл +2завіс</t>
  </si>
  <si>
    <t>ДП Ідея.Magnet ст +2завіс</t>
  </si>
  <si>
    <t>ДП Ідея.Soft цл +3завіс</t>
  </si>
  <si>
    <t>ДП Ідея.Soft ст +3завіс</t>
  </si>
  <si>
    <t>ДП Ідея.Magnet цл +3завіс</t>
  </si>
  <si>
    <t>ДП Ідея.Magnet ст +3завіс</t>
  </si>
  <si>
    <t>ДП Ідея.Пл Stand +2завіс</t>
  </si>
  <si>
    <t>ДП Ідея.Пл Soft +2завіс</t>
  </si>
  <si>
    <t>ДП Ідея.Пл Magnet +2завіс</t>
  </si>
  <si>
    <t>ДП Ідея.Пл Stand +3завіс</t>
  </si>
  <si>
    <t>ДП Ідея.Пл Soft +3завіс</t>
  </si>
  <si>
    <t>ДП Ідея.Пл Magnet +3завіс</t>
  </si>
  <si>
    <t>ДП Ідея.Magnet цл б/з завіс.</t>
  </si>
  <si>
    <t>ДП Ідея.Magnet ст б/з завіс.</t>
  </si>
  <si>
    <t>ДП Ідея.Magnet цл +2завіс 3D</t>
  </si>
  <si>
    <t>ДП Ідея.Magnet ст +2завіс 3D</t>
  </si>
  <si>
    <t>ДП Ідея.Magnet цл +3завіс 3D</t>
  </si>
  <si>
    <t>ДП Ідея.Magnet ст +3завіс 3D</t>
  </si>
  <si>
    <t>ДП Ідея-ЛОФТ.Soft цл +2завіс</t>
  </si>
  <si>
    <t>ДП Ідея-ЛОФТ.Soft ст +2завіс</t>
  </si>
  <si>
    <t>ДП Ідея-ЛОФТ.Magnet цл +2завіс</t>
  </si>
  <si>
    <t>ДП Ідея-ЛОФТ.Magnet ст +2завіс</t>
  </si>
  <si>
    <t>ДП Ідея-ЛОФТ.Soft цл +3завіс</t>
  </si>
  <si>
    <t>ДП Ідея-ЛОФТ.Soft ст +3завіс</t>
  </si>
  <si>
    <t>ДП Ідея-ЛОФТ.Magnet цл +3завіс</t>
  </si>
  <si>
    <t>ДП Ідея-ЛОФТ.Magnet ст +3завіс</t>
  </si>
  <si>
    <t>ДП Ідея-ЛОФТ.Пл Stand +2завіс</t>
  </si>
  <si>
    <t>ДП Ідея-ЛОФТ.Пл Soft +2завіс</t>
  </si>
  <si>
    <t>ДП Ідея-ЛОФТ.Пл Magnet +2завіс</t>
  </si>
  <si>
    <t>ДП Ідея-ЛОФТ.Пл Stand +3завіс</t>
  </si>
  <si>
    <t>ДП Ідея-ЛОФТ.Пл Soft +3завіс</t>
  </si>
  <si>
    <t>ДП Ідея-ЛОФТ.Пл Magnet +3завіс</t>
  </si>
  <si>
    <t>ДП Ідея-ЛОФТ.Magnet цл б/з завіс.</t>
  </si>
  <si>
    <t>ДП Ідея-ЛОФТ.Magnet ст б/з завіс.</t>
  </si>
  <si>
    <t>ДП Ідея-ЛОФТ.Magnet цл +2завіс 3D</t>
  </si>
  <si>
    <t>ДП Ідея-ЛОФТ.Magnet ст +2завіс 3D</t>
  </si>
  <si>
    <t>ДП Ідея-ЛОФТ.Magnet цл +3завіс 3D</t>
  </si>
  <si>
    <t>ДП Ідея-ЛОФТ.Magnet ст +3завіс 3D</t>
  </si>
  <si>
    <t>ДП ЛАДА A.Soft цл +3завіс</t>
  </si>
  <si>
    <t>ДП ЛАДА A.Soft ст +3завіс</t>
  </si>
  <si>
    <t>ДП ЛАДА A.Magnet цл +3завіс</t>
  </si>
  <si>
    <t>ДП ЛАДА A.Magnet ст +3завіс</t>
  </si>
  <si>
    <t>ДП ЛАДА A.Пл Stand +3завіс</t>
  </si>
  <si>
    <t>ДП ЛАДА A.Пл Soft +3завіс</t>
  </si>
  <si>
    <t>ДП ЛАДА A.Пл Magnet +3завіс</t>
  </si>
  <si>
    <t>ДП ЛАДА A.Magnet цл б/з завіс.</t>
  </si>
  <si>
    <t>ДП ЛАДА A.Magnet ст б/з завіс.</t>
  </si>
  <si>
    <t>ДП ЛАДА A.Magnet цл +2завіс 3D</t>
  </si>
  <si>
    <t>ДП ЛАДА A.Magnet ст +2завіс 3D</t>
  </si>
  <si>
    <t>ДП ЛАДА A.Magnet цл +3завіс 3D</t>
  </si>
  <si>
    <t>ДП ЛАДА A.Magnet ст +3завіс 3D</t>
  </si>
  <si>
    <t>ДП ЛАДА B.Soft цл +3завіс</t>
  </si>
  <si>
    <t>ДП ЛАДА B.Soft ст +3завіс</t>
  </si>
  <si>
    <t>ДП ЛАДА B.Magnet цл +3завіс</t>
  </si>
  <si>
    <t>ДП ЛАДА B.Magnet ст +3завіс</t>
  </si>
  <si>
    <t>ДП ЛАДА B.Пл Stand +3завіс</t>
  </si>
  <si>
    <t>ДП ЛАДА B.Пл Soft +3завіс</t>
  </si>
  <si>
    <t>ДП ЛАДА B.Пл Magnet +3завіс</t>
  </si>
  <si>
    <t>ДП ЛАДА B.Magnet цл б/з завіс.</t>
  </si>
  <si>
    <t>ДП ЛАДА B.Magnet ст б/з завіс.</t>
  </si>
  <si>
    <t>ДП ЛАДА B.Magnet цл +2завіс 3D</t>
  </si>
  <si>
    <t>ДП ЛАДА B.Magnet ст +2завіс 3D</t>
  </si>
  <si>
    <t>ДП ЛАДА B.Magnet цл +3завіс 3D</t>
  </si>
  <si>
    <t>ДП ЛАДА B.Magnet ст +3завіс 3D</t>
  </si>
  <si>
    <t>ДП ЛАДА C.Soft цл +3завіс</t>
  </si>
  <si>
    <t>ДП ЛАДА C.Soft ст +3завіс</t>
  </si>
  <si>
    <t>ДП ЛАДА C.Magnet цл +3завіс</t>
  </si>
  <si>
    <t>ДП ЛАДА C.Magnet ст +3завіс</t>
  </si>
  <si>
    <t>ДП ЛАДА C.Пл Stand +3завіс</t>
  </si>
  <si>
    <t>ДП ЛАДА C.Пл Soft +3завіс</t>
  </si>
  <si>
    <t>ДП ЛАДА C.Пл Magnet +3завіс</t>
  </si>
  <si>
    <t>ДП ЛАДА C.Magnet цл б/з завіс.</t>
  </si>
  <si>
    <t>ДП ЛАДА C.Magnet ст б/з завіс.</t>
  </si>
  <si>
    <t>ДП ЛАДА C.Magnet цл +2завіс 3D</t>
  </si>
  <si>
    <t>ДП ЛАДА C.Magnet ст +2завіс 3D</t>
  </si>
  <si>
    <t>ДП ЛАДА C.Magnet цл +3завіс 3D</t>
  </si>
  <si>
    <t>ДП ЛАДА C.Magnet ст +3завіс 3D</t>
  </si>
  <si>
    <t>ДП ЛАДА D.Soft цл +3завіс</t>
  </si>
  <si>
    <t>ДП ЛАДА D.Soft ст +3завіс</t>
  </si>
  <si>
    <t>ДП ЛАДА D.Magnet цл +3завіс</t>
  </si>
  <si>
    <t>ДП ЛАДА D.Magnet ст +3завіс</t>
  </si>
  <si>
    <t>ДП ЛАДА D.Пл Stand +3завіс</t>
  </si>
  <si>
    <t>ДП ЛАДА D.Пл Soft +3завіс</t>
  </si>
  <si>
    <t>ДП ЛАДА D.Пл Magnet +3завіс</t>
  </si>
  <si>
    <t>ДП ЛАДА D.Magnet цл б/з завіс.</t>
  </si>
  <si>
    <t>ДП ЛАДА D.Magnet ст б/з завіс.</t>
  </si>
  <si>
    <t>ДП ЛАДА D.Magnet цл +2завіс 3D</t>
  </si>
  <si>
    <t>ДП ЛАДА D.Magnet ст +2завіс 3D</t>
  </si>
  <si>
    <t>ДП ЛАДА D.Magnet цл +3завіс 3D</t>
  </si>
  <si>
    <t>ДП ЛАДА D.Magnet ст +3завіс 3D</t>
  </si>
  <si>
    <t>ДП Ніка.Soft цл +3завіс</t>
  </si>
  <si>
    <t>ДП Ніка.Soft ст +3завіс</t>
  </si>
  <si>
    <t>ДП Ніка.Magnet цл +3завіс</t>
  </si>
  <si>
    <t>ДП Ніка.Magnet ст +3завіс</t>
  </si>
  <si>
    <t>ДП Ніка.Пл Stand +3завіс</t>
  </si>
  <si>
    <t>ДП Ніка.Пл Soft +3завіс</t>
  </si>
  <si>
    <t>ДП Ніка.Пл Magnet +3завіс</t>
  </si>
  <si>
    <t>ДП Ніка.Magnet цл б/з завіс.</t>
  </si>
  <si>
    <t>ДП Ніка.Magnet ст б/з завіс.</t>
  </si>
  <si>
    <t>ДП Ніка.Magnet цл +2завіс 3D</t>
  </si>
  <si>
    <t>ДП Ніка.Magnet ст +2завіс 3D</t>
  </si>
  <si>
    <t>ДП Ніка.Magnet цл +3завіс 3D</t>
  </si>
  <si>
    <t>ДП Ніка.Magnet ст +3завіс 3D</t>
  </si>
  <si>
    <t>ДП Ліса.Soft цл +3завіс</t>
  </si>
  <si>
    <t>ДП Ліса.Soft ст +3завіс</t>
  </si>
  <si>
    <t>ДП Ліса.Magnet цл +3завіс</t>
  </si>
  <si>
    <t>ДП Ліса.Magnet ст +3завіс</t>
  </si>
  <si>
    <t>ДП Ліса.Пл Stand +3завіс</t>
  </si>
  <si>
    <t>ДП Ліса.Пл Soft +3завіс</t>
  </si>
  <si>
    <t>ДП Ліса.Пл Magnet +3завіс</t>
  </si>
  <si>
    <t>ДП Ліса.Magnet цл б/з завіс.</t>
  </si>
  <si>
    <t>ДП Ліса.Magnet ст б/з завіс.</t>
  </si>
  <si>
    <t>ДП Ліса.Magnet цл +2завіс 3D</t>
  </si>
  <si>
    <t>ДП Ліса.Magnet ст +2завіс 3D</t>
  </si>
  <si>
    <t>ДП Ліса.Magnet цл +3завіс 3D</t>
  </si>
  <si>
    <t>ДП Ліса.Magnet ст +3завіс 3D</t>
  </si>
  <si>
    <t>ДП ЛАДА-КОНЦЕПТ.Soft цл +3завіс</t>
  </si>
  <si>
    <t>ДП ЛАДА-КОНЦЕПТ.Soft ст +3завіс</t>
  </si>
  <si>
    <t>ДП ЛАДА-КОНЦЕПТ.Magnet цл +3завіс</t>
  </si>
  <si>
    <t>ДП ЛАДА-КОНЦЕПТ.Magnet ст +3завіс</t>
  </si>
  <si>
    <t>ДП ЛАДА-КОНЦЕПТ.Пл Stand +3завіс</t>
  </si>
  <si>
    <t>ДП ЛАДА-КОНЦЕПТ.Пл Soft +3завіс</t>
  </si>
  <si>
    <t>ДП ЛАДА-КОНЦЕПТ.Пл Magnet +3завіс</t>
  </si>
  <si>
    <t>ДП ЛАДА-КОНЦЕПТ.Magnet цл б/з завіс.</t>
  </si>
  <si>
    <t>ДП ЛАДА-КОНЦЕПТ.Magnet ст б/з завіс.</t>
  </si>
  <si>
    <t>ДП ЛАДА-КОНЦЕПТ.Magnet цл +2завіс 3D</t>
  </si>
  <si>
    <t>ДП ЛАДА-КОНЦЕПТ.Magnet ст +2завіс 3D</t>
  </si>
  <si>
    <t>ДП ЛАДА-КОНЦЕПТ.Magnet цл +3завіс 3D</t>
  </si>
  <si>
    <t>ДП ЛАДА-КОНЦЕПТ.Magnet ст +3завіс 3D</t>
  </si>
  <si>
    <t>ДП ЛАДА-НОВА.Soft цл +3завіс</t>
  </si>
  <si>
    <t>ДП ЛАДА-НОВА.Soft ст +3завіс</t>
  </si>
  <si>
    <t>ДП ЛАДА-НОВА.Magnet цл +3завіс</t>
  </si>
  <si>
    <t>ДП ЛАДА-НОВА.Magnet ст +3завіс</t>
  </si>
  <si>
    <t>ДП ЛАДА-НОВА.Пл Stand +3завіс</t>
  </si>
  <si>
    <t>ДП ЛАДА-НОВА.Пл Soft +3завіс</t>
  </si>
  <si>
    <t>ДП ЛАДА-НОВА.Пл Magnet +3завіс</t>
  </si>
  <si>
    <t>ДП ЛАДА-НОВА.Magnet цл б/з завіс.</t>
  </si>
  <si>
    <t>ДП ЛАДА-НОВА.Magnet ст б/з завіс.</t>
  </si>
  <si>
    <t>ДП ЛАДА-НОВА.Magnet цл +2завіс 3D</t>
  </si>
  <si>
    <t>ДП ЛАДА-НОВА.Magnet ст +2завіс 3D</t>
  </si>
  <si>
    <t>ДП ЛАДА-НОВА.Magnet цл +3завіс 3D</t>
  </si>
  <si>
    <t>ДП ЛАДА-НОВА.Magnet ст +3завіс 3D</t>
  </si>
  <si>
    <t>ДП Міра.Soft цл +3завіс</t>
  </si>
  <si>
    <t>ДП Міра.Soft ст +3завіс</t>
  </si>
  <si>
    <t>ДП Міра.Magnet цл +3завіс</t>
  </si>
  <si>
    <t>ДП Міра.Magnet ст +3завіс</t>
  </si>
  <si>
    <t>ДП Міра.Пл Stand +3завіс</t>
  </si>
  <si>
    <t>ДП Міра.Пл Soft +3завіс</t>
  </si>
  <si>
    <t>ДП Міра.Пл Magnet +3завіс</t>
  </si>
  <si>
    <t>ДП Міра.Magnet цл б/з завіс.</t>
  </si>
  <si>
    <t>ДП Міра.Magnet ст б/з завіс.</t>
  </si>
  <si>
    <t>ДП Міра.Magnet цл +2завіс 3D</t>
  </si>
  <si>
    <t>ДП Міра.Magnet ст +2завіс 3D</t>
  </si>
  <si>
    <t>ДП Міра.Magnet цл +3завіс 3D</t>
  </si>
  <si>
    <t>ДП Міра.Magnet ст +3завіс 3D</t>
  </si>
  <si>
    <t>ДП ЛАДА-ЛОФТ.Soft цл +3завіс</t>
  </si>
  <si>
    <t>ДП ЛАДА-ЛОФТ.Soft ст +3завіс</t>
  </si>
  <si>
    <t>ДП ЛАДА-ЛОФТ.Magnet цл +3завіс</t>
  </si>
  <si>
    <t>ДП ЛАДА-ЛОФТ.Magnet ст +3завіс</t>
  </si>
  <si>
    <t>ДП ЛАДА-ЛОФТ.Пл Stand +3завіс</t>
  </si>
  <si>
    <t>ДП ЛАДА-ЛОФТ.Пл Soft +3завіс</t>
  </si>
  <si>
    <t>ДП ЛАДА-ЛОФТ.Пл Magnet +3завіс</t>
  </si>
  <si>
    <t>ДП ЛАДА-ЛОФТ.Magnet цл б/з завіс.</t>
  </si>
  <si>
    <t>ДП ЛАДА-ЛОФТ.Magnet ст б/з завіс.</t>
  </si>
  <si>
    <t>ДП ЛАДА-ЛОФТ.Magnet цл +2завіс 3D</t>
  </si>
  <si>
    <t>ДП ЛАДА-ЛОФТ.Magnet ст +2завіс 3D</t>
  </si>
  <si>
    <t>ДП ЛАДА-ЛОФТ.Magnet цл +3завіс 3D</t>
  </si>
  <si>
    <t>ДП ЛАДА-ЛОФТ.Magnet ст +3завіс 3D</t>
  </si>
  <si>
    <t>ДП Лінда.Soft цл +3завіс</t>
  </si>
  <si>
    <t>ДП Лінда.Soft ст +3завіс</t>
  </si>
  <si>
    <t>ДП Лінда.Magnet цл +3завіс</t>
  </si>
  <si>
    <t>ДП Лінда.Magnet ст +3завіс</t>
  </si>
  <si>
    <t>ДП Лінда.Пл Stand +3завіс</t>
  </si>
  <si>
    <t>ДП Лінда.Пл Soft +3завіс</t>
  </si>
  <si>
    <t>ДП Лінда.Пл Magnet +3завіс</t>
  </si>
  <si>
    <t>ДП Лінда.Magnet цл б/з завіс.</t>
  </si>
  <si>
    <t>ДП Лінда.Magnet ст б/з завіс.</t>
  </si>
  <si>
    <t>ДП Лінда.Magnet цл +2завіс 3D</t>
  </si>
  <si>
    <t>ДП Лінда.Magnet ст +2завіс 3D</t>
  </si>
  <si>
    <t>ДП Лінда.Magnet цл +3завіс 3D</t>
  </si>
  <si>
    <t>ДП Лінда.Magnet ст +3завіс 3D</t>
  </si>
  <si>
    <t>ДП Тіана.Soft цл +3завіс</t>
  </si>
  <si>
    <t>ДП Тіана.Soft ст +3завіс</t>
  </si>
  <si>
    <t>ДП Тіана.Magnet цл +3завіс</t>
  </si>
  <si>
    <t>ДП Тіана.Magnet ст +3завіс</t>
  </si>
  <si>
    <t>ДП Тіана.Пл Stand +3завіс</t>
  </si>
  <si>
    <t>ДП Тіана.Пл Soft +3завіс</t>
  </si>
  <si>
    <t>ДП Тіана.Пл Magnet +3завіс</t>
  </si>
  <si>
    <t>ДП Тіана.Magnet цл б/з завіс.</t>
  </si>
  <si>
    <t>ДП Тіана.Magnet ст б/з завіс.</t>
  </si>
  <si>
    <t>ДП Тіана.Magnet цл +2завіс 3D</t>
  </si>
  <si>
    <t>ДП Тіана.Magnet ст +2завіс 3D</t>
  </si>
  <si>
    <t>ДП Тіана.Magnet цл +3завіс 3D</t>
  </si>
  <si>
    <t>ДП Тіана.Magnet ст +3завіс 3D</t>
  </si>
  <si>
    <t>ДП Єва.Soft цл +3завіс</t>
  </si>
  <si>
    <t>ДП Єва.Soft ст +3завіс</t>
  </si>
  <si>
    <t>ДП Єва.Magnet цл +3завіс</t>
  </si>
  <si>
    <t>ДП Єва.Magnet ст +3завіс</t>
  </si>
  <si>
    <t>ДП Єва.Пл Stand +3завіс</t>
  </si>
  <si>
    <t>ДП Єва.Пл Soft +3завіс</t>
  </si>
  <si>
    <t>ДП Єва.Пл Magnet +3завіс</t>
  </si>
  <si>
    <t>ДП Єва.Magnet цл б/з завіс.</t>
  </si>
  <si>
    <t>ДП Єва.Magnet ст б/з завіс.</t>
  </si>
  <si>
    <t>ДП Єва.Magnet цл +2завіс 3D</t>
  </si>
  <si>
    <t>ДП Єва.Magnet ст +2завіс 3D</t>
  </si>
  <si>
    <t>ДП Єва.Magnet цл +3завіс 3D</t>
  </si>
  <si>
    <t>ДП Єва.Magnet ст +3завіс 3D</t>
  </si>
  <si>
    <t>ДП ТРЕНД.Soft цл +3завіс</t>
  </si>
  <si>
    <t>ДП ТРЕНД.Soft ст +3завіс</t>
  </si>
  <si>
    <t>ДП ТРЕНД.Magnet цл +3завіс</t>
  </si>
  <si>
    <t>ДП ТРЕНД.Magnet ст +3завіс</t>
  </si>
  <si>
    <t>ДП ТРЕНД.Пл Stand +3завіс</t>
  </si>
  <si>
    <t>ДП ТРЕНД.Пл Soft +3завіс</t>
  </si>
  <si>
    <t>ДП ТРЕНД.Пл Magnet +3завіс</t>
  </si>
  <si>
    <t>ДП ТРЕНД.Magnet цл б/з завіс.</t>
  </si>
  <si>
    <t>ДП ТРЕНД.Magnet ст б/з завіс.</t>
  </si>
  <si>
    <t>ДП ТРЕНД.Magnet цл +2завіс 3D</t>
  </si>
  <si>
    <t>ДП ТРЕНД.Magnet ст +2завіс 3D</t>
  </si>
  <si>
    <t>ДП ТРЕНД.Magnet цл +3завіс 3D</t>
  </si>
  <si>
    <t>ДП ТРЕНД.Magnet ст +3завіс 3D</t>
  </si>
  <si>
    <t>ДП МОДЕРН.Soft цл +3завіс</t>
  </si>
  <si>
    <t>ДП МОДЕРН.Soft ст +3завіс</t>
  </si>
  <si>
    <t>ДП МОДЕРН.Magnet цл +3завіс</t>
  </si>
  <si>
    <t>ДП МОДЕРН.Magnet ст +3завіс</t>
  </si>
  <si>
    <t>ДП МОДЕРН.Пл Stand +3завіс</t>
  </si>
  <si>
    <t>ДП МОДЕРН.Пл Soft +3завіс</t>
  </si>
  <si>
    <t>ДП МОДЕРН.Пл Magnet +3завіс</t>
  </si>
  <si>
    <t>ДП МОДЕРН.Magnet цл б/з завіс.</t>
  </si>
  <si>
    <t>ДП МОДЕРН.Magnet ст б/з завіс.</t>
  </si>
  <si>
    <t>ДП МОДЕРН.Magnet цл +2завіс 3D</t>
  </si>
  <si>
    <t>ДП МОДЕРН.Magnet ст +2завіс 3D</t>
  </si>
  <si>
    <t>ДП МОДЕРН.Magnet цл +3завіс 3D</t>
  </si>
  <si>
    <t>ДП МОДЕРН.Magnet ст +3завіс 3D</t>
  </si>
  <si>
    <t>ДП ПОЛЛО.Soft цл +3завіс</t>
  </si>
  <si>
    <t>ДП ПОЛЛО.Soft ст +3завіс</t>
  </si>
  <si>
    <t>ДП ПОЛЛО.Magnet цл +3завіс</t>
  </si>
  <si>
    <t>ДП ПОЛЛО.Magnet ст +3завіс</t>
  </si>
  <si>
    <t>ДП ПОЛЛО.Пл Stand +3завіс</t>
  </si>
  <si>
    <t>ДП ПОЛЛО.Пл Soft +3завіс</t>
  </si>
  <si>
    <t>ДП ПОЛЛО.Пл Magnet +3завіс</t>
  </si>
  <si>
    <t>ДП ПОЛЛО.Magnet цл б/з завіс.</t>
  </si>
  <si>
    <t>ДП ПОЛЛО.Magnet ст б/з завіс.</t>
  </si>
  <si>
    <t>ДП ПОЛЛО.Magnet цл +2завіс 3D</t>
  </si>
  <si>
    <t>ДП ПОЛЛО.Magnet ст +2завіс 3D</t>
  </si>
  <si>
    <t>ДП ПОЛЛО.Magnet цл +3завіс 3D</t>
  </si>
  <si>
    <t>ДП ПОЛЛО.Magnet ст +3завіс 3D</t>
  </si>
  <si>
    <t>ДП Лінея.Soft цл +3завіс</t>
  </si>
  <si>
    <t>ДП Лінея.Soft ст +3завіс</t>
  </si>
  <si>
    <t>ДП Лінея.Magnet цл +3завіс</t>
  </si>
  <si>
    <t>ДП Лінея.Magnet ст +3завіс</t>
  </si>
  <si>
    <t>ДП Лінея.Пл Stand +3завіс</t>
  </si>
  <si>
    <t>ДП Лінея.Пл Soft +3завіс</t>
  </si>
  <si>
    <t>ДП Лінея.Пл Magnet +3завіс</t>
  </si>
  <si>
    <t>ДП ЛАЙН.Soft цл +3завіс</t>
  </si>
  <si>
    <t>ДП ЛАЙН.Soft ст +3завіс</t>
  </si>
  <si>
    <t>ДП ЛАЙН.Magnet цл +3завіс</t>
  </si>
  <si>
    <t>ДП ЛАЙН.Magnet ст +3завіс</t>
  </si>
  <si>
    <t>ДП ЛАЙН.Пл Stand +3завіс</t>
  </si>
  <si>
    <t>ДП ЛАЙН.Пл Soft +3завіс</t>
  </si>
  <si>
    <t>ДП ЛАЙН.Пл Magnet +3завіс</t>
  </si>
  <si>
    <t>ДП Елегант.Soft цл +3завіс</t>
  </si>
  <si>
    <t>ДП Елегант.Soft ст +3завіс</t>
  </si>
  <si>
    <t>ДП Елегант.Magnet цл +3завіс</t>
  </si>
  <si>
    <t>ДП Елегант.Magnet ст +3завіс</t>
  </si>
  <si>
    <t>ДП Елегант.Пл Stand +3завіс</t>
  </si>
  <si>
    <t>ДП Елегант.Пл Soft +3завіс</t>
  </si>
  <si>
    <t>ДП Елегант.Пл Magnet +3завіс</t>
  </si>
  <si>
    <t>ДП ГЛАСФОРД.Glass +2завіс</t>
  </si>
  <si>
    <t>ДП ГЛАСФОРД.Glass кл +2завіс</t>
  </si>
  <si>
    <t>ДП ГЛАСФОРД.Glass цл +2завіс</t>
  </si>
  <si>
    <t>ДП Добір.Пл Stand +2завіс</t>
  </si>
  <si>
    <t>ДП Добір.Пл Soft +2завіс</t>
  </si>
  <si>
    <t>ДП Добір.Пл Magnet +2завіс</t>
  </si>
  <si>
    <t>ДП Добір.Пл Stand +3завіс</t>
  </si>
  <si>
    <t>ДП Добір.Пл Soft +3завіс</t>
  </si>
  <si>
    <t>ДП Добір.Пл Magnet +3завіс</t>
  </si>
  <si>
    <t>ДП Добір-ЛАДА.Пл Stand +3завіс</t>
  </si>
  <si>
    <t>ДП Добір-ЛАДА.Пл Soft +3завіс</t>
  </si>
  <si>
    <t>ДП Добір-ЛАДА.Пл Magnet +3завіс</t>
  </si>
  <si>
    <t>КД Standard-MDF.Пл Stand +2завіс</t>
  </si>
  <si>
    <t>КД Standard-MDF.Пл Soft +2завіс</t>
  </si>
  <si>
    <t>КД Standard-MDF.Пл Magnet +2завіс</t>
  </si>
  <si>
    <t>КД Standard-MDF.Пл Stand +3завіс</t>
  </si>
  <si>
    <t>КД Standard-MDF.Пл Soft +3завіс</t>
  </si>
  <si>
    <t>КД Standard-MDF.Пл Magnet +3завіс</t>
  </si>
  <si>
    <t>КД Standard.Пл Stand +2завіс</t>
  </si>
  <si>
    <t>КД Standard.Пл Soft +2завіс</t>
  </si>
  <si>
    <t>КД Standard.Пл Magnet +2завіс</t>
  </si>
  <si>
    <t>КД Standard.Пл Stand +3завіс</t>
  </si>
  <si>
    <t>КД Standard.Пл Soft +3завіс</t>
  </si>
  <si>
    <t>КД Standard.Пл Magnet +3завіс</t>
  </si>
  <si>
    <t>КД Verto-FIT.Пл Stand +2завіс</t>
  </si>
  <si>
    <t>КД Verto-FIT.Пл Soft +2завіс</t>
  </si>
  <si>
    <t>КД Verto-FIT.Пл Magnet +2завіс</t>
  </si>
  <si>
    <t>КД Verto-FIT.Пл Stand +3завіс</t>
  </si>
  <si>
    <t>КД Verto-FIT.Пл Soft +3завіс</t>
  </si>
  <si>
    <t>КД Verto-FIT.Пл Magnet +3завіс</t>
  </si>
  <si>
    <t>КД Verto-FIT Plus.Пл Stand +2завіс</t>
  </si>
  <si>
    <t>КД Verto-FIT Plus.Пл Soft +2завіс</t>
  </si>
  <si>
    <t>КД Verto-FIT Plus.Пл Magnet +2завіс</t>
  </si>
  <si>
    <t>КД Verto-FIT Plus.Пл Stand +3завіс</t>
  </si>
  <si>
    <t>КД Verto-FIT Plus.Пл Soft +3завіс</t>
  </si>
  <si>
    <t>КД Verto-FIT Plus.Пл Magnet +3завіс</t>
  </si>
  <si>
    <t>КД Verto-FIT Comfort.Пл Magnet б/з завіс.</t>
  </si>
  <si>
    <t>КД Verto-FIT Comfort.Пл Magnet +2завіс 3D</t>
  </si>
  <si>
    <t>КД Verto-FIT Comfort.Пл Magnet +3завіс 3D</t>
  </si>
  <si>
    <t>Ліва</t>
  </si>
  <si>
    <t>Soft цл +2завіс.Ліва</t>
  </si>
  <si>
    <t>Soft ст +2завіс.Ліва</t>
  </si>
  <si>
    <t>Magnet цл +2завіс.Ліва</t>
  </si>
  <si>
    <t>Magnet ст +2завіс.Ліва</t>
  </si>
  <si>
    <t>Soft цл +3завіс.Ліва</t>
  </si>
  <si>
    <t>Soft ст +3завіс.Ліва</t>
  </si>
  <si>
    <t>Magnet цл +3завіс.Ліва</t>
  </si>
  <si>
    <t>Magnet ст +3завіс.Ліва</t>
  </si>
  <si>
    <t>Magnet цл б/з завіс..Ліва</t>
  </si>
  <si>
    <t>Magnet ст б/з завіс..Ліва</t>
  </si>
  <si>
    <t>Magnet цл +2завіс 3D.Ліва</t>
  </si>
  <si>
    <t>Magnet ст +2завіс 3D.Ліва</t>
  </si>
  <si>
    <t>Magnet цл +3завіс 3D.Ліва</t>
  </si>
  <si>
    <t>Magnet ст +3завіс 3D.Ліва</t>
  </si>
  <si>
    <t>Glass +2завіс.Ліва</t>
  </si>
  <si>
    <t>Glass кл +2завіс.Ліва</t>
  </si>
  <si>
    <t>Glass цл +2завіс.Ліва</t>
  </si>
  <si>
    <t>Ручка-Захват.Ліва</t>
  </si>
  <si>
    <t>Ручка-Замок.Ліва</t>
  </si>
  <si>
    <t>Пл Stand +2завіс.Ліва</t>
  </si>
  <si>
    <t>Пл Soft +2завіс.Ліва</t>
  </si>
  <si>
    <t>Пл Magnet +2завіс.Ліва</t>
  </si>
  <si>
    <t>Пл Stand +3завіс.Ліва</t>
  </si>
  <si>
    <t>Пл Soft +3завіс.Ліва</t>
  </si>
  <si>
    <t>Пл Magnet +3завіс.Ліва</t>
  </si>
  <si>
    <t>Пл Magnet б/з завіс..Ліва</t>
  </si>
  <si>
    <t>Пл Magnet +2завіс 3D.Ліва</t>
  </si>
  <si>
    <t>Пл Magnet +3завіс 3D.Ліва</t>
  </si>
  <si>
    <t>для ДП Гласфорд.Ліва</t>
  </si>
  <si>
    <t>Права</t>
  </si>
  <si>
    <t>Soft цл +2завіс.Права</t>
  </si>
  <si>
    <t>Soft ст +2завіс.Права</t>
  </si>
  <si>
    <t>Magnet цл +2завіс.Права</t>
  </si>
  <si>
    <t>Magnet ст +2завіс.Права</t>
  </si>
  <si>
    <t>Soft цл +3завіс.Права</t>
  </si>
  <si>
    <t>Soft ст +3завіс.Права</t>
  </si>
  <si>
    <t>Magnet цл +3завіс.Права</t>
  </si>
  <si>
    <t>Magnet ст +3завіс.Права</t>
  </si>
  <si>
    <t>Magnet цл б/з завіс..Права</t>
  </si>
  <si>
    <t>Magnet ст б/з завіс..Права</t>
  </si>
  <si>
    <t>Magnet цл +2завіс 3D.Права</t>
  </si>
  <si>
    <t>Magnet ст +2завіс 3D.Права</t>
  </si>
  <si>
    <t>Magnet цл +3завіс 3D.Права</t>
  </si>
  <si>
    <t>Magnet ст +3завіс 3D.Права</t>
  </si>
  <si>
    <t>Glass +2завіс.Права</t>
  </si>
  <si>
    <t>Glass кл +2завіс.Права</t>
  </si>
  <si>
    <t>Glass цл +2завіс.Права</t>
  </si>
  <si>
    <t>Ручка-Захват.Права</t>
  </si>
  <si>
    <t>Ручка-Замок.Права</t>
  </si>
  <si>
    <t>Пл Stand +2завіс.Права</t>
  </si>
  <si>
    <t>Пл Soft +2завіс.Права</t>
  </si>
  <si>
    <t>Пл Magnet +2завіс.Права</t>
  </si>
  <si>
    <t>Пл Stand +3завіс.Права</t>
  </si>
  <si>
    <t>Пл Soft +3завіс.Права</t>
  </si>
  <si>
    <t>Пл Magnet +3завіс.Права</t>
  </si>
  <si>
    <t>Пл Magnet б/з завіс..Права</t>
  </si>
  <si>
    <t>Пл Magnet +2завіс 3D.Права</t>
  </si>
  <si>
    <t>Пл Magnet +3завіс 3D.Права</t>
  </si>
  <si>
    <t>для ДП Гласфорд.Права</t>
  </si>
  <si>
    <t>тунель</t>
  </si>
  <si>
    <t>КД Verto-FIT.тунель.1-стулк.60</t>
  </si>
  <si>
    <t>КД Verto-FIT.тунель.1-стулк.70</t>
  </si>
  <si>
    <t>КД Verto-FIT.тунель.1-стулк.80</t>
  </si>
  <si>
    <t>КД Verto-FIT.тунель.1-стулк.90</t>
  </si>
  <si>
    <t>КД Verto-FIT.тунель.1-стулк.100</t>
  </si>
  <si>
    <t>КД Verto-FIT.тунель.2-стулк.(100)</t>
  </si>
  <si>
    <t>КД Verto-FIT.тунель.2-стулк.(110)</t>
  </si>
  <si>
    <t>КД Verto-FIT.тунель.2-стулк.(120)</t>
  </si>
  <si>
    <t>КД Verto-FIT.тунель.2-стулк.(130)</t>
  </si>
  <si>
    <t>КД Verto-FIT.тунель.2-стулк.(140)</t>
  </si>
  <si>
    <t>КД Verto-FIT.тунель.2-стулк.(150)</t>
  </si>
  <si>
    <t>КД Verto-FIT.тунель.2-стулк.(160)</t>
  </si>
  <si>
    <t>КД Verto-FIT.тунель.2-стулк.(170)</t>
  </si>
  <si>
    <t>КД Verto-FIT.тунель.2-стулк.(180)</t>
  </si>
  <si>
    <t>КД Verto-FIT.тунель.1-стулк</t>
  </si>
  <si>
    <t>КД Verto-FIT.тунель.2-стулк</t>
  </si>
  <si>
    <t>Сімплекс</t>
  </si>
  <si>
    <t>ДП СТАНДАРТ.1/А.Сімплекс</t>
  </si>
  <si>
    <t>КД Standard-MDF.1.Сімплекс.1-стулк</t>
  </si>
  <si>
    <t>ДП СТАНДАРТ.1/Б.Сімплекс</t>
  </si>
  <si>
    <t>КД Standard-MDF.1.Сімплекс.2-стулк</t>
  </si>
  <si>
    <t>колір: Білий (Сімплекс)</t>
  </si>
  <si>
    <t>ДП СТАНДАРТ.2/А.Сімплекс</t>
  </si>
  <si>
    <t>колір: сірий (Сімплекс)</t>
  </si>
  <si>
    <t>ДП СТАНДАРТ.2/Б.Сімплекс</t>
  </si>
  <si>
    <t>ДП СТАНДАРТ.3/0.Сімплекс</t>
  </si>
  <si>
    <t>ДП СТАНДАРТ.3/1.Сімплекс</t>
  </si>
  <si>
    <t>ДП СТАНДАРТ.4/0.Сімплекс</t>
  </si>
  <si>
    <t>ДП СТАНДАРТ.4/1.Сімплекс</t>
  </si>
  <si>
    <t>ДП СТАНДАРТ.4/2.Сімплекс</t>
  </si>
  <si>
    <t>КД Standard.1.Сімплекс.1-стулк</t>
  </si>
  <si>
    <t>КД Standard.1.Сімплекс.2-стулк</t>
  </si>
  <si>
    <t>ДП КУПАВА.3/0.Сімплекс</t>
  </si>
  <si>
    <t>ДП КУПАВА.3/1.Сімплекс</t>
  </si>
  <si>
    <t>ДП КУПАВА.4/0.Сімплекс</t>
  </si>
  <si>
    <t>ДП КУПАВА.4/1.Сімплекс</t>
  </si>
  <si>
    <t>КД Verto-FIT.A.Сімплекс.1-стулк</t>
  </si>
  <si>
    <t>КД Verto-FIT.A.Сімплекс.2-стулк</t>
  </si>
  <si>
    <t>ДП Геометрія.1/0.Сімплекс</t>
  </si>
  <si>
    <t>ДП Геометрія.1/1.Сімплекс</t>
  </si>
  <si>
    <t>ДП Геометрія.3/0.Сімплекс</t>
  </si>
  <si>
    <t>ДП Геометрія.3/3.Сімплекс</t>
  </si>
  <si>
    <t>ДП Геометрія.4/0.Сімплекс</t>
  </si>
  <si>
    <t>ДП Геометрія.4/4.Сімплекс</t>
  </si>
  <si>
    <t>ДП Геометрія.5/0.Сімплекс</t>
  </si>
  <si>
    <t>ДП Геометрія.5/5.Сімплекс</t>
  </si>
  <si>
    <t>ДП Геометрія.6/0.Сімплекс</t>
  </si>
  <si>
    <t>ДП Геометрія.6/6.Сімплекс</t>
  </si>
  <si>
    <t>КД Verto-FIT.B.Сімплекс.1-стулк</t>
  </si>
  <si>
    <t>КД Verto-FIT.B.Сімплекс.2-стулк</t>
  </si>
  <si>
    <t>КД Verto-FIT.B+.Сімплекс.1-стулк</t>
  </si>
  <si>
    <t>КД Verto-FIT.B+.Сімплекс.2-стулк</t>
  </si>
  <si>
    <t>ДП Ідея.1.Сімплекс</t>
  </si>
  <si>
    <t>ДП Ідея.3/0.Сімплекс</t>
  </si>
  <si>
    <t>ДП Ідея.3/1.Сімплекс</t>
  </si>
  <si>
    <t>ДП Ідея.3/2.Сімплекс</t>
  </si>
  <si>
    <t>ДП Ідея.3/3.Сімплекс</t>
  </si>
  <si>
    <t>КД Verto-FIT.C.Сімплекс.1-стулк</t>
  </si>
  <si>
    <t>ДП Ідея.4/0.Сімплекс</t>
  </si>
  <si>
    <t>КД Verto-FIT.C.Сімплекс.2-стулк</t>
  </si>
  <si>
    <t>ДП Ідея.4/1.Сімплекс</t>
  </si>
  <si>
    <t>ДП Ідея.4/2.Сімплекс</t>
  </si>
  <si>
    <t>ДП Ідея.4/3.Сімплекс</t>
  </si>
  <si>
    <t>ДП Ідея.4/4.Сімплекс</t>
  </si>
  <si>
    <t>ДП Ідея.6/0.Сімплекс</t>
  </si>
  <si>
    <t>ДП Ідея.6/6.Сімплекс</t>
  </si>
  <si>
    <t>ДП Ідея.7/0.Сімплекс</t>
  </si>
  <si>
    <t>ДП Ідея.7/1.Сімплекс</t>
  </si>
  <si>
    <t>КД Verto-FIT.D.Сімплекс.1-стулк</t>
  </si>
  <si>
    <t>КД Verto-FIT.D.Сімплекс.2-стулк</t>
  </si>
  <si>
    <t>КД Verto-FIT.E.Сімплекс.1-стулк</t>
  </si>
  <si>
    <t>КД Verto-FIT.E.Сімплекс.2-стулк</t>
  </si>
  <si>
    <t>КД Verto-FIT.F.Сімплекс.1-стулк</t>
  </si>
  <si>
    <t>КД Verto-FIT.F.Сімплекс.2-стулк</t>
  </si>
  <si>
    <t>КД Verto-FIT.G.Сімплекс.1-стулк</t>
  </si>
  <si>
    <t>КД Verto-FIT.G.Сімплекс.2-стулк</t>
  </si>
  <si>
    <t>КД Verto-FIT.H.Сімплекс.1-стулк</t>
  </si>
  <si>
    <t>КД Verto-FIT.H.Сімплекс.2-стулк</t>
  </si>
  <si>
    <t>КД Verto-FIT.I.Сімплекс.1-стулк</t>
  </si>
  <si>
    <t>КД Verto-FIT.I.Сімплекс.2-стулк</t>
  </si>
  <si>
    <t>КД Verto-FIT Plus.A.Сімплекс.1-стулк</t>
  </si>
  <si>
    <t>КД Verto-FIT Plus.A.Сімплекс.2-стулк</t>
  </si>
  <si>
    <t>КД Verto-FIT Plus.B.Сімплекс.1-стулк</t>
  </si>
  <si>
    <t>КД Verto-FIT Plus.B.Сімплекс.2-стулк</t>
  </si>
  <si>
    <t>КД Verto-FIT Plus.B+.Сімплекс.1-стулк</t>
  </si>
  <si>
    <t>КД Verto-FIT Plus.B+.Сімплекс.2-стулк</t>
  </si>
  <si>
    <t>КД Verto-FIT Plus.C.Сімплекс.1-стулк</t>
  </si>
  <si>
    <t>КД Verto-FIT Plus.C.Сімплекс.2-стулк</t>
  </si>
  <si>
    <t>КД Verto-FIT Plus.D.Сімплекс.1-стулк</t>
  </si>
  <si>
    <t>КД Verto-FIT Plus.D.Сімплекс.2-стулк</t>
  </si>
  <si>
    <t>КД Verto-FIT Plus.E.Сімплекс.1-стулк</t>
  </si>
  <si>
    <t>КД Verto-FIT Plus.E.Сімплекс.2-стулк</t>
  </si>
  <si>
    <t>КД Verto-FIT Plus.F.Сімплекс.1-стулк</t>
  </si>
  <si>
    <t>КД Verto-FIT Plus.F.Сімплекс.2-стулк</t>
  </si>
  <si>
    <t>КД Verto-FIT Plus.G.Сімплекс.1-стулк</t>
  </si>
  <si>
    <t>КД Verto-FIT Plus.G.Сімплекс.2-стулк</t>
  </si>
  <si>
    <t>КД Verto-FIT Plus.H.Сімплекс.1-стулк</t>
  </si>
  <si>
    <t>КД Verto-FIT Plus.H.Сімплекс.2-стулк</t>
  </si>
  <si>
    <t>КД Verto-FIT Plus.I.Сімплекс.1-стулк</t>
  </si>
  <si>
    <t>КД Verto-FIT Plus.I.Сімплекс.2-стулк</t>
  </si>
  <si>
    <t>КД Verto-FIT Comfort.A.Сімплекс.1-стулк</t>
  </si>
  <si>
    <t>КД Verto-FIT Comfort.B.Сімплекс.1-стулк</t>
  </si>
  <si>
    <t>КД Verto-FIT Comfort.B+.Сімплекс.1-стулк</t>
  </si>
  <si>
    <t>КД Verto-FIT Comfort.C.Сімплекс.1-стулк</t>
  </si>
  <si>
    <t>КД Verto-FIT Comfort.D.Сімплекс.1-стулк</t>
  </si>
  <si>
    <t>КД Verto-FIT Comfort.E.Сімплекс.1-стулк</t>
  </si>
  <si>
    <t>КД Verto-FIT Comfort.F.Сімплекс.1-стулк</t>
  </si>
  <si>
    <t>КД Verto-FIT Comfort.G.Сімплекс.1-стулк</t>
  </si>
  <si>
    <t>КД Verto-FIT Comfort.H.Сімплекс.1-стулк</t>
  </si>
  <si>
    <t>КД Verto-FIT Comfort.I.Сімплекс.1-стулк</t>
  </si>
  <si>
    <t>РС Verto-SLIDE.1.Сімплекс.1-стулк.</t>
  </si>
  <si>
    <t>Планка добірна 60мм.Сімплекс.1-стулк,</t>
  </si>
  <si>
    <t>Планка добірна 60мм.Сімплекс.2-стулк,</t>
  </si>
  <si>
    <t>Планка добірна 110мм.Сімплекс.1-стулк,</t>
  </si>
  <si>
    <t>Планка добірна 110мм.Сімплекс.2-стулк,</t>
  </si>
  <si>
    <t>Планка добірна 200мм.Сімплекс.1-стулк,</t>
  </si>
  <si>
    <t>Планка добірна 200мм.Сімплекс.2-стулк,</t>
  </si>
  <si>
    <t>Планка Verto-FIT 80мм.Сімплекс.1-стулк</t>
  </si>
  <si>
    <t>Планка Verto-FIT 80мм.Сімплекс.2-стулк</t>
  </si>
  <si>
    <t>Планка Verto-FIT 160мм.Сімплекс.1-стулк</t>
  </si>
  <si>
    <t>Планка Verto-FIT 160мм.Сімплекс.2-стулк</t>
  </si>
  <si>
    <t>Планка Verto-FIT 200мм.Сімплекс.1-стулк</t>
  </si>
  <si>
    <t>Планка Verto-FIT 200мм.Сімплекс.2-стулк</t>
  </si>
  <si>
    <t>Планка Verto-FIT Comfort 80мм.Сімплекс.1-стулк</t>
  </si>
  <si>
    <t>Планка Verto-FIT Comfort 160мм.Сімплекс.1-стулк</t>
  </si>
  <si>
    <t>Планка Verto-FIT Comfort 200мм.Сімплекс.1-стулк</t>
  </si>
  <si>
    <t>ДП Добір.А.Сімплекс</t>
  </si>
  <si>
    <t>ДП Добір.Б.Сімплекс</t>
  </si>
  <si>
    <t>КД Standard-MDF.1.Сімплекс</t>
  </si>
  <si>
    <t>КД Standard.1.Сімплекс</t>
  </si>
  <si>
    <t>КД Verto-FIT.A.Сімплекс</t>
  </si>
  <si>
    <t>КД Verto-FIT.B.Сімплекс</t>
  </si>
  <si>
    <t>КД Verto-FIT.B+.Сімплекс</t>
  </si>
  <si>
    <t>КД Verto-FIT.C.Сімплекс</t>
  </si>
  <si>
    <t>КД Verto-FIT.D.Сімплекс</t>
  </si>
  <si>
    <t>КД Verto-FIT.E.Сімплекс</t>
  </si>
  <si>
    <t>КД Verto-FIT.F.Сімплекс</t>
  </si>
  <si>
    <t>КД Verto-FIT.G.Сімплекс</t>
  </si>
  <si>
    <t>КД Verto-FIT.H.Сімплекс</t>
  </si>
  <si>
    <t>КД Verto-FIT.I.Сімплекс</t>
  </si>
  <si>
    <t>КД Verto-FIT Plus.A.Сімплекс</t>
  </si>
  <si>
    <t>КД Verto-FIT Plus.B.Сімплекс</t>
  </si>
  <si>
    <t>КД Verto-FIT Plus.B+.Сімплекс</t>
  </si>
  <si>
    <t>КД Verto-FIT Plus.C.Сімплекс</t>
  </si>
  <si>
    <t>КД Verto-FIT Plus.D.Сімплекс</t>
  </si>
  <si>
    <t>КД Verto-FIT Plus.E.Сімплекс</t>
  </si>
  <si>
    <t>КД Verto-FIT Plus.F.Сімплекс</t>
  </si>
  <si>
    <t>КД Verto-FIT Plus.G.Сімплекс</t>
  </si>
  <si>
    <t>КД Verto-FIT Plus.H.Сімплекс</t>
  </si>
  <si>
    <t>КД Verto-FIT Plus.I.Сімплекс</t>
  </si>
  <si>
    <t>КД Verto-FIT Comfort.A.Сімплекс</t>
  </si>
  <si>
    <t>КД Verto-FIT Comfort.B.Сімплекс</t>
  </si>
  <si>
    <t>КД Verto-FIT Comfort.B+.Сімплекс</t>
  </si>
  <si>
    <t>КД Verto-FIT Comfort.C.Сімплекс</t>
  </si>
  <si>
    <t>КД Verto-FIT Comfort.D.Сімплекс</t>
  </si>
  <si>
    <t>КД Verto-FIT Comfort.E.Сімплекс</t>
  </si>
  <si>
    <t>КД Verto-FIT Comfort.F.Сімплекс</t>
  </si>
  <si>
    <t>КД Verto-FIT Comfort.G.Сімплекс</t>
  </si>
  <si>
    <t>КД Verto-FIT Comfort.H.Сімплекс</t>
  </si>
  <si>
    <t>КД Verto-FIT Comfort.I.Сімплекс</t>
  </si>
  <si>
    <t>РС Verto-SLIDE.1.Сімплекс</t>
  </si>
  <si>
    <t>ФР Standard.1.Сімплекс</t>
  </si>
  <si>
    <t>ФР Verto-FIT.A.Сімплекс</t>
  </si>
  <si>
    <t>ФР Verto-FIT.B.Сімплекс</t>
  </si>
  <si>
    <t>ФР Verto-FIT.B+.Сімплекс</t>
  </si>
  <si>
    <t>ФР Verto-FIT.C.Сімплекс</t>
  </si>
  <si>
    <t>ФР Verto-FIT.D.Сімплекс</t>
  </si>
  <si>
    <t>ФР Verto-FIT.E.Сімплекс</t>
  </si>
  <si>
    <t>ФР Verto-FIT.F.Сімплекс</t>
  </si>
  <si>
    <t>ФР Verto-FIT.G.Сімплекс</t>
  </si>
  <si>
    <t>ФР Verto-FIT.H.Сімплекс</t>
  </si>
  <si>
    <t>ФР Verto-FIT.I.Сімплекс</t>
  </si>
  <si>
    <t>Планка добірна 60мм.Сімплекс</t>
  </si>
  <si>
    <t>Планка добірна 110мм.Сімплекс</t>
  </si>
  <si>
    <t>Планка добірна 200мм.Сімплекс</t>
  </si>
  <si>
    <t>Планка Verto-FIT 80мм.Сімплекс</t>
  </si>
  <si>
    <t>Планка Verto-FIT 160мм.Сімплекс</t>
  </si>
  <si>
    <t>Планка Verto-FIT 200мм.Сімплекс</t>
  </si>
  <si>
    <t>Планка Verto-FIT Comfort 80мм.Сімплекс</t>
  </si>
  <si>
    <t>Планка Verto-FIT Comfort 160мм.Сімплекс</t>
  </si>
  <si>
    <t>Планка Verto-FIT Comfort 200мм.Сімплекс</t>
  </si>
  <si>
    <t>КД Standard-MDF.1.Е-шпон.1-стулк</t>
  </si>
  <si>
    <t>КД Standard-MDF.1.Е-шпон.2-стулк</t>
  </si>
  <si>
    <t>Е-шпон</t>
  </si>
  <si>
    <t>КД Standard.1.Е-шпон.1-стулк</t>
  </si>
  <si>
    <t>КД Standard.1.Е-шпон.2-стулк</t>
  </si>
  <si>
    <t>Е-шпонА</t>
  </si>
  <si>
    <t>КД Verto-FIT.A.Е-шпон.1-стулк</t>
  </si>
  <si>
    <t>КД Verto-FIT.A.Е-шпон.2-стулк</t>
  </si>
  <si>
    <t>КД Verto-FIT.B.Е-шпон.1-стулк</t>
  </si>
  <si>
    <t>КД Verto-FIT.B.Е-шпон.2-стулк</t>
  </si>
  <si>
    <t>КД Verto-FIT.B+.Е-шпон.1-стулк</t>
  </si>
  <si>
    <t>КД Verto-FIT.B+.Е-шпон.2-стулк</t>
  </si>
  <si>
    <t>КД Verto-FIT.C.Е-шпон.1-стулк</t>
  </si>
  <si>
    <t>КД Verto-FIT.C.Е-шпон.2-стулк</t>
  </si>
  <si>
    <t>КД Verto-FIT.D.Е-шпон.1-стулк</t>
  </si>
  <si>
    <t>КД Verto-FIT.D.Е-шпон.2-стулк</t>
  </si>
  <si>
    <t>КД Verto-FIT.E.Е-шпон.1-стулк</t>
  </si>
  <si>
    <t>КД Verto-FIT.E.Е-шпон.2-стулк</t>
  </si>
  <si>
    <t>КД Verto-FIT.F.Е-шпон.1-стулк</t>
  </si>
  <si>
    <t>КД Verto-FIT.F.Е-шпон.2-стулк</t>
  </si>
  <si>
    <t>КД Verto-FIT.G.Е-шпон.1-стулк</t>
  </si>
  <si>
    <t>КД Verto-FIT.G.Е-шпон.2-стулк</t>
  </si>
  <si>
    <t>КД Verto-FIT.H.Е-шпон.1-стулк</t>
  </si>
  <si>
    <t>КД Verto-FIT.H.Е-шпон.2-стулк</t>
  </si>
  <si>
    <t>ДП ЛАДА A.2А/0.Е-шпонА</t>
  </si>
  <si>
    <t>ДП ЛАДА A.2А/1.Е-шпонА</t>
  </si>
  <si>
    <t>ДП ЛАДА A.3А/0.Е-шпонА</t>
  </si>
  <si>
    <t>ДП ЛАДА A.3А/1.Е-шпонА</t>
  </si>
  <si>
    <t>ДП ЛАДА A.3А/2.Е-шпонА</t>
  </si>
  <si>
    <t>ДП ЛАДА A.8/0.Е-шпон</t>
  </si>
  <si>
    <t>ДП ЛАДА A.8/1.Е-шпон</t>
  </si>
  <si>
    <t>ДП ЛАДА A.8/2.Е-шпон</t>
  </si>
  <si>
    <t>ДП ЛАДА A.8/3.Е-шпон</t>
  </si>
  <si>
    <t>ДП ЛАДА A.8/4.Е-шпон</t>
  </si>
  <si>
    <t>ДП ЛАДА A.8/5.Е-шпон</t>
  </si>
  <si>
    <t>ДП ЛАДА A.2А/0.Е-шпон</t>
  </si>
  <si>
    <t>ДП ЛАДА A.2А/1.Е-шпон</t>
  </si>
  <si>
    <t>КД Verto-FIT.I.Е-шпон.1-стулк</t>
  </si>
  <si>
    <t>ДП ЛАДА A.3А/0.Е-шпон</t>
  </si>
  <si>
    <t>КД Verto-FIT.I.Е-шпон.2-стулк</t>
  </si>
  <si>
    <t>ДП ЛАДА A.3А/1.Е-шпон</t>
  </si>
  <si>
    <t>ДП ЛАДА A.3А/2.Е-шпон</t>
  </si>
  <si>
    <t>КД Verto-FIT Plus.A.Е-шпон.1-стулк</t>
  </si>
  <si>
    <t>КД Verto-FIT Plus.A.Е-шпон.2-стулк</t>
  </si>
  <si>
    <t>КД Verto-FIT Plus.B.Е-шпон.1-стулк</t>
  </si>
  <si>
    <t>КД Verto-FIT Plus.B.Е-шпон.2-стулк</t>
  </si>
  <si>
    <t>КД Verto-FIT Plus.B+.Е-шпон.1-стулк</t>
  </si>
  <si>
    <t>КД Verto-FIT Plus.B+.Е-шпон.2-стулк</t>
  </si>
  <si>
    <t>ДП ЛАДА B.1/0.Е-шпон</t>
  </si>
  <si>
    <t>ДП ЛАДА B.1/1.Е-шпон</t>
  </si>
  <si>
    <t>ДП ЛАДА B.1/2.Е-шпон</t>
  </si>
  <si>
    <t>ДП ЛАДА B.1/3.Е-шпон</t>
  </si>
  <si>
    <t>ДП ЛАДА B.2/0.Е-шпон</t>
  </si>
  <si>
    <t>ДП ЛАДА B.2/1.Е-шпон</t>
  </si>
  <si>
    <t>ДП ЛАДА B.2/2.Е-шпон</t>
  </si>
  <si>
    <t>КД Verto-FIT Plus.C.Е-шпон.1-стулк</t>
  </si>
  <si>
    <t>ДП ЛАДА B.3/0.Е-шпон</t>
  </si>
  <si>
    <t>КД Verto-FIT Plus.C.Е-шпон.2-стулк</t>
  </si>
  <si>
    <t>ДП ЛАДА B.3/1.Е-шпон</t>
  </si>
  <si>
    <t>ДП ЛАДА B.3/2.Е-шпон</t>
  </si>
  <si>
    <t>ДП ЛАДА B.3/3.Е-шпон</t>
  </si>
  <si>
    <t>ДП ЛАДА B.3/4.Е-шпон</t>
  </si>
  <si>
    <t>ДП ЛАДА B.3/5.Е-шпон</t>
  </si>
  <si>
    <t>КД Verto-FIT Plus.D.Е-шпон.1-стулк</t>
  </si>
  <si>
    <t>КД Verto-FIT Plus.D.Е-шпон.2-стулк</t>
  </si>
  <si>
    <t>КД Verto-FIT Plus.E.Е-шпон.1-стулк</t>
  </si>
  <si>
    <t>КД Verto-FIT Plus.E.Е-шпон.2-стулк</t>
  </si>
  <si>
    <t>КД Verto-FIT Plus.F.Е-шпон.1-стулк</t>
  </si>
  <si>
    <t>КД Verto-FIT Plus.F.Е-шпон.2-стулк</t>
  </si>
  <si>
    <t>КД Verto-FIT Plus.G.Е-шпон.1-стулк</t>
  </si>
  <si>
    <t>КД Verto-FIT Plus.G.Е-шпон.2-стулк</t>
  </si>
  <si>
    <t>ДП ЛАДА C.4/0.Е-шпон</t>
  </si>
  <si>
    <t>ДП ЛАДА C.4/1.Е-шпон</t>
  </si>
  <si>
    <t>ДП ЛАДА C.4/2.Е-шпон</t>
  </si>
  <si>
    <t>ДП ЛАДА C.4/3.Е-шпон</t>
  </si>
  <si>
    <t>ДП ЛАДА C.4/4.Е-шпон</t>
  </si>
  <si>
    <t>ДП ЛАДА C.4/5.Е-шпон</t>
  </si>
  <si>
    <t>ДП ЛАДА C.4/6.Е-шпон</t>
  </si>
  <si>
    <t>ДП ЛАДА C.4/7.Е-шпон</t>
  </si>
  <si>
    <t>ДП ЛАДА C.4/8.Е-шпон</t>
  </si>
  <si>
    <t>ДП ЛАДА C.5/0.Е-шпон</t>
  </si>
  <si>
    <t>ДП ЛАДА C.5/1.Е-шпон</t>
  </si>
  <si>
    <t>ДП ЛАДА C.5/2.Е-шпон</t>
  </si>
  <si>
    <t>ДП ЛАДА C.5/3.Е-шпон</t>
  </si>
  <si>
    <t>ДП ЛАДА C.5/4.Е-шпон</t>
  </si>
  <si>
    <t>КД Verto-FIT Plus.H.Е-шпон.1-стулк</t>
  </si>
  <si>
    <t>ДП ЛАДА C.5/5.Е-шпон</t>
  </si>
  <si>
    <t>КД Verto-FIT Plus.H.Е-шпон.2-стулк</t>
  </si>
  <si>
    <t>ДП ЛАДА C.5/6.Е-шпон</t>
  </si>
  <si>
    <t>КД Verto-FIT Plus.I.Е-шпон.1-стулк</t>
  </si>
  <si>
    <t>КД Verto-FIT Plus.I.Е-шпон.2-стулк</t>
  </si>
  <si>
    <t>КД Verto-FIT Comfort.A.Е-шпон.1-стулк</t>
  </si>
  <si>
    <t>ДП ЛАДА D.6/0.Е-шпон</t>
  </si>
  <si>
    <t>ДП ЛАДА D.6/1.Е-шпон</t>
  </si>
  <si>
    <t>ДП ЛАДА D.6/2.Е-шпон</t>
  </si>
  <si>
    <t>КД Verto-FIT Comfort.B.Е-шпон.1-стулк</t>
  </si>
  <si>
    <t>ДП ЛАДА D.6/3.Е-шпон</t>
  </si>
  <si>
    <t>ДП ЛАДА D.6/4.Е-шпон</t>
  </si>
  <si>
    <t>ДП ЛАДА D.7/0.Е-шпон</t>
  </si>
  <si>
    <t>ДП ЛАДА D.7/1.Е-шпон</t>
  </si>
  <si>
    <t>ДП ЛАДА D.7/2.Е-шпон</t>
  </si>
  <si>
    <t>КД Verto-FIT Comfort.B+.Е-шпон.1-стулк</t>
  </si>
  <si>
    <t>КД Verto-FIT Comfort.C.Е-шпон.1-стулк</t>
  </si>
  <si>
    <t>КД Verto-FIT Comfort.D.Е-шпон.1-стулк</t>
  </si>
  <si>
    <t>КД Verto-FIT Comfort.E.Е-шпон.1-стулк</t>
  </si>
  <si>
    <t>КД Verto-FIT Comfort.F.Е-шпон.1-стулк</t>
  </si>
  <si>
    <t>КД Verto-FIT Comfort.G.Е-шпон.1-стулк</t>
  </si>
  <si>
    <t>ДП Ніка.1/0.Е-шпон</t>
  </si>
  <si>
    <t>ДП Ніка.1/1.Е-шпон</t>
  </si>
  <si>
    <t>ДП Ніка.1/2.Е-шпон</t>
  </si>
  <si>
    <t>ДП Ніка.1/3.Е-шпон</t>
  </si>
  <si>
    <t>ДП Ніка.1/4.Е-шпон</t>
  </si>
  <si>
    <t>КД Verto-FIT Comfort.H.Е-шпон.1-стулк</t>
  </si>
  <si>
    <t>ДП Ніка.1/5.Е-шпон</t>
  </si>
  <si>
    <t>ДП Ніка.1/6.Е-шпон</t>
  </si>
  <si>
    <t>ДП Ніка.1/7.Е-шпон</t>
  </si>
  <si>
    <t>ДП Ніка.1/8.Е-шпон</t>
  </si>
  <si>
    <t>ДП Ніка.2/1.Е-шпон</t>
  </si>
  <si>
    <t>ДП Ніка.2/2.Е-шпон</t>
  </si>
  <si>
    <t>ДП Ніка.2/3.Е-шпон</t>
  </si>
  <si>
    <t>ДП Ніка.2/4.Е-шпон</t>
  </si>
  <si>
    <t>КД Verto-FIT Comfort.I.Е-шпон.1-стулк</t>
  </si>
  <si>
    <t>РС Verto-SLIDE.1.Е-шпон.1-стулк.</t>
  </si>
  <si>
    <t>ДП Ліса.2/0.Е-шпон</t>
  </si>
  <si>
    <t>ДП Ліса.2/1.Е-шпон</t>
  </si>
  <si>
    <t>ДП Ліса.2/2.Е-шпон</t>
  </si>
  <si>
    <t>ДП Ліса.3/0.Е-шпон</t>
  </si>
  <si>
    <t>ДП Ліса.3/1.Е-шпон</t>
  </si>
  <si>
    <t>ДП Ліса.3/2.Е-шпон</t>
  </si>
  <si>
    <t>ДП Ліса.3/3.Е-шпон</t>
  </si>
  <si>
    <t>ДП Ліса.3/4.Е-шпон</t>
  </si>
  <si>
    <t>Планка добірна 60мм.Е-шпон.1-стулк,</t>
  </si>
  <si>
    <t>Планка добірна 60мм.Е-шпон.2-стулк,</t>
  </si>
  <si>
    <t>ДП ЛАДА-КОНЦЕПТ.2/0.Е-шпон</t>
  </si>
  <si>
    <t>ДП ЛАДА-КОНЦЕПТ.2/2.Е-шпон</t>
  </si>
  <si>
    <t>Планка добірна 110мм.Е-шпон.1-стулк,</t>
  </si>
  <si>
    <t>ДП ЛАДА-КОНЦЕПТ.3/0.Е-шпон</t>
  </si>
  <si>
    <t>Планка добірна 110мм.Е-шпон.2-стулк,</t>
  </si>
  <si>
    <t>ДП ЛАДА-КОНЦЕПТ.3/3.Е-шпон</t>
  </si>
  <si>
    <t>ДП ЛАДА-КОНЦЕПТ.4/0.Е-шпон</t>
  </si>
  <si>
    <t>ДП ЛАДА-КОНЦЕПТ.4/4.Е-шпон</t>
  </si>
  <si>
    <t>ДП ЛАДА-КОНЦЕПТ.5/1.Е-шпон</t>
  </si>
  <si>
    <t>ДП ЛАДА-КОНЦЕПТ.5/2.Е-шпон</t>
  </si>
  <si>
    <t>ДП ЛАДА-КОНЦЕПТ.5/3.Е-шпон</t>
  </si>
  <si>
    <t>Планка добірна 200мм.Е-шпон.1-стулк,</t>
  </si>
  <si>
    <t>Планка добірна 200мм.Е-шпон.2-стулк,</t>
  </si>
  <si>
    <t>Планка Verto-FIT 80мм.Е-шпон.1-стулк</t>
  </si>
  <si>
    <t>Планка Verto-FIT 80мм.Е-шпон.2-стулк</t>
  </si>
  <si>
    <t>ДП ЛАДА-НОВА.4/0.Е-шпон</t>
  </si>
  <si>
    <t>ДП ЛАДА-НОВА.4/3.Е-шпон</t>
  </si>
  <si>
    <t>ДП ЛАДА-НОВА.4/6.Е-шпон</t>
  </si>
  <si>
    <t>ДП ЛАДА-НОВА.4/9.Е-шпон</t>
  </si>
  <si>
    <t>ДП ЛАДА-НОВА.6А/1.Е-шпон</t>
  </si>
  <si>
    <t>ДП ЛАДА-НОВА.6А/5.Е-шпон</t>
  </si>
  <si>
    <t>ДП ЛАДА-НОВА.7/1.Е-шпон</t>
  </si>
  <si>
    <t>ДП ЛАДА-НОВА.7/2.Е-шпон</t>
  </si>
  <si>
    <t>Планка Verto-FIT 160мм.Е-шпон.1-стулк</t>
  </si>
  <si>
    <t>ДП ЛАДА-НОВА.8/1.Е-шпон</t>
  </si>
  <si>
    <t>Планка Verto-FIT 160мм.Е-шпон.2-стулк</t>
  </si>
  <si>
    <t>Планка Verto-FIT 200мм.Е-шпон.1-стулк</t>
  </si>
  <si>
    <t>Планка Verto-FIT 200мм.Е-шпон.2-стулк</t>
  </si>
  <si>
    <t>Планка Verto-FIT Comfort 80мм.Е-шпон.1-стулк</t>
  </si>
  <si>
    <t>Планка Verto-FIT Comfort 160мм.Е-шпон.1-стулк</t>
  </si>
  <si>
    <t>ДП Міра.1/0.Е-шпон</t>
  </si>
  <si>
    <t>ДП Міра.1/1.Е-шпон</t>
  </si>
  <si>
    <t>ДП Міра.1/2.Е-шпон</t>
  </si>
  <si>
    <t>ДП Міра.1/3.Е-шпон</t>
  </si>
  <si>
    <t>ДП Міра.1/4.Е-шпон</t>
  </si>
  <si>
    <t>Планка Verto-FIT Comfort 200мм.Е-шпон.1-стулк</t>
  </si>
  <si>
    <t>ДП Міра.1/5.Е-шпон</t>
  </si>
  <si>
    <t>ДП Міра.1/6.Е-шпон</t>
  </si>
  <si>
    <t>ДП Міра.2/1.Е-шпон</t>
  </si>
  <si>
    <t>ДП Міра.2/2.Е-шпон</t>
  </si>
  <si>
    <t>ДП Міра.2/3.Е-шпон</t>
  </si>
  <si>
    <t>ДП ЛАДА-ЛОФТ.1/0.Е-шпон</t>
  </si>
  <si>
    <t>ДП ЛАДА-ЛОФТ.1/1.Е-шпон</t>
  </si>
  <si>
    <t>ДП ЛАДА-ЛОФТ.3/0.Е-шпон</t>
  </si>
  <si>
    <t>ДП ЛАДА-ЛОФТ.3/1.Е-шпон</t>
  </si>
  <si>
    <t>ДП ЛАДА-ЛОФТ.4/0.Е-шпон</t>
  </si>
  <si>
    <t>ДП ЛАДА-ЛОФТ.4/1.Е-шпон</t>
  </si>
  <si>
    <t>ДП ЛАДА-ЛОФТ.5/0.Е-шпон</t>
  </si>
  <si>
    <t>ДП ЛАДА-ЛОФТ.5/1.Е-шпон</t>
  </si>
  <si>
    <t>ДП ЛАДА-ЛОФТ.6/0.Е-шпон</t>
  </si>
  <si>
    <t>ДП ЛАДА-ЛОФТ.6/1.Е-шпон</t>
  </si>
  <si>
    <t>ДП Лінда.1/0.Е-шпон</t>
  </si>
  <si>
    <t>ДП Лінда.1/1.Е-шпон</t>
  </si>
  <si>
    <t>ДП Лінда.1/2.Е-шпон</t>
  </si>
  <si>
    <t>ДП Лінда.1/3.Е-шпон</t>
  </si>
  <si>
    <t>ДП Лінда.1/4.Е-шпон</t>
  </si>
  <si>
    <t>ДП Лінда.1/5.Е-шпон</t>
  </si>
  <si>
    <t>ДП Лінда.1/6.Е-шпон</t>
  </si>
  <si>
    <t>ДП Лінда.1/7.Е-шпон</t>
  </si>
  <si>
    <t>ДП Лінда.1/8.Е-шпон</t>
  </si>
  <si>
    <t>ДП Тіана.1/0.Е-шпон</t>
  </si>
  <si>
    <t>ДП Тіана.1/1.Е-шпон</t>
  </si>
  <si>
    <t>ДП Тіана.1/2.Е-шпон</t>
  </si>
  <si>
    <t>ДП Тіана.1/3.Е-шпон</t>
  </si>
  <si>
    <t>ДП Тіана.1/4.Е-шпон</t>
  </si>
  <si>
    <t>ДП Тіана.1/5.Е-шпон</t>
  </si>
  <si>
    <t>ДП Тіана.1/6.Е-шпон</t>
  </si>
  <si>
    <t>ДП Тіана.1/7.Е-шпон</t>
  </si>
  <si>
    <t>ДП Тіана.1/8.Е-шпон</t>
  </si>
  <si>
    <t>ДП Єва.2/0.Е-шпон</t>
  </si>
  <si>
    <t>ДП Єва.2/1.Е-шпон</t>
  </si>
  <si>
    <t>ДП Єва.2/2.Е-шпон</t>
  </si>
  <si>
    <t>ДП Єва.4/0.Е-шпон</t>
  </si>
  <si>
    <t>ДП Єва.4/1.Е-шпон</t>
  </si>
  <si>
    <t>ДП Єва.4/2.Е-шпон</t>
  </si>
  <si>
    <t>ДП Єва.4/3.Е-шпон</t>
  </si>
  <si>
    <t>ДП Єва.4/4.Е-шпон</t>
  </si>
  <si>
    <t>ДП Єва.4/5.Е-шпон</t>
  </si>
  <si>
    <t>ДП Єва.4/6.Е-шпон</t>
  </si>
  <si>
    <t>ДП ТРЕНД.5/0.Е-шпон</t>
  </si>
  <si>
    <t>ДП ТРЕНД.5/1.Е-шпон</t>
  </si>
  <si>
    <t>ДП ТРЕНД.5/2.Е-шпон</t>
  </si>
  <si>
    <t>ДП ТРЕНД.5/3.Е-шпон</t>
  </si>
  <si>
    <t>ДП ТРЕНД.5/4.Е-шпон</t>
  </si>
  <si>
    <t>ДП ТРЕНД.5/5.Е-шпон</t>
  </si>
  <si>
    <t>ДП ТРЕНД.5А/1.Е-шпон</t>
  </si>
  <si>
    <t>ДП ТРЕНД.5А/2.Е-шпон</t>
  </si>
  <si>
    <t>ДП ТРЕНД.5А/3.Е-шпон</t>
  </si>
  <si>
    <t>ДП ТРЕНД.5Б/3.Е-шпон</t>
  </si>
  <si>
    <t>ДП МОДЕРН.1/0.Е-шпон</t>
  </si>
  <si>
    <t>ДП МОДЕРН.1/1.Е-шпон</t>
  </si>
  <si>
    <t>ДП МОДЕРН.3/0.Е-шпон</t>
  </si>
  <si>
    <t>ДП МОДЕРН.3/1.Е-шпон</t>
  </si>
  <si>
    <t>ДП МОДЕРН.3/2.Е-шпон</t>
  </si>
  <si>
    <t>ДП МОДЕРН.3/3.Е-шпон</t>
  </si>
  <si>
    <t>ДП МОДЕРН.3А/1.Е-шпон</t>
  </si>
  <si>
    <t>ДП МОДЕРН.3А/2.Е-шпон</t>
  </si>
  <si>
    <t>ДП ПОЛЛО.3/0.Е-шпон</t>
  </si>
  <si>
    <t>ДП ПОЛЛО.3/2.Е-шпон</t>
  </si>
  <si>
    <t>ДП ПОЛЛО.3/4.Е-шпон</t>
  </si>
  <si>
    <t>ДП ПОЛЛО.3/6.Е-шпон</t>
  </si>
  <si>
    <t>ДП ПОЛЛО.3А/3.Е-шпон</t>
  </si>
  <si>
    <t>ДП ПОЛЛО.3А/5.Е-шпон</t>
  </si>
  <si>
    <t>ДП ПОЛЛО.4/3.Е-шпон</t>
  </si>
  <si>
    <t>ДП ЛАЙН.1.Е-шпон</t>
  </si>
  <si>
    <t>ДП ЛАЙН.2.Е-шпон</t>
  </si>
  <si>
    <t>ДП ЛАЙН.3.Е-шпон</t>
  </si>
  <si>
    <t>ДП ЛАЙН.4.Е-шпон</t>
  </si>
  <si>
    <t>ДП ЛАЙН.5.Е-шпон</t>
  </si>
  <si>
    <t>ДП ЛАЙН.6.Е-шпон</t>
  </si>
  <si>
    <t>ДП ЛАЙН.7.Е-шпон</t>
  </si>
  <si>
    <t>ДП Елегант.1.Е-шпон</t>
  </si>
  <si>
    <t>ДП Елегант.2.Е-шпон</t>
  </si>
  <si>
    <t>ДП Елегант.3.Е-шпон</t>
  </si>
  <si>
    <t>ДП Елегант.4.Е-шпон</t>
  </si>
  <si>
    <t>ДП Елегант.5.Е-шпон</t>
  </si>
  <si>
    <t>ДП Елегант.6.Е-шпон</t>
  </si>
  <si>
    <t>ДП Елегант.7.Е-шпон</t>
  </si>
  <si>
    <t>ДП Добір-ЛАДА.Л1/0.Е-шпон</t>
  </si>
  <si>
    <t>ДП Добір-ЛАДА.Л1/1.Е-шпон</t>
  </si>
  <si>
    <t>ДП Добір-ЛАДА.Л3/0.Е-шпон</t>
  </si>
  <si>
    <t>ДП Добір-ЛАДА.Л3/1.Е-шпон</t>
  </si>
  <si>
    <t>ДП Добір-ЛАДА.Л3/2.Е-шпон</t>
  </si>
  <si>
    <t>ДП Добір-ЛАДА.Л4/0.Е-шпон</t>
  </si>
  <si>
    <t>ДП Добір-ЛАДА.Л4/1.Е-шпон</t>
  </si>
  <si>
    <t>ДП Добір-ЛАДА.Л5/0.Е-шпон</t>
  </si>
  <si>
    <t>ДП Добір-ЛАДА.Л5/1.Е-шпон</t>
  </si>
  <si>
    <t>ДП Добір-ЛАДА.Л6/0.Е-шпон</t>
  </si>
  <si>
    <t>ДП Добір-ЛАДА.Л6/1.Е-шпон</t>
  </si>
  <si>
    <t>КД Standard-MDF.1.Е-шпон</t>
  </si>
  <si>
    <t>КД Standard.1.Е-шпон</t>
  </si>
  <si>
    <t>КД Verto-FIT.A.Е-шпон</t>
  </si>
  <si>
    <t>КД Verto-FIT.B.Е-шпон</t>
  </si>
  <si>
    <t>КД Verto-FIT.B+.Е-шпон</t>
  </si>
  <si>
    <t>КД Verto-FIT.C.Е-шпон</t>
  </si>
  <si>
    <t>КД Verto-FIT.D.Е-шпон</t>
  </si>
  <si>
    <t>КД Verto-FIT.E.Е-шпон</t>
  </si>
  <si>
    <t>КД Verto-FIT.F.Е-шпон</t>
  </si>
  <si>
    <t>КД Verto-FIT.G.Е-шпон</t>
  </si>
  <si>
    <t>КД Verto-FIT.H.Е-шпон</t>
  </si>
  <si>
    <t>КД Verto-FIT.I.Е-шпон</t>
  </si>
  <si>
    <t>КД Verto-FIT Plus.A.Е-шпон</t>
  </si>
  <si>
    <t>КД Verto-FIT Plus.B.Е-шпон</t>
  </si>
  <si>
    <t>КД Verto-FIT Plus.B+.Е-шпон</t>
  </si>
  <si>
    <t>КД Verto-FIT Plus.C.Е-шпон</t>
  </si>
  <si>
    <t>КД Verto-FIT Plus.D.Е-шпон</t>
  </si>
  <si>
    <t>КД Verto-FIT Plus.E.Е-шпон</t>
  </si>
  <si>
    <t>КД Verto-FIT Plus.F.Е-шпон</t>
  </si>
  <si>
    <t>КД Verto-FIT Plus.G.Е-шпон</t>
  </si>
  <si>
    <t>КД Verto-FIT Plus.H.Е-шпон</t>
  </si>
  <si>
    <t>КД Verto-FIT Plus.I.Е-шпон</t>
  </si>
  <si>
    <t>КД Verto-FIT Comfort.A.Е-шпон</t>
  </si>
  <si>
    <t>КД Verto-FIT Comfort.B.Е-шпон</t>
  </si>
  <si>
    <t>КД Verto-FIT Comfort.B+.Е-шпон</t>
  </si>
  <si>
    <t>КД Verto-FIT Comfort.C.Е-шпон</t>
  </si>
  <si>
    <t>КД Verto-FIT Comfort.D.Е-шпон</t>
  </si>
  <si>
    <t>КД Verto-FIT Comfort.E.Е-шпон</t>
  </si>
  <si>
    <t>КД Verto-FIT Comfort.F.Е-шпон</t>
  </si>
  <si>
    <t>КД Verto-FIT Comfort.G.Е-шпон</t>
  </si>
  <si>
    <t>КД Verto-FIT Comfort.H.Е-шпон</t>
  </si>
  <si>
    <t>КД Verto-FIT Comfort.I.Е-шпон</t>
  </si>
  <si>
    <t>РС Verto-SLIDE.1.Е-шпон</t>
  </si>
  <si>
    <t>ФР Standard.1.Е-шпон</t>
  </si>
  <si>
    <t>ФР Verto-FIT.A.Е-шпон</t>
  </si>
  <si>
    <t>ФР Verto-FIT.B.Е-шпон</t>
  </si>
  <si>
    <t>ФР Verto-FIT.B+.Е-шпон</t>
  </si>
  <si>
    <t>ФР Verto-FIT.C.Е-шпон</t>
  </si>
  <si>
    <t>ФР Verto-FIT.D.Е-шпон</t>
  </si>
  <si>
    <t>ФР Verto-FIT.E.Е-шпон</t>
  </si>
  <si>
    <t>ФР Verto-FIT.F.Е-шпон</t>
  </si>
  <si>
    <t>ФР Verto-FIT.G.Е-шпон</t>
  </si>
  <si>
    <t>ФР Verto-FIT.H.Е-шпон</t>
  </si>
  <si>
    <t>ФР Verto-FIT.I.Е-шпон</t>
  </si>
  <si>
    <t>Планка добірна 60мм.Е-шпон</t>
  </si>
  <si>
    <t>Планка добірна 110мм.Е-шпон</t>
  </si>
  <si>
    <t>Планка добірна 200мм.Е-шпон</t>
  </si>
  <si>
    <t>Планка Verto-FIT 80мм.Е-шпон</t>
  </si>
  <si>
    <t>Планка Verto-FIT 160мм.Е-шпон</t>
  </si>
  <si>
    <t>Планка Verto-FIT 200мм.Е-шпон</t>
  </si>
  <si>
    <t>Планка Verto-FIT Comfort 80мм.Е-шпон</t>
  </si>
  <si>
    <t>Планка Verto-FIT Comfort 160мм.Е-шпон</t>
  </si>
  <si>
    <t>Планка Verto-FIT Comfort 200мм.Е-шпон</t>
  </si>
  <si>
    <t>Розділ № 1: ДВЕРНІ БЛОКИ (тільки 1 стулкові)</t>
  </si>
  <si>
    <t>ЗАЯВКА НА ПОСТАЧАННЯ ТОВАРУ</t>
  </si>
  <si>
    <t>діє з :</t>
  </si>
  <si>
    <t>Клієнт:</t>
  </si>
  <si>
    <t>Курс валюти:</t>
  </si>
  <si>
    <t xml:space="preserve">
∑ знижки:</t>
  </si>
  <si>
    <t>∑ роздріб:</t>
  </si>
  <si>
    <t>% знижка:</t>
  </si>
  <si>
    <t>∑ відпускна:</t>
  </si>
  <si>
    <t>УВАГА: Коробки на Добори, Гласфорд не включені до Дверного Блоку</t>
  </si>
  <si>
    <t xml:space="preserve">
викон.</t>
  </si>
  <si>
    <t>серія</t>
  </si>
  <si>
    <t xml:space="preserve">
колір</t>
  </si>
  <si>
    <t>заповн.</t>
  </si>
  <si>
    <t>скло</t>
  </si>
  <si>
    <t>фурнітура</t>
  </si>
  <si>
    <t>вент.від</t>
  </si>
  <si>
    <t>завіса</t>
  </si>
  <si>
    <t>лиштва</t>
  </si>
  <si>
    <t>кіл.</t>
  </si>
  <si>
    <t xml:space="preserve">
Примітка</t>
  </si>
  <si>
    <t>сума</t>
  </si>
  <si>
    <t>ЗВІРКА</t>
  </si>
  <si>
    <t>колір</t>
  </si>
  <si>
    <t>вис.мм</t>
  </si>
  <si>
    <t>вироби</t>
  </si>
  <si>
    <t>розмір</t>
  </si>
  <si>
    <t>Розділ № 2: ДВЕРНІ ПОЛОТНА</t>
  </si>
  <si>
    <t>Розділ № 3: ДВЕРНІ КОРОБКИ / РОЗСУВНІ СИСТЕМИ</t>
  </si>
  <si>
    <t>Розділ № 4: ФРАМУГИ</t>
  </si>
  <si>
    <t>Розділ № 5:ЛИШТВА / ДОБРІ ПЛАНКИ / ІНШІ АКСЕСУАРИ</t>
  </si>
  <si>
    <t>ІНШІ АКСЕСУАРИ</t>
  </si>
  <si>
    <t>«ПОКУПЕЦЬ»:</t>
  </si>
  <si>
    <t>(Підпис відповідальної особи)</t>
  </si>
  <si>
    <t>в ціні</t>
  </si>
  <si>
    <t>302 Кора поп.</t>
  </si>
  <si>
    <t>Контактна особа</t>
  </si>
  <si>
    <t>Розрахунок ПДВ</t>
  </si>
  <si>
    <t>колір: біанко (уні-мат)</t>
  </si>
  <si>
    <t>плінтус: 60мм (МДФ),  довжина (мм): 2050</t>
  </si>
  <si>
    <t>плінтус: 80мм (МДФ),  довжина (мм): 2050</t>
  </si>
  <si>
    <t>розмір(мм): 2070*1083 (двостулкова)</t>
  </si>
  <si>
    <t>розмір(мм): 2070*1183 (двостулкова)</t>
  </si>
  <si>
    <t>розмір(мм): 2070*1283 (двостулкова)</t>
  </si>
  <si>
    <t>розмір(мм): 2070*1383 (двостулкова)</t>
  </si>
  <si>
    <t>розмір(мм): 2070*1483 (двостулкова)</t>
  </si>
  <si>
    <t>розмір(мм): 2070*1583 (двостулкова)</t>
  </si>
  <si>
    <t>розмір(мм): 2070*1683 (двостулкова)</t>
  </si>
  <si>
    <t>розмір(мм): 2070*1783 (двостулкова)</t>
  </si>
  <si>
    <t>розмір(мм): 2070*1883 (двостулкова)</t>
  </si>
  <si>
    <t>розмір(мм): 2050*1040 (двостулкова)</t>
  </si>
  <si>
    <t>розмір(мм): 2050*1140 (двостулкова)</t>
  </si>
  <si>
    <t>розмір(мм): 2050*1240 (двостулкова)</t>
  </si>
  <si>
    <t>розмір(мм): 2050*1340 (двостулкова)</t>
  </si>
  <si>
    <t>розмір(мм): 2050*1440 (двостулкова)</t>
  </si>
  <si>
    <t>розмір(мм): 2050*1540 (двостулкова)</t>
  </si>
  <si>
    <t>розмір(мм): 2050*1640 (двостулкова)</t>
  </si>
  <si>
    <t>розмір(мм): 2050*1740 (двостулкова)</t>
  </si>
  <si>
    <t>розмір(мм): 2050*1840 (двостулкова)</t>
  </si>
  <si>
    <t>розмір(мм): 2050*1040  тунель (двостулкова)</t>
  </si>
  <si>
    <t>розмір(мм): 2050*1140  тунель (двостулкова)</t>
  </si>
  <si>
    <t>розмір(мм): 2050*1240  тунель (двостулкова)</t>
  </si>
  <si>
    <t>розмір(мм): 2050*1340  тунель (двостулкова)</t>
  </si>
  <si>
    <t>розмір(мм): 2050*1440  тунель (двостулкова)</t>
  </si>
  <si>
    <t>розмір(мм): 2050*1540  тунель (двостулкова)</t>
  </si>
  <si>
    <t>розмір(мм): 2050*1640  тунель (двостулкова)</t>
  </si>
  <si>
    <t>розмір(мм): 2050*1740  тунель (двостулкова)</t>
  </si>
  <si>
    <t>розмір(мм): 2050*1840  тунель (двостулкова)</t>
  </si>
  <si>
    <t>розмір(мм): 2070*2070 (двостулкова)</t>
  </si>
  <si>
    <t>фурн: замок Magnet (циліндр) без завіс + отвори під 2 завіси (приховані 3D)</t>
  </si>
  <si>
    <t>фурн: замок Magnet (сантехнічний) без завіс + отвори під 2 завіси (приховані 3D)</t>
  </si>
  <si>
    <t>фурн: замок Magnet (циліндр) без завіс + отвори під 3 завіси (приховані 3D)</t>
  </si>
  <si>
    <t>фурн: замок Magnet (сантехнічний) без завіс + отвори під 3 завіси (приховані 3D)</t>
  </si>
  <si>
    <t>фурн: замок Magnet (циліндр) без завіс + отвори під 2 завіси (приховані 3D) + вент.відд</t>
  </si>
  <si>
    <t>фурн: замок Magnet (сантехнічний) без завіс + отвори під 2 завіси (приховані 3D) + вент.відд</t>
  </si>
  <si>
    <t>фурн: замок Magnet (циліндр) без завіс + отвори під 3 завіси (приховані 3D) + вент.відд</t>
  </si>
  <si>
    <t>фурн: замок Magnet (сантехнічний) без завіс + отвори під 3 завіси (приховані 3D) + вент.відд</t>
  </si>
  <si>
    <t>фурн: замок Magnet (циліндр) без завіс + отвори під 2 завіси (приховані 3D) + вент.підріз</t>
  </si>
  <si>
    <t>фурн: замок Magnet (сантехнічний) без завіс + отвори під 2 завіси (приховані 3D) + вент.підріз</t>
  </si>
  <si>
    <t>фурн: замок Magnet (циліндр) без завіс + отвори під 3 завіси (приховані 3D) + вент.підріз</t>
  </si>
  <si>
    <t>фурн: замок Magnet (сантехнічний) без завіс + отвори під 3 завіси (приховані 3D) + вент.підріз</t>
  </si>
  <si>
    <t>фурн: відпов планка замка GLASS +отвори під 2 завіси (завіси не комплектуються) + ущільнювач</t>
  </si>
  <si>
    <t>фурн: 4 завіси (2 на кожній стійкі) + ущільнювач</t>
  </si>
  <si>
    <t>фурн: 6 завіс (3 на кожній стійкі) + ущільнювач</t>
  </si>
  <si>
    <t>UKR</t>
  </si>
  <si>
    <t>Об'єкт</t>
  </si>
  <si>
    <t>Опис</t>
  </si>
  <si>
    <t>од.в</t>
  </si>
  <si>
    <t>ціна</t>
  </si>
  <si>
    <t>ПОПЕРЕДНЯ СУМА ЗАМОВЛЕННЯ</t>
  </si>
  <si>
    <t>РАЗОМ</t>
  </si>
  <si>
    <t>* дана таблиця переводить Ваше замовлення у внутрішнє кодування виробів, яке буде відображено у Рахунку-Фактурі.</t>
  </si>
  <si>
    <t>** переконливе прохання звіряти достовірність виставленого Рахунку-Фактури з Вашим замовленням відповідно до кодування виробів</t>
  </si>
  <si>
    <t>*** загальна сума є попередньою і може відрізнятись від суми рахунку-фактури (у зв'язку зі специфікою продукції)</t>
  </si>
  <si>
    <t>ЗНИЖКА:</t>
  </si>
  <si>
    <t>ПДВ:</t>
  </si>
  <si>
    <t>поріг дерев'яний (лак) -  двустулковий</t>
  </si>
  <si>
    <t>* не заполнять в этой строке или ниже её</t>
  </si>
  <si>
    <t>колір: дуб делано (верто-цел)</t>
  </si>
  <si>
    <t>так</t>
  </si>
  <si>
    <t>ні</t>
  </si>
  <si>
    <t>виставковий стендТМ ВЕРТО 80 мм (ДСП), размер(мм): 2400*1450 (для дверних коробок "100" двустулкових), колір: Білий (обклеєний шпалерами)</t>
  </si>
  <si>
    <t>виставковий стендТМ ВЕРТО 80 мм (ДСП), размер(мм): 2400*1550 (для дверних коробок "110" двустулкових), колір: Білий (обклеєний шпалерами)</t>
  </si>
  <si>
    <t>виставковий стендТМ ВЕРТО 80 мм (ДСП), размер(мм): 2400*1650 (для дверних коробок "120" двустулкових), колір: Білий (обклеєний шпалерами)</t>
  </si>
  <si>
    <t>виставковий стендТМ ВЕРТО 80 мм (ДСП), размер(мм): 2400*1750 (для дверних коробок "130" двустулкових), колір: Білий (обклеєний шпалерами)</t>
  </si>
  <si>
    <t>виставковий стендТМ ВЕРТО 80 мм (ДСП), размер(мм): 2400*1850 (для дверних коробок "140" двустулкових), колір: Білий (обклеєний шпалерами)</t>
  </si>
  <si>
    <t>виставковий стендТМ ВЕРТО 80 мм (ДСП), размер(мм): 2400*1950 (для дверних коробок "150" двустулкових), колір: Білий (обклеєний шпалерами)</t>
  </si>
  <si>
    <t>виставковий стендТМ ВЕРТО 80 мм (ДСП), размер(мм): 2400*2050 (для дверних коробок "160" двустулкових), колір: Білий (обклеєний шпалерами)</t>
  </si>
  <si>
    <t>виставковий стендТМ ВЕРТО 80 мм (ДСП), размер(мм): 2400*2150 (для дверних коробок "170" двустулкових), колір: Білий (обклеєний шпалерами)</t>
  </si>
  <si>
    <t>виставковий стендТМ ВЕРТО 80 мм (ДСП), размер(мм): 2400*2250 (для дверних коробок "180" двустулкових), колір: Білий (обклеєний шпалерами)</t>
  </si>
  <si>
    <t>Шпінгалет для двустулкових полотен(хром)</t>
  </si>
  <si>
    <t>Лів</t>
  </si>
  <si>
    <t xml:space="preserve">СИСТЕМА КОДУВАННЯ ВИРОБІВ </t>
  </si>
  <si>
    <t>ДП ГеометрІя.3/3.20-08ч.116.С.Ст.30R.Лів</t>
  </si>
  <si>
    <t>ДВЕРНІ ПОЛОТНА</t>
  </si>
  <si>
    <t>НАВІСКА</t>
  </si>
  <si>
    <t>2 завіси + замок Glass (ключ)</t>
  </si>
  <si>
    <t xml:space="preserve"> - Права навіска полотна (завіси з Правої сторони при відкритті на себе)</t>
  </si>
  <si>
    <t xml:space="preserve"> - Навіска не визначена чи може бути будь-яка (для дверей без фурнітури або дверей-купе)</t>
  </si>
  <si>
    <t>ФУРНІТУРА (ОСНАЩЕННЯ)</t>
  </si>
  <si>
    <t>без знаку</t>
  </si>
  <si>
    <t xml:space="preserve"> - без додаткового оснащення</t>
  </si>
  <si>
    <t xml:space="preserve"> - вентиляційні віддушини</t>
  </si>
  <si>
    <t xml:space="preserve"> - вентиляційний підріз</t>
  </si>
  <si>
    <t>ФУРНІТУРА (ЗАМКИ, завіси)</t>
  </si>
  <si>
    <t>для дверей з фальцем (робоче полотно)</t>
  </si>
  <si>
    <t>для дверей з фальцем (не робоче полотно)</t>
  </si>
  <si>
    <t>2 завіси + замок Soft (циліндр)</t>
  </si>
  <si>
    <t>2 завіси + замок Magnet (циліндр)</t>
  </si>
  <si>
    <t>2 завіси + замок Glass (циліндр)</t>
  </si>
  <si>
    <t>3 завіси + замок Soft (циліндр)</t>
  </si>
  <si>
    <t>3 завіси + замок Magnet (циліндр)</t>
  </si>
  <si>
    <t>2 завіси + замок Soft (сантехнічний)</t>
  </si>
  <si>
    <t>2 завіси + замок Magnet (сантехнічний)</t>
  </si>
  <si>
    <t>3 завіси + замок Soft (сантехнічний)</t>
  </si>
  <si>
    <t>3 завіси + замок Magnet (сантехнічний)</t>
  </si>
  <si>
    <t>2 завіси + планка замка Standard + 2 шпінгалета</t>
  </si>
  <si>
    <t>3 завіси + планка замка Standard + 2 шпінгалета</t>
  </si>
  <si>
    <t>для дверей без фальця (робоче полотно)</t>
  </si>
  <si>
    <t>ручка-захват + паз внизу полотна під направляючу</t>
  </si>
  <si>
    <t>ручка-замок + паз внизу полотна під направляючу</t>
  </si>
  <si>
    <t>СКЛІННЯ</t>
  </si>
  <si>
    <t>без скла (тільки фільонки)</t>
  </si>
  <si>
    <t>Сатин (двосторонній)</t>
  </si>
  <si>
    <t>Графіт матовий</t>
  </si>
  <si>
    <t>Бронза матова</t>
  </si>
  <si>
    <t>ЗАПОВНЕННЯ ПОЛОТНА</t>
  </si>
  <si>
    <t>відсутнє</t>
  </si>
  <si>
    <t>Трубчасте ДСП заповнення</t>
  </si>
  <si>
    <t>ПОКРИТТЯ (КОЛІР)</t>
  </si>
  <si>
    <t>ВИКОНАННЯ</t>
  </si>
  <si>
    <t>з фальцем, не робоче полотно (зворотній фальц з однієї із сторін)</t>
  </si>
  <si>
    <t>без фальцю, робоче полотно (для дверей б/з фальцю і дверей-купе)</t>
  </si>
  <si>
    <t>РОЗМІР ПОЛОТНА (див. в Каталозі Розділ: Таблиці Розмірів)</t>
  </si>
  <si>
    <t>номер моделі, згідно каталогу продукції</t>
  </si>
  <si>
    <t>СЕРІЯ</t>
  </si>
  <si>
    <t>серія дверей, згідно каталогу продукції</t>
  </si>
  <si>
    <t>ТИП ПРОДУКТУ</t>
  </si>
  <si>
    <t>дверне полотно</t>
  </si>
  <si>
    <t>для дверей купе (робоче полотно)</t>
  </si>
  <si>
    <t>для дверей серії Гласфорд (робоче полотно)</t>
  </si>
  <si>
    <t>2 завіси + планка замка Soft + 2 шпінгалета</t>
  </si>
  <si>
    <t>2 завіси + планка замка Magnet + 2 шпінгалета</t>
  </si>
  <si>
    <t>3 завіси + планка замка Soft + 2 шпінгалета</t>
  </si>
  <si>
    <t>3 завіси + планка замка Magnet + 2 шпінгалета</t>
  </si>
  <si>
    <t>без замка і завіс</t>
  </si>
  <si>
    <t>без замка та завіс</t>
  </si>
  <si>
    <t>замок Magnet (циліндр) без завіс</t>
  </si>
  <si>
    <t>замок Magnet (сантехнічний) без завіс</t>
  </si>
  <si>
    <t>замок Magnet (циліндр) без завіс + отвори під 2 завіси (приховані 3D)</t>
  </si>
  <si>
    <t>замок Magnet (сантехнічний) без завіс + отвори під 2 завіси (приховані 3D)</t>
  </si>
  <si>
    <t>замок Magnet (циліндр) без завіс + отвори під 3 завіси (приховані 3D)</t>
  </si>
  <si>
    <t>замок Magnet (сантехнічний) без завіс + отвори під 3 завіси (приховані 3D)</t>
  </si>
  <si>
    <t>Лутка Р075.20-09 .A.112.00.Лів</t>
  </si>
  <si>
    <t xml:space="preserve"> - Ліва навіска коробки (для дверного полотна з "Лів" навіскою)</t>
  </si>
  <si>
    <t xml:space="preserve"> - Права навіска коробки (для дверного полотна з "Пр" навіскою)</t>
  </si>
  <si>
    <t>ФУРНІТУРА (ЗАМКИ, ЗАВІСИ)</t>
  </si>
  <si>
    <t>для 1-стулкових дверних коробок, крім FIT-Comfort</t>
  </si>
  <si>
    <t>2 завіси + планка замка Standard + ущільнювач</t>
  </si>
  <si>
    <t>2 завіси + планка замка Soft + ущільнювач</t>
  </si>
  <si>
    <t>2 завіси + планка замка Magnet + ущільнювач</t>
  </si>
  <si>
    <t>3 завіси + планка замка Standard + ущільнювач</t>
  </si>
  <si>
    <t>3 завіси + планка замка Soft + ущільнювач</t>
  </si>
  <si>
    <t>3 завіси + планка замка Magnet + ущільнювач</t>
  </si>
  <si>
    <t>без врізки і установки фурнітури (завіси і зворотня планка) + ущільнювач</t>
  </si>
  <si>
    <t>планка замка GLASS + отвори під 2 завіси (завіси не комплектуються) + ущільнювач</t>
  </si>
  <si>
    <t>для 2-стулкових дверних коробок</t>
  </si>
  <si>
    <t>планка замка Magnet без врізки та встановлення завіс + ущільнювач</t>
  </si>
  <si>
    <t>планка замка Magnet + 2 завіси приховані 3D (завіси в комплекті) + ущільнювач</t>
  </si>
  <si>
    <t>планка замка Magnet + 3 завіси приховані 3D (завіси в комплекті) + ущільнювач</t>
  </si>
  <si>
    <t>для розсувних систем Verto-SLIDE</t>
  </si>
  <si>
    <t>механізм (ролики, направляюча) + декоративна накладка + відбійний елемент</t>
  </si>
  <si>
    <t>планка замка + механізм (ролики, направляюча) + декоративна накладка + відбійний елемент</t>
  </si>
  <si>
    <t>номер моделі, згідно каталогу продукції (якщо нема моделей, вказується "01" за замовчуванням)</t>
  </si>
  <si>
    <t>стандартне виконання</t>
  </si>
  <si>
    <t>в виконанні "тунель"</t>
  </si>
  <si>
    <t>РОЗМІР (див. в Каталозі Розділ: Таблиці Размірів)</t>
  </si>
  <si>
    <t>ширина "60" (для полотен, розміром "60", для РС систем див. окремо)</t>
  </si>
  <si>
    <t>ширина "70" (для полотен, розміром "70", для РС систем див. окремо)</t>
  </si>
  <si>
    <t>ширина "80" (для полотен, розміром "80", для РС систем див. окремо)</t>
  </si>
  <si>
    <t>ширина "90" (для полотен, розміром "90", для РС систем див. окремо)</t>
  </si>
  <si>
    <t>ширина "100" (для полотен, розміром "100", для РС систем див. окремо)</t>
  </si>
  <si>
    <t>2-стулкові позиції (коробки)</t>
  </si>
  <si>
    <t>ширина "100" для двостулкових полотен, різної комбінації (60+40)</t>
  </si>
  <si>
    <t>ширина "110" для двостулкових полотен, різної комбінації (70+40)</t>
  </si>
  <si>
    <t>Дверна коробка STANDARD МДФ (на ширину 80мм)</t>
  </si>
  <si>
    <r>
      <t>Дверна коробка STANDARD дерев</t>
    </r>
    <r>
      <rPr>
        <sz val="8"/>
        <rFont val="Calibri"/>
        <family val="2"/>
        <charset val="204"/>
      </rPr>
      <t>'</t>
    </r>
    <r>
      <rPr>
        <sz val="8"/>
        <rFont val="Arial Cyr"/>
        <charset val="204"/>
      </rPr>
      <t>яна(на ширину 80мм)</t>
    </r>
  </si>
  <si>
    <t>Дверна коробка Verto-FIT (3 останні цифри позначають діапазон регулювання "від", наприклад Р075: 75-95мм)</t>
  </si>
  <si>
    <t>Дверна коробка Verto-FIT Plus (3 останні цифри позначають діапазон регулювання "від", наприклад  Р075: 75-95мм)</t>
  </si>
  <si>
    <t>Дверна коробка Verto-FIT Comfort (3 останні цифри позначають діапазон регулювання "від", наприклад  Р075: 75-95мм)</t>
  </si>
  <si>
    <t>Розсувна система Verto-SLIDE</t>
  </si>
  <si>
    <t>Малюнок (матовий обо прозорий) на склі</t>
  </si>
  <si>
    <t>РОЗМІР</t>
  </si>
  <si>
    <t>Фрамуга Verto-FIT (3 останні цифри позначають діапазон регулювання "від", наприклад  Р075: 75-95мм)</t>
  </si>
  <si>
    <t>ПОГОНАЖНІ ВИРОБИ</t>
  </si>
  <si>
    <t>РОЗМІР ВИРОБУ (див. в Каталозі Розділ: Таблиці Розмірів)</t>
  </si>
  <si>
    <t>1-стулкова, для коробки, розміром 20-06</t>
  </si>
  <si>
    <t>1-стулкова, для коробки, розміром 20-07</t>
  </si>
  <si>
    <t>1-стулкова, для коробки, розміром 20-08</t>
  </si>
  <si>
    <t>1-стулкова, для коробки, розміром 20-09</t>
  </si>
  <si>
    <t>1-стулкова, для коробки, розміром 20-10</t>
  </si>
  <si>
    <t>для Регулювальних Планок</t>
  </si>
  <si>
    <t>для Лиштви</t>
  </si>
  <si>
    <t>1-стулковий, 1030мм</t>
  </si>
  <si>
    <t>1-стулковий комплект (дві деталі 2220мм і одна 1100мм)</t>
  </si>
  <si>
    <t>2-стулковий, 2060мм</t>
  </si>
  <si>
    <t>2-стулковий комплект (три деталі 2220мм)</t>
  </si>
  <si>
    <t>для Регулювальних Планок (Дошивок)</t>
  </si>
  <si>
    <t>1-стулковий комплект (дві деталі 2070мм і одна 1030мм)</t>
  </si>
  <si>
    <t>2-стулковий комплект (три деталі 2070мм)</t>
  </si>
  <si>
    <t>для Плінтуса</t>
  </si>
  <si>
    <t>для Порогів</t>
  </si>
  <si>
    <t>Плінтус: 60мм (МДФ)</t>
  </si>
  <si>
    <t>Плінтус: 80мм (МДФ)</t>
  </si>
  <si>
    <t>Регулювальна планка: 200мм (МДФ) до Дверної Коробки Verto-FIT Comfort</t>
  </si>
  <si>
    <t>ДВЕРНІ КОРОБКИ ТА РОЗСУВНІ СИСТЕМИ</t>
  </si>
  <si>
    <t>Накладка на завіси (чорн. матов.)</t>
  </si>
  <si>
    <t>Накладка на завісу чорн. мат.</t>
  </si>
  <si>
    <t>Накладка на завіси (чорн.мат)</t>
  </si>
  <si>
    <t>Накладка на завіси (біл. матов.)</t>
  </si>
  <si>
    <t>Накладка на завісу біл. мат.</t>
  </si>
  <si>
    <t>фурн: замок Glass (сантехнічний) зовнішній правий + 2 завіси</t>
  </si>
  <si>
    <t>Glass ст зов Пр +2завіс.</t>
  </si>
  <si>
    <t>Glass ст зов Лів +2завіс.</t>
  </si>
  <si>
    <t>Glass ст вн Пр +2завіс.</t>
  </si>
  <si>
    <t>Glass ст вн Лів +2завіс.</t>
  </si>
  <si>
    <t>54</t>
  </si>
  <si>
    <t>55</t>
  </si>
  <si>
    <t>56</t>
  </si>
  <si>
    <t>фурн: замок Glass (сантехнічний) зовнішній лівий + 2 завіси</t>
  </si>
  <si>
    <t>фурн: замок Glass (сантехнічний) внутрішній правий + 2 завіси</t>
  </si>
  <si>
    <t>Glass ст зов Лів +2завіс.Ліва</t>
  </si>
  <si>
    <t>Glass ст зов Пр +2завіс.Права</t>
  </si>
  <si>
    <t>Glass ст вн Лів +2завіс.Ліва</t>
  </si>
  <si>
    <t>Glass ст вн Пр +2завіс.Права</t>
  </si>
  <si>
    <t>Glass ст зов Пр +2завіс</t>
  </si>
  <si>
    <t>Glass ст зов Лів +2завіс</t>
  </si>
  <si>
    <t>Glass ст вн Пр +2завіс</t>
  </si>
  <si>
    <t>Glass ст вн Лів +2завіс</t>
  </si>
  <si>
    <t>ДП ГЛАСФОРД.Glass ст зов Лів +2завіс</t>
  </si>
  <si>
    <t>ДП ГЛАСФОРД.Glass ст зов Пр +2завіс</t>
  </si>
  <si>
    <t>ДП ГЛАСФОРД.Glass ст вн Лів +2завіс</t>
  </si>
  <si>
    <t>ДП ГЛАСФОРД.Glass ст вн Пр +2завіс</t>
  </si>
  <si>
    <t>Stand цл Лів +2завіс.</t>
  </si>
  <si>
    <t>фурн: замок Standard (циліндр) лівий + 2 завіси</t>
  </si>
  <si>
    <t>Stand цл Пр +2завіс.</t>
  </si>
  <si>
    <t>09</t>
  </si>
  <si>
    <t>фурн: замок Standard (циліндр) правий + 2 завіси</t>
  </si>
  <si>
    <t>Stand цл Лів +2завіс.ВВ</t>
  </si>
  <si>
    <t>Stand цл Пр +2завіс.ВВ</t>
  </si>
  <si>
    <t>09V</t>
  </si>
  <si>
    <t>фурн: замок Standard (циліндр) правий + 2 завіси + вент.відд</t>
  </si>
  <si>
    <t>Stand цл Лів +2завіс.ВП</t>
  </si>
  <si>
    <t>фурн: замок Standard (циліндр) лівий + 2 завіси + вент.відд</t>
  </si>
  <si>
    <t>фурн: замок Standard (циліндр) лівий + 2 завіси + вент.підріз</t>
  </si>
  <si>
    <t>Stand цл Пр +2завіс.ВП</t>
  </si>
  <si>
    <t>09R</t>
  </si>
  <si>
    <t>фурн: замок Standard (циліндр) правий + 2 завіси + вент.підріз</t>
  </si>
  <si>
    <t>Stand кл Лів +2завіс.</t>
  </si>
  <si>
    <t>фурн: замок Standard (ключ) лівий + 2 завіси</t>
  </si>
  <si>
    <t>Stand кл Пр +2завіс.</t>
  </si>
  <si>
    <t>10</t>
  </si>
  <si>
    <t>фурн: замок Standard (ключ) правий + 2 завіси</t>
  </si>
  <si>
    <t>Stand кл Лів +2завіс.ВВ</t>
  </si>
  <si>
    <t>фурн: замок Standard (ключ) лівий + 2 завіси + вент.відд</t>
  </si>
  <si>
    <t>Stand кл Пр +2завіс.ВВ</t>
  </si>
  <si>
    <t>10V</t>
  </si>
  <si>
    <t>фурн: замок Standard (ключ) правий + 2 завіси + вент.відд</t>
  </si>
  <si>
    <t>Stand кл Лів +2завіс.ВП</t>
  </si>
  <si>
    <t>фурн: замок Standard (ключ) лівий + 2 завіси + вент.підріз</t>
  </si>
  <si>
    <t>Stand кл Пр +2завіс.ВП</t>
  </si>
  <si>
    <t>10R</t>
  </si>
  <si>
    <t>фурн: замок Standard (ключ) правий + 2 завіси + вент.підріз</t>
  </si>
  <si>
    <t>Stand ст Лів +2завіс.</t>
  </si>
  <si>
    <t>фурн: замок Standard (сантехнічний) лівий + 2 завіси</t>
  </si>
  <si>
    <t>Stand ст Пр +2завіс.</t>
  </si>
  <si>
    <t>11</t>
  </si>
  <si>
    <t>фурн: замок Standard (сантехнічний) правий + 2 завіси</t>
  </si>
  <si>
    <t>Stand ст Лів +2завіс.ВВ</t>
  </si>
  <si>
    <t>фурн: замок Standard (сантехнічний) лівий + 2 завіси + вент.відд</t>
  </si>
  <si>
    <t>Stand ст Пр +2завіс.ВВ</t>
  </si>
  <si>
    <t>11V</t>
  </si>
  <si>
    <t>фурн: замок Standard (сантехнічний) правий + 2 завіси + вент.відд</t>
  </si>
  <si>
    <t>Stand ст Пр +2завіс.ВП</t>
  </si>
  <si>
    <t>11R</t>
  </si>
  <si>
    <t>фурн: замок Standard (сантехнічний) правий + 2 завіси + вент.підріз</t>
  </si>
  <si>
    <t>фурн: замок Standard (сантехнічний) лівий + 2 завіси + вент.підріз</t>
  </si>
  <si>
    <t>Stand ст Лів +2завіс.ВП</t>
  </si>
  <si>
    <t>Stand цл Лів +3завіс.</t>
  </si>
  <si>
    <t>фурн: замок Standard (циліндр) лівий + 3 завіси</t>
  </si>
  <si>
    <t>Stand цл Пр +3завіс.</t>
  </si>
  <si>
    <t>39</t>
  </si>
  <si>
    <t>фурн: замок Standard (циліндр) правий + 3 завіси</t>
  </si>
  <si>
    <t>Stand цл Лів +3завіс.ВВ</t>
  </si>
  <si>
    <t>фурн: замок Standard (циліндр) лівий + 3 завіси + вент.відд</t>
  </si>
  <si>
    <t>Stand цл Пр +3завіс.ВВ</t>
  </si>
  <si>
    <t>39V</t>
  </si>
  <si>
    <t>фурн: замок Standard (циліндр) правий + 3 завіси + вент.відд</t>
  </si>
  <si>
    <t>Stand цл Лів +3завіс.ВП</t>
  </si>
  <si>
    <t>фурн: замок Standard (циліндр) лівий + 3 завіси + вент.підріз</t>
  </si>
  <si>
    <t>Stand цл Пр +3завіс.ВП</t>
  </si>
  <si>
    <t>39R</t>
  </si>
  <si>
    <t>фурн: замок Standard (циліндр) правий + 3 завіси + вент.підріз</t>
  </si>
  <si>
    <t>Stand кл Лів +3завіс.</t>
  </si>
  <si>
    <t>фурн: замок Standard (ключ) лівий + 3 завіси</t>
  </si>
  <si>
    <t>Stand кл Пр +3завіс.</t>
  </si>
  <si>
    <t>фурн: замок Standard (ключ) правий + 3 завіси</t>
  </si>
  <si>
    <t>Stand кл Лів +3завіс.ВВ</t>
  </si>
  <si>
    <t>фурн: замок Standard (ключ) лівий + 3 завіси + вент.відд</t>
  </si>
  <si>
    <t>Stand кл Пр +3завіс.ВВ</t>
  </si>
  <si>
    <t>40V</t>
  </si>
  <si>
    <t>фурн: замок Standard (ключ) правий + 3 завіси + вент.відд</t>
  </si>
  <si>
    <t>Stand кл Лів +3завіс.ВП</t>
  </si>
  <si>
    <t>фурн: замок Standard (ключ) лівий + 3 завіси + вент.підріз</t>
  </si>
  <si>
    <t>Stand кл Пр +3завіс.ВП</t>
  </si>
  <si>
    <t>40R</t>
  </si>
  <si>
    <t>фурн: замок Standard (ключ) правий + 3 завіси + вент.підріз</t>
  </si>
  <si>
    <t>Stand ст Лів +3завіс.</t>
  </si>
  <si>
    <t>фурн: замок Standard (сантехнічний) лівий + 3 завіси</t>
  </si>
  <si>
    <t>Stand ст Пр +3завіс.</t>
  </si>
  <si>
    <t>41</t>
  </si>
  <si>
    <t>фурн: замок Standard (сантехнічний) правий + 3 завіси</t>
  </si>
  <si>
    <t>Stand ст Лів +3завіс.ВВ</t>
  </si>
  <si>
    <t>фурн: замок Standard (сантехнічний) лівий + 3 завіси + вент.відд</t>
  </si>
  <si>
    <t>Stand ст Пр +3завіс.ВП</t>
  </si>
  <si>
    <t>Stand ст Пр +3завіс.ВВ</t>
  </si>
  <si>
    <t>фурн: замок Standard (сантехнічний) правий + 3 завіси + вент.відд</t>
  </si>
  <si>
    <t>41V</t>
  </si>
  <si>
    <t>Stand ст Лів +3завіс.ВП</t>
  </si>
  <si>
    <t>фурн: замок Standard (сантехнічний) лівий + 3 завіси + вент.підріз</t>
  </si>
  <si>
    <t>41R</t>
  </si>
  <si>
    <t>фурн: замок Standard (сантехнічний) правий + 3 завіси + вент.підріз</t>
  </si>
  <si>
    <t>Stand цл Лів +2завіс.Ліва</t>
  </si>
  <si>
    <t>Stand цл Пр +2завіс.Права</t>
  </si>
  <si>
    <t>Stand кл Лів +2завіс.Ліва</t>
  </si>
  <si>
    <t>Stand кл Пр +2завіс.Права</t>
  </si>
  <si>
    <t>Stand ст Лів +2завіс.Ліва</t>
  </si>
  <si>
    <t>Stand ст Пр +2завіс.Права</t>
  </si>
  <si>
    <t>Stand цл Лів +3завіс.Ліва</t>
  </si>
  <si>
    <t>Stand цл Пр +3завіс.Права</t>
  </si>
  <si>
    <t>Stand кл Лів +3завіс.Ліва</t>
  </si>
  <si>
    <t>Stand кл Пр +3завіс.Права</t>
  </si>
  <si>
    <t>Stand ст Лів +3завіс.Ліва</t>
  </si>
  <si>
    <t>Stand ст Пр +3завіс.Права</t>
  </si>
  <si>
    <t>Stand цл Лів +2завіс</t>
  </si>
  <si>
    <t>Stand цл Пр +2завіс</t>
  </si>
  <si>
    <t>Stand кл Лів +2завіс</t>
  </si>
  <si>
    <t>Stand кл Пр +2завіс</t>
  </si>
  <si>
    <t>Stand ст Лів +2завіс</t>
  </si>
  <si>
    <t>Stand ст Пр +2завіс</t>
  </si>
  <si>
    <t>Stand цл Лів +3завіс</t>
  </si>
  <si>
    <t>Stand цл Пр +3завіс</t>
  </si>
  <si>
    <t>Stand кл Лів +3завіс</t>
  </si>
  <si>
    <t>Stand кл Пр +3завіс</t>
  </si>
  <si>
    <t>Stand ст Лів +3завіс</t>
  </si>
  <si>
    <t>Stand ст Пр +3завіс</t>
  </si>
  <si>
    <t>ДП СТАНДАРТ.Stand цл Лів +2завіс</t>
  </si>
  <si>
    <t>ДП СТАНДАРТ.Stand цл Пр +2завіс</t>
  </si>
  <si>
    <t>ДП СТАНДАРТ.Stand кл Лів +2завіс</t>
  </si>
  <si>
    <t>ДП СТАНДАРТ.Stand кл Пр +2завіс</t>
  </si>
  <si>
    <t>ДП СТАНДАРТ.Stand ст Лів +2завіс</t>
  </si>
  <si>
    <t>ДП СТАНДАРТ.Stand ст Пр +2завіс</t>
  </si>
  <si>
    <t>ДП КУПАВА.Stand цл Лів +2завіс</t>
  </si>
  <si>
    <t>ДП КУПАВА.Stand цл Пр +2завіс</t>
  </si>
  <si>
    <t>ДП КУПАВА.Stand кл Лів +2завіс</t>
  </si>
  <si>
    <t>ДП КУПАВА.Stand кл Пр +2завіс</t>
  </si>
  <si>
    <t>ДП КУПАВА.Stand ст Лів +2завіс</t>
  </si>
  <si>
    <t>ДП КУПАВА.Stand ст Пр +2завіс</t>
  </si>
  <si>
    <t>ДП СТАНДАРТ.Stand цл Лів +3завіс</t>
  </si>
  <si>
    <t>ДП СТАНДАРТ.Stand цл Пр +3завіс</t>
  </si>
  <si>
    <t>ДП СТАНДАРТ.Stand кл Лів +3завіс</t>
  </si>
  <si>
    <t>ДП СТАНДАРТ.Stand кл Пр +3завіс</t>
  </si>
  <si>
    <t>ДП СТАНДАРТ.Stand ст Лів +3завіс</t>
  </si>
  <si>
    <t>ДП СТАНДАРТ.Stand ст Пр +3завіс</t>
  </si>
  <si>
    <t>ДП КУПАВА.Stand цл Лів +3завіс</t>
  </si>
  <si>
    <t>ДП КУПАВА.Stand кл Лів +3завіс</t>
  </si>
  <si>
    <t>ДП КУПАВА.Stand ст Лів +3завіс</t>
  </si>
  <si>
    <t>ДП КУПАВА.Stand цл Пр +3завіс</t>
  </si>
  <si>
    <t>ДП КУПАВА.Stand кл Пр +3завіс</t>
  </si>
  <si>
    <t>ДП КУПАВА.Stand ст Пр +3завіс</t>
  </si>
  <si>
    <t>ДП Геометрія.Stand цл Лів +2завіс</t>
  </si>
  <si>
    <t>ДП Геометрія.Stand цл Пр +2завіс</t>
  </si>
  <si>
    <t>ДП Геометрія.Stand кл Лів +2завіс</t>
  </si>
  <si>
    <t>ДП Геометрія.Stand кл Пр +2завіс</t>
  </si>
  <si>
    <t>ДП Геометрія.Stand ст Лів +2завіс</t>
  </si>
  <si>
    <t>ДП Геометрія.Stand ст Пр +2завіс</t>
  </si>
  <si>
    <t>ДП Геометрія.Stand цл Лів +3завіс</t>
  </si>
  <si>
    <t>ДП Геометрія.Stand цл Пр +3завіс</t>
  </si>
  <si>
    <t>ДП Геометрія.Stand кл Лів +3завіс</t>
  </si>
  <si>
    <t>ДП Геометрія.Stand кл Пр +3завіс</t>
  </si>
  <si>
    <t>ДП Геометрія.Stand ст Лів +3завіс</t>
  </si>
  <si>
    <t>ДП Геометрія.Stand ст Пр +3завіс</t>
  </si>
  <si>
    <t>ДП Ідея.Stand цл Лів +2завіс</t>
  </si>
  <si>
    <t>ДП Ідея.Stand цл Пр +2завіс</t>
  </si>
  <si>
    <t>ДП Ідея.Stand кл Лів +2завіс</t>
  </si>
  <si>
    <t>ДП Ідея.Stand кл Пр +2завіс</t>
  </si>
  <si>
    <t>ДП Ідея.Stand ст Лів +2завіс</t>
  </si>
  <si>
    <t>ДП Ідея.Stand ст Пр +2завіс</t>
  </si>
  <si>
    <t>ДП Ідея.Stand цл Лів +3завіс</t>
  </si>
  <si>
    <t>ДП Ідея.Stand цл Пр +3завіс</t>
  </si>
  <si>
    <t>ДП Ідея.Stand кл Лів +3завіс</t>
  </si>
  <si>
    <t>ДП Ідея.Stand кл Пр +3завіс</t>
  </si>
  <si>
    <t>ДП Ідея.Stand ст Лів +3завіс</t>
  </si>
  <si>
    <t>ДП Ідея.Stand ст Пр +3завіс</t>
  </si>
  <si>
    <t>ДП Ідея-ЛОФТ.Stand цл Лів +2завіс</t>
  </si>
  <si>
    <t>ДП Ідея-ЛОФТ.Stand цл Пр +2завіс</t>
  </si>
  <si>
    <t>ДП Ідея-ЛОФТ.Stand кл Лів +2завіс</t>
  </si>
  <si>
    <t>ДП Ідея-ЛОФТ.Stand кл Пр +2завіс</t>
  </si>
  <si>
    <t>ДП Ідея-ЛОФТ.Stand ст Лів +2завіс</t>
  </si>
  <si>
    <t>ДП Ідея-ЛОФТ.Stand ст Пр +2завіс</t>
  </si>
  <si>
    <t>ДП Ідея-ЛОФТ.Stand цл Лів +3завіс</t>
  </si>
  <si>
    <t>ДП Ідея-ЛОФТ.Stand цл Пр +3завіс</t>
  </si>
  <si>
    <t>ДП Ідея-ЛОФТ.Stand кл Лів +3завіс</t>
  </si>
  <si>
    <t>ДП Ідея-ЛОФТ.Stand кл Пр +3завіс</t>
  </si>
  <si>
    <t>ДП Ідея-ЛОФТ.Stand ст Лів +3завіс</t>
  </si>
  <si>
    <t>ДП Ідея-ЛОФТ.Stand ст Пр +3завіс</t>
  </si>
  <si>
    <t>ДП ЛАДА A.Stand цл Лів +3завіс</t>
  </si>
  <si>
    <t>ДП ЛАДА A.Stand кл Лів +3завіс</t>
  </si>
  <si>
    <t>ДП ЛАДА A.Stand ст Лів +3завіс</t>
  </si>
  <si>
    <t>ДП ЛАДА A.Stand цл Пр +3завіс</t>
  </si>
  <si>
    <t>ДП ЛАДА A.Stand кл Пр +3завіс</t>
  </si>
  <si>
    <t>ДП ЛАДА A.Stand ст Пр +3завіс</t>
  </si>
  <si>
    <t>ДП ЛАДА B.Stand цл Лів +3завіс</t>
  </si>
  <si>
    <t>ДП ЛАДА B.Stand цл Пр +3завіс</t>
  </si>
  <si>
    <t>ДП ЛАДА B.Stand кл Лів +3завіс</t>
  </si>
  <si>
    <t>ДП ЛАДА B.Stand ст Лів +3завіс</t>
  </si>
  <si>
    <t>ДП ЛАДА B.Stand кл Пр +3завіс</t>
  </si>
  <si>
    <t>ДП ЛАДА B.Stand ст Пр +3завіс</t>
  </si>
  <si>
    <t>ДП ЛАДА C.Stand цл Лів +3завіс</t>
  </si>
  <si>
    <t>ДП ЛАДА C.Stand цл Пр +3завіс</t>
  </si>
  <si>
    <t>ДП ЛАДА C.Stand кл Лів +3завіс</t>
  </si>
  <si>
    <t>ДП ЛАДА C.Stand кл Пр +3завіс</t>
  </si>
  <si>
    <t>ДП ЛАДА C.Stand ст Лів +3завіс</t>
  </si>
  <si>
    <t>ДП ЛАДА C.Stand ст Пр +3завіс</t>
  </si>
  <si>
    <t>ДП ЛАДА D.Stand цл Лів +3завіс</t>
  </si>
  <si>
    <t>ДП ЛАДА D.Stand цл Пр +3завіс</t>
  </si>
  <si>
    <t>ДП ЛАДА D.Stand кл Лів +3завіс</t>
  </si>
  <si>
    <t>ДП ЛАДА D.Stand кл Пр +3завіс</t>
  </si>
  <si>
    <t>ДП ЛАДА D.Stand ст Лів +3завіс</t>
  </si>
  <si>
    <t>ДП ЛАДА D.Stand ст Пр +3завіс</t>
  </si>
  <si>
    <t>ДП Ніка.Stand цл Лів +3завіс</t>
  </si>
  <si>
    <t>ДП Ніка.Stand цл Пр +3завіс</t>
  </si>
  <si>
    <t>ДП Ніка.Stand кл Лів +3завіс</t>
  </si>
  <si>
    <t>ДП Ніка.Stand кл Пр +3завіс</t>
  </si>
  <si>
    <t>ДП Ніка.Stand ст Лів +3завіс</t>
  </si>
  <si>
    <t>ДП Ніка.Stand ст Пр +3завіс</t>
  </si>
  <si>
    <t>ДП Ліса.Stand цл Лів +3завіс</t>
  </si>
  <si>
    <t>ДП Ліса.Stand цл Пр +3завіс</t>
  </si>
  <si>
    <t>ДП Ліса.Stand кл Лів +3завіс</t>
  </si>
  <si>
    <t>ДП Ліса.Stand кл Пр +3завіс</t>
  </si>
  <si>
    <t>ДП Ліса.Stand ст Лів +3завіс</t>
  </si>
  <si>
    <t>ДП Ліса.Stand ст Пр +3завіс</t>
  </si>
  <si>
    <t>ДП ЛАДА-КОНЦЕПТ.Stand цл Лів +3завіс</t>
  </si>
  <si>
    <t>ДП ЛАДА-КОНЦЕПТ.Stand цл Пр +3завіс</t>
  </si>
  <si>
    <t>ДП ЛАДА-КОНЦЕПТ.Stand кл Лів +3завіс</t>
  </si>
  <si>
    <t>ДП ЛАДА-КОНЦЕПТ.Stand кл Пр +3завіс</t>
  </si>
  <si>
    <t>ДП ЛАДА-КОНЦЕПТ.Stand ст Лів +3завіс</t>
  </si>
  <si>
    <t>ДП ЛАДА-КОНЦЕПТ.Stand ст Пр +3завіс</t>
  </si>
  <si>
    <t>ДП ЛАДА-НОВА.Stand цл Лів +3завіс</t>
  </si>
  <si>
    <t>ДП ЛАДА-НОВА.Stand цл Пр +3завіс</t>
  </si>
  <si>
    <t>ДП ЛАДА-НОВА.Stand кл Лів +3завіс</t>
  </si>
  <si>
    <t>ДП ЛАДА-НОВА.Stand кл Пр +3завіс</t>
  </si>
  <si>
    <t>ДП ЛАДА-НОВА.Stand ст Лів +3завіс</t>
  </si>
  <si>
    <t>ДП ЛАДА-НОВА.Stand ст Пр +3завіс</t>
  </si>
  <si>
    <t>ДП Міра.Stand цл Лів +3завіс</t>
  </si>
  <si>
    <t>ДП Міра.Stand цл Пр +3завіс</t>
  </si>
  <si>
    <t>ДП Міра.Stand кл Лів +3завіс</t>
  </si>
  <si>
    <t>ДП Міра.Stand кл Пр +3завіс</t>
  </si>
  <si>
    <t>ДП Міра.Stand ст Лів +3завіс</t>
  </si>
  <si>
    <t>ДП Міра.Stand ст Пр +3завіс</t>
  </si>
  <si>
    <t>ДП ЛАДА-ЛОФТ.Stand цл Лів +3завіс</t>
  </si>
  <si>
    <t>ДП ЛАДА-ЛОФТ.Stand цл Пр +3завіс</t>
  </si>
  <si>
    <t>ДП ЛАДА-ЛОФТ.Stand кл Лів +3завіс</t>
  </si>
  <si>
    <t>ДП ЛАДА-ЛОФТ.Stand кл Пр +3завіс</t>
  </si>
  <si>
    <t>ДП ЛАДА-ЛОФТ.Stand ст Лів +3завіс</t>
  </si>
  <si>
    <t>ДП ЛАДА-ЛОФТ.Stand ст Пр +3завіс</t>
  </si>
  <si>
    <t>ДП Лінда.Stand цл Пр +3завіс</t>
  </si>
  <si>
    <t>ДП Лінда.Stand цл Лів +3завіс</t>
  </si>
  <si>
    <t>ДП Лінда.Stand кл Лів +3завіс</t>
  </si>
  <si>
    <t>ДП Лінда.Stand кл Пр +3завіс</t>
  </si>
  <si>
    <t>ДП Лінда.Stand ст Лів +3завіс</t>
  </si>
  <si>
    <t>ДП Лінда.Stand ст Пр +3завіс</t>
  </si>
  <si>
    <t>ДП Тіана.Stand цл Лів +3завіс</t>
  </si>
  <si>
    <t>ДП Тіана.Stand цл Пр +3завіс</t>
  </si>
  <si>
    <t>ДП Тіана.Stand кл Лів +3завіс</t>
  </si>
  <si>
    <t>ДП Тіана.Stand кл Пр +3завіс</t>
  </si>
  <si>
    <t>ДП Тіана.Stand ст Лів +3завіс</t>
  </si>
  <si>
    <t>ДП Тіана.Stand ст Пр +3завіс</t>
  </si>
  <si>
    <t>ДП Єва.Stand цл Лів +3завіс</t>
  </si>
  <si>
    <t>ДП Єва.Stand цл Пр +3завіс</t>
  </si>
  <si>
    <t>ДП Єва.Stand кл Лів +3завіс</t>
  </si>
  <si>
    <t>ДП Єва.Stand кл Пр +3завіс</t>
  </si>
  <si>
    <t>ДП Єва.Stand ст Лів +3завіс</t>
  </si>
  <si>
    <t>ДП Єва.Stand ст Пр +3завіс</t>
  </si>
  <si>
    <t>ДП ТРЕНД.Stand цл Лів +3завіс</t>
  </si>
  <si>
    <t>ДП ТРЕНД.Stand цл Пр +3завіс</t>
  </si>
  <si>
    <t>ДП ТРЕНД.Stand кл Лів +3завіс</t>
  </si>
  <si>
    <t>ДП ТРЕНД.Stand кл Пр +3завіс</t>
  </si>
  <si>
    <t>ДП ТРЕНД.Stand ст Лів +3завіс</t>
  </si>
  <si>
    <t>ДП ТРЕНД.Stand ст Пр +3завіс</t>
  </si>
  <si>
    <t>ДП МОДЕРН.Stand цл Лів +3завіс</t>
  </si>
  <si>
    <t>ДП МОДЕРН.Stand цл Пр +3завіс</t>
  </si>
  <si>
    <t>ДП МОДЕРН.Stand кл Лів +3завіс</t>
  </si>
  <si>
    <t>ДП МОДЕРН.Stand кл Пр +3завіс</t>
  </si>
  <si>
    <t>ДП МОДЕРН.Stand ст Лів +3завіс</t>
  </si>
  <si>
    <t>ДП МОДЕРН.Stand ст Пр +3завіс</t>
  </si>
  <si>
    <t>ДП ПОЛЛО.Stand цл Лів +3завіс</t>
  </si>
  <si>
    <t>ДП ПОЛЛО.Stand цл Пр +3завіс</t>
  </si>
  <si>
    <t>ДП ПОЛЛО.Stand кл Лів +3завіс</t>
  </si>
  <si>
    <t>ДП ПОЛЛО.Stand кл Пр +3завіс</t>
  </si>
  <si>
    <t>ДП ПОЛЛО.Stand ст Лів +3завіс</t>
  </si>
  <si>
    <t>ДП ПОЛЛО.Stand ст Пр +3завіс</t>
  </si>
  <si>
    <t>ДП Лінея.Stand цл Лів +3завіс</t>
  </si>
  <si>
    <t>ДП Лінея.Stand цл Пр +3завіс</t>
  </si>
  <si>
    <t>ДП Лінея.Stand кл Лів +3завіс</t>
  </si>
  <si>
    <t>ДП Лінея.Stand кл Пр +3завіс</t>
  </si>
  <si>
    <t>ДП Лінея.Stand ст Лів +3завіс</t>
  </si>
  <si>
    <t>ДП Лінея.Stand ст Пр +3завіс</t>
  </si>
  <si>
    <t>ДП ЛАЙН.Stand цл Лів +3завіс</t>
  </si>
  <si>
    <t>ДП ЛАЙН.Stand цл Пр +3завіс</t>
  </si>
  <si>
    <t>ДП ЛАЙН.Stand кл Лів +3завіс</t>
  </si>
  <si>
    <t>ДП ЛАЙН.Stand кл Пр +3завіс</t>
  </si>
  <si>
    <t>ДП ЛАЙН.Stand ст Лів +3завіс</t>
  </si>
  <si>
    <t>ДП ЛАЙН.Stand ст Пр +3завіс</t>
  </si>
  <si>
    <t>ДП Елегант.Stand цл Лів +3завіс</t>
  </si>
  <si>
    <t>ДП Елегант.Stand цл Пр +3завіс</t>
  </si>
  <si>
    <t>ДП Елегант.Stand кл Лів +3завіс</t>
  </si>
  <si>
    <t>ДП Елегант.Stand кл Пр +3завіс</t>
  </si>
  <si>
    <t>ДП Елегант.Stand ст Лів +3завіс</t>
  </si>
  <si>
    <t>ДП Елегант.Stand ст Пр +3завіс</t>
  </si>
  <si>
    <t>Лиштва пряма 60мм</t>
  </si>
  <si>
    <t>Лиштва пряма 80мм</t>
  </si>
  <si>
    <t>Лиштва пряма 60мм.100</t>
  </si>
  <si>
    <t>Лиштва пряма 60мм.200</t>
  </si>
  <si>
    <t>Лиштва пряма 80мм.100</t>
  </si>
  <si>
    <t>Лиштва пряма 80мм.200</t>
  </si>
  <si>
    <t>Лиштва пряма 60мм.Сімплекс.1-стулк,</t>
  </si>
  <si>
    <t>Лиштва пряма 60мм.Сімплекс.2-стулк,</t>
  </si>
  <si>
    <t>Лиштва пряма 60мм.Verto-Cell.1-стулк,</t>
  </si>
  <si>
    <t>Лиштва пряма 60мм.Verto-Cell.2-стулк,</t>
  </si>
  <si>
    <t>Лиштва пряма 60мм.Verto-Cell Plus.1-стулк,</t>
  </si>
  <si>
    <t>Лиштва пряма 60мм.Verto-Cell Plus.2-стулк,</t>
  </si>
  <si>
    <t>Лиштва пряма 60мм.Uni-Mat.1-стулк,</t>
  </si>
  <si>
    <t>Лиштва пряма 60мм.Uni-Mat.2-стулк,</t>
  </si>
  <si>
    <t>Лиштва пряма 60мм.Резист.1-стулк,</t>
  </si>
  <si>
    <t>Лиштва пряма 60мм.Резист.2-стулк,</t>
  </si>
  <si>
    <t>Лиштва пряма 60мм.LINE-3D.1-стулк,</t>
  </si>
  <si>
    <t>Лиштва пряма 60мм.LINE-3D.2-стулк,</t>
  </si>
  <si>
    <t>Лиштва пряма 60мм.Е-шпон.1-стулк,</t>
  </si>
  <si>
    <t>Лиштва пряма 60мм.Е-шпон.2-стулк,</t>
  </si>
  <si>
    <t>Лиштва пряма 60мм.Лофт.1-стулк,</t>
  </si>
  <si>
    <t>Лиштва пряма 60мм.Лофт.2-стулк,</t>
  </si>
  <si>
    <t>Лиштва пряма 80мм.Сімплекс.1-стулк,</t>
  </si>
  <si>
    <t>Лиштва пряма 80мм.Сімплекс.2-стулк,</t>
  </si>
  <si>
    <t>Лиштва пряма 80мм.Verto-Cell.1-стулк,</t>
  </si>
  <si>
    <t>Лиштва пряма 80мм.Verto-Cell.2-стулк,</t>
  </si>
  <si>
    <t>Лиштва пряма 80мм.Verto-Cell Plus.1-стулк,</t>
  </si>
  <si>
    <t>Лиштва пряма 80мм.Verto-Cell Plus.2-стулк,</t>
  </si>
  <si>
    <t>Лиштва пряма 80мм.Uni-Mat.1-стулк,</t>
  </si>
  <si>
    <t>Лиштва пряма 80мм.Uni-Mat.2-стулк,</t>
  </si>
  <si>
    <t>Лиштва пряма 80мм.Резист.1-стулк,</t>
  </si>
  <si>
    <t>Лиштва пряма 80мм.Резист.2-стулк,</t>
  </si>
  <si>
    <t>Лиштва пряма 80мм.LINE-3D.1-стулк,</t>
  </si>
  <si>
    <t>Лиштва пряма 80мм.LINE-3D.2-стулк,</t>
  </si>
  <si>
    <t>Лиштва пряма 80мм.Е-шпон.1-стулк,</t>
  </si>
  <si>
    <t>Лиштва пряма 80мм.Е-шпон.2-стулк,</t>
  </si>
  <si>
    <t>Лиштва пряма 80мм.Лофт.1-стулк,</t>
  </si>
  <si>
    <t>Лиштва пряма 80мм.Лофт.2-стулк,</t>
  </si>
  <si>
    <t>Лиштва пряма 60мм.Сімплекс</t>
  </si>
  <si>
    <t>Лиштва пряма 60мм.Verto-Cell</t>
  </si>
  <si>
    <t>Лиштва пряма 60мм.Verto-Cell Plus</t>
  </si>
  <si>
    <t>Лиштва пряма 60мм.Uni-Mat</t>
  </si>
  <si>
    <t>Лиштва пряма 60мм.Резист</t>
  </si>
  <si>
    <t>Лиштва пряма 60мм.LINE-3D</t>
  </si>
  <si>
    <t>Лиштва пряма 60мм.Е-шпон</t>
  </si>
  <si>
    <t>Лиштва пряма 60мм.Лофт</t>
  </si>
  <si>
    <t>Лиштва пряма 80мм.Сімплекс</t>
  </si>
  <si>
    <t>Лиштва пряма 80мм.Verto-Cell</t>
  </si>
  <si>
    <t>Лиштва пряма 80мм.Verto-Cell Plus</t>
  </si>
  <si>
    <t>Лиштва пряма 80мм.Uni-Mat</t>
  </si>
  <si>
    <t>Лиштва пряма 80мм.Резист</t>
  </si>
  <si>
    <t>Лиштва пряма 80мм.LINE-3D</t>
  </si>
  <si>
    <t>Лиштва пряма 80мм.Е-шпон</t>
  </si>
  <si>
    <t>Лиштва пряма 80мм.Лофт</t>
  </si>
  <si>
    <t>2 завіси + замок Standard (циліндр) лівий</t>
  </si>
  <si>
    <t>2 завіси + замок Standard (ключ) лівий</t>
  </si>
  <si>
    <t>2 завіси + замок Standard (сантехнічний) лівий</t>
  </si>
  <si>
    <t>2 завіси + замок Standard (циліндр) правий</t>
  </si>
  <si>
    <t>3 завіси + замок Standard (циліндр) правий</t>
  </si>
  <si>
    <t>2 завіси + замок Standard (під ключ) правий</t>
  </si>
  <si>
    <t>2 завіси + замок Standard (сантехнічний) правий</t>
  </si>
  <si>
    <t>3 завіси + замок Standard (циліндр) лівий</t>
  </si>
  <si>
    <t>3 завіси + замок Standard (ключ) лівий</t>
  </si>
  <si>
    <t>3 завіси + замок Standard (сантехнічний) лівий</t>
  </si>
  <si>
    <t>3 завіси + замок Standard (ключ) правий</t>
  </si>
  <si>
    <t>3 завіси + замок Standard (сантехнічний) правий</t>
  </si>
  <si>
    <t>2 завіси + замок Glass (сантехнічний) внутрішній правий</t>
  </si>
  <si>
    <t>2 завіси + замок Glass (сантехнічний) внутрішній лівий</t>
  </si>
  <si>
    <t>2 завіси + замок Glass (сантехнічний) зовнішній правий</t>
  </si>
  <si>
    <t>2 завіси + замок Glass (сантехнічний) зовнішній лівий</t>
  </si>
  <si>
    <t xml:space="preserve"> - Ліва навіска полотна (завіси з Лівої сторони при відкритті на себе)</t>
  </si>
  <si>
    <t>з фальцем, робоче полотно (фальц з 2х сторін)</t>
  </si>
  <si>
    <t>4 завіси (2 на кожній стойовій) + ущільнювач</t>
  </si>
  <si>
    <t>6 завіс (3 на кожній стойовій) + ущільнювач</t>
  </si>
  <si>
    <t>номер кольору, згідно каталогу продукціі (див. Розділ Аксесуари - Покриття)</t>
  </si>
  <si>
    <t>Регулювальна планка: 80мм (МДФ) до Дверної Коробки Verto-FIT Comfort</t>
  </si>
  <si>
    <t>Регулювальна планка: 160мм (МДФ) до Дверної Коробки Verto-FIT Comfort</t>
  </si>
  <si>
    <t>Поріг 80мм (дерево) покриття: лак</t>
  </si>
  <si>
    <t>2 завіси + замок Glass (універсальний)</t>
  </si>
  <si>
    <t>Триплекс матовий</t>
  </si>
  <si>
    <t>Малюнок (матовий або прозорий) на склі</t>
  </si>
  <si>
    <t>Триплекс чорний</t>
  </si>
  <si>
    <t>Сотове заповнення або соснова склейка (для збірних полотен)</t>
  </si>
  <si>
    <t>полотно шириною "40" (розмір мм: 2040*426, крім Гласфорд)</t>
  </si>
  <si>
    <t>полотно шириною "60" (розмір мм: 2040*626, крім Гласфорд)</t>
  </si>
  <si>
    <t>полотно шириною "70" (розмір мм: 2040*726, крім Гласфорд)</t>
  </si>
  <si>
    <t>полотно шириною "80" (розмір мм: 2040*826, крім Гласфорд)</t>
  </si>
  <si>
    <t>полотно шириною "90" (розмір мм: 2040*926, крім Гласфорд)</t>
  </si>
  <si>
    <t>полотно шириною "100" (розмір мм: 2040*1026, крім Гласфорд)</t>
  </si>
  <si>
    <t xml:space="preserve"> - Навіска не визначена або може бути будь-яка (для виробів без фурнітури, 2-стулкових коробок та розсувних систем Verto-SLIDE)</t>
  </si>
  <si>
    <t>ширина "120" для двостулкових полотен, різної комбінації (80+40, 60+60  тощо)</t>
  </si>
  <si>
    <t>ширина "140" для двостулкових полотен, різної комбінації (100+40, 70+70 тощо)</t>
  </si>
  <si>
    <t>ширина "130" для двостулкових полотен, різної комбінації (90+40, 70+60 тощо)</t>
  </si>
  <si>
    <t>ширина "150" для двостулкових полотен, різної комбінації (70+80, 60+90 тощо)</t>
  </si>
  <si>
    <t>1-стулкові позиції (коробки та розс.системи)</t>
  </si>
  <si>
    <t>ширина "160" для двостулкових полотен, різної комбінації (100+60, 80+80 тощо)</t>
  </si>
  <si>
    <t>ширина "170" для двостулкових полотен, різної комбінації (100+70, 90+80 тощо.)</t>
  </si>
  <si>
    <t>ширина "180" для двостулкових полотен, різної комбінації (100+80, 90+90 тощо)</t>
  </si>
  <si>
    <t>вказується зовнішній розмір фрамуги в мм (ширина-висота), наприклад: 245-665 - ширина фрамуги 245мм, висота фрамуги 665мм.</t>
  </si>
  <si>
    <t>2-стулкова, для коробки, розміром 20-(10)</t>
  </si>
  <si>
    <t>2-стулкова, для коробки, розміром 20-(11)</t>
  </si>
  <si>
    <t>2-стулкова, для коробки, розміром 20-(12)</t>
  </si>
  <si>
    <t>2-стулкова, для коробки, розміром 20-(13)</t>
  </si>
  <si>
    <t>2-стулкова, для коробки, розміром 20-(14)</t>
  </si>
  <si>
    <t>2-стулкова, для коробки, розміром 20-(15)</t>
  </si>
  <si>
    <t>2-стулкова, для коробки, розміром 20-(16)</t>
  </si>
  <si>
    <t>2-стулкова, для коробки, розміром 20-(17)</t>
  </si>
  <si>
    <t>2-стулкова, для коробки, розміром 20-(18)</t>
  </si>
  <si>
    <t>Добірна планка: 60 мм (МДФ)</t>
  </si>
  <si>
    <t>Добірна планка: 110 мм (МДФ)</t>
  </si>
  <si>
    <t>Добірна планка: 200 мм (МДФ)</t>
  </si>
  <si>
    <t>Накладка на завіси (біл.мат)</t>
  </si>
  <si>
    <t>Лакобель</t>
  </si>
  <si>
    <t>Лк</t>
  </si>
  <si>
    <t>скло: Лакобель</t>
  </si>
  <si>
    <t>ДП ЛАДА B.1/0.Лакобель</t>
  </si>
  <si>
    <t>ДП ЛАДА B.2/0.Лакобель</t>
  </si>
  <si>
    <t>ДП ЛАДА B.3/0.Лакобель</t>
  </si>
  <si>
    <t>ДП ЛАДА D.7/0.Лакобель</t>
  </si>
  <si>
    <t>ДП ЛАДА-ЛОФТ.4/0.Лакобель</t>
  </si>
  <si>
    <t>ДП ЛАДА-ЛОФТ.5/0.Лакобель</t>
  </si>
  <si>
    <t>ДП ЛАДА-ЛОФТ.6/0.Лакобель</t>
  </si>
  <si>
    <t>ДП Тіана.1/0.Лакобель</t>
  </si>
  <si>
    <t>ДП Єва.2/0.Лакобель</t>
  </si>
  <si>
    <t>ДП Добір-ЛАДА.Л1/1.Лакобель</t>
  </si>
  <si>
    <t>ДП Добір-ЛАДА.Л3/1.Лакобель</t>
  </si>
  <si>
    <t>ДП Добір-ЛАДА.Л3/2.Лакобель</t>
  </si>
  <si>
    <t>ДП Добір-ЛАДА.Л4/1.Лакобель</t>
  </si>
  <si>
    <t>ДП Добір-ЛАДА.Л5/1.Лакобель</t>
  </si>
  <si>
    <t>ДП Добір-ЛАДА.Л6/1.Лакобель</t>
  </si>
  <si>
    <t>ДП Міра.1/1.Лакобель</t>
  </si>
  <si>
    <t>ДП Міра.1/2.Лакобель</t>
  </si>
  <si>
    <t>ДП Міра.1/3.Лакобель</t>
  </si>
  <si>
    <t>ДП Міра.1/4.Лакобель</t>
  </si>
  <si>
    <t>ДП Міра.1/5.Лакобель</t>
  </si>
  <si>
    <t>ДП Міра.1/6.Лакобель</t>
  </si>
  <si>
    <t>ДП Міра.2/1.Лакобель</t>
  </si>
  <si>
    <t>ДП Міра.2/2.Лакобель</t>
  </si>
  <si>
    <t>ДП Міра.2/3.Лакобель</t>
  </si>
  <si>
    <t>ДП ЛАДА-КОНЦЕПТ.2/0.Лакобель</t>
  </si>
  <si>
    <t>ДП ЛАДА-КОНЦЕПТ.3/0.Лакобель</t>
  </si>
  <si>
    <t>ДП ЛАДА-КОНЦЕПТ.4/0.Лакобель</t>
  </si>
  <si>
    <t>ДП Ліса.2/0.Лакобель</t>
  </si>
  <si>
    <t>ДП Ніка.1/1.Лакобель</t>
  </si>
  <si>
    <t>ДП Ніка.1/2.Лакобель</t>
  </si>
  <si>
    <t>ДП Ніка.1/3.Лакобель</t>
  </si>
  <si>
    <t>ДП Ніка.1/4.Лакобель</t>
  </si>
  <si>
    <t>ДП Ніка.1/5.Лакобель</t>
  </si>
  <si>
    <t>ДП Ніка.1/6.Лакобель</t>
  </si>
  <si>
    <t>ДП Ніка.1/7.Лакобель</t>
  </si>
  <si>
    <t>ДП Ніка.1/8.Лакобель</t>
  </si>
  <si>
    <t>ДП Ніка.2/1.Лакобель</t>
  </si>
  <si>
    <t>ДП Ніка.2/2.Лакобель</t>
  </si>
  <si>
    <t>ДП Ніка.2/3.Лакобель</t>
  </si>
  <si>
    <t>ДП Ніка.2/4.Лакобель</t>
  </si>
  <si>
    <t>Magnet ст (чор.) +2завіс.</t>
  </si>
  <si>
    <t>Magnet цл (чор.) +2завіс.</t>
  </si>
  <si>
    <t>12V</t>
  </si>
  <si>
    <t>13V</t>
  </si>
  <si>
    <t>Magnet цл (чор.) +2завіс.ВВ</t>
  </si>
  <si>
    <t>Magnet ст (чор.) +2завіс.ВВ</t>
  </si>
  <si>
    <t>фурн: замок Magnet (циліндр) (чорний) + 2 завіси + вент.відд</t>
  </si>
  <si>
    <t>фурн: замок Magnet (циліндр) (чорний) + 2 завіси</t>
  </si>
  <si>
    <t>фурн: замок Magnet (сантехнічний) (чорний) + 2 завіси</t>
  </si>
  <si>
    <t>фурн: замок Magnet (циліндр) (чорний)+ 2 завіси + вент.підріз</t>
  </si>
  <si>
    <t>фурн: замок Magnet (сантехнічний) (чорний) + 2 завіси + вент.підріз</t>
  </si>
  <si>
    <t>Magnet цл (чор.) +2завіс.ВП</t>
  </si>
  <si>
    <t>Magnet ст (чор.) +2завіс.ВП</t>
  </si>
  <si>
    <t>Magnet цл (чор.) +3завіс.</t>
  </si>
  <si>
    <t>Magnet ст (чор.) +3завіс.</t>
  </si>
  <si>
    <t>фурн: замок Magnet (циліндр) (чорний) + 3 завіси</t>
  </si>
  <si>
    <t>фурн: замок Magnet (сантехнічний) (чорний) + 3 завіси</t>
  </si>
  <si>
    <t>Magnet цл (чор.) +3завіс.ВВ</t>
  </si>
  <si>
    <t>Magnet ст (чор.) +3завіс.ВВ</t>
  </si>
  <si>
    <t>фурн: замок Magnet (циліндр) (чорний) + 3 завіси + вент.відд</t>
  </si>
  <si>
    <t>фурн: замок Magnet (сантехнічний) (чорний) + 3 завіси + вент.відд</t>
  </si>
  <si>
    <t>Magnet цл (чор.) +3завіс.ВП</t>
  </si>
  <si>
    <t>Magnet ст (чор.) +3завіс.ВП</t>
  </si>
  <si>
    <t>фурн: замок Magnet (циліндр) (чорний)+ 3 завіси + вент. підріз</t>
  </si>
  <si>
    <t>фурн: замок Magnet (сантехнічний) (чорний) + 3 завіси + вент. підріз</t>
  </si>
  <si>
    <t>Magnet цл (чор.) б/з завіс..</t>
  </si>
  <si>
    <t>Magnet ст (чор.) б/з завіс..</t>
  </si>
  <si>
    <t>фурн: замок Magnet (циліндр) (чорний) без завіс</t>
  </si>
  <si>
    <t>фурн: замок Magnet (сантехнічний) (чорний) без завіс</t>
  </si>
  <si>
    <t>Magnet цл (чор.) б/з завіс..ВВ</t>
  </si>
  <si>
    <t>фурн: замок Magnet (циліндр) (чорний) без завіс + вент.відд</t>
  </si>
  <si>
    <t>Magnet ст (чор.) б/з завіс..ВВ</t>
  </si>
  <si>
    <t>фурн: замок Magnet (сантехнічний) (чорний) без завіс + вент.відд</t>
  </si>
  <si>
    <t>фурн: замок Magnet (циліндр) (чорний) без завіс + отвори під 2 завіси (приховані 3D)(чорні)</t>
  </si>
  <si>
    <t>фурн: замок Magnet (сантехнічний) (чорний) без завіс + отвори під 2 завіси (приховані 3D)(чорні)</t>
  </si>
  <si>
    <t>фурн: замок Magnet (циліндр) (чорний) без завіс + отвори під 3 завіси (приховані 3D)(чорні)</t>
  </si>
  <si>
    <t>фурн: замок Magnet (сантехнічний) (чорний) без завіс + отвори під 3 завіси (приховані 3D)(чорні)</t>
  </si>
  <si>
    <t>Magnet ст (чор.) +2завіс 3D(чор.).ВВ</t>
  </si>
  <si>
    <t>фурн: замок Magnet (циліндр) без завіс + отвори під 2 завіси (приховані 3D)(чорні) + вент.відд</t>
  </si>
  <si>
    <t>фурн: замок Magnet (сантехнічний) без завіс + отвори під 2 завіси (приховані 3D)(чорні) + вент.відд</t>
  </si>
  <si>
    <t>Magnet цл(чор.) +2завіс 3D(чор.). ВВ</t>
  </si>
  <si>
    <t>Magnet ст (чор.)+2завіс 3D(чор.).</t>
  </si>
  <si>
    <t>Magnet цл (чор.) +2завіс 3D(чор.).</t>
  </si>
  <si>
    <t>Magnet цл (чор.) +3завіс 3D(чор.).</t>
  </si>
  <si>
    <t>Magnet ст (чор.) +3завіс 3D(чор.).</t>
  </si>
  <si>
    <t xml:space="preserve">Magnet цл (чор.) +3завіс 3D(чор.).ВВ </t>
  </si>
  <si>
    <t>Magnet ст (чор.) +3завіс 3D(чор.).ВВ</t>
  </si>
  <si>
    <t>фурн: замок Magnet (циліндр)(чорний) без завіс + отвори під 3 завіси (приховані 3D)(чорні) + вент.відд</t>
  </si>
  <si>
    <t>фурн: замок Magnet (сантехнічний)(чорний) без завіс + отвори під 3 завіси (приховані 3D)(чорні) + вент.відд</t>
  </si>
  <si>
    <t>Magnet цл (чор.) б/з завіс..ВП</t>
  </si>
  <si>
    <t>Magnet ст (чор.) б/з завіс..ВП</t>
  </si>
  <si>
    <t>фурн: замок Magnet (циліндр)(чорний) без завіс + вент.підріз</t>
  </si>
  <si>
    <t>фурн: замок Magnet (сантехнічний)(чорний) без завіс + вент.підріз</t>
  </si>
  <si>
    <t>Magnet цл (чор.) +2завіс 3D(чор.).ВП</t>
  </si>
  <si>
    <t>Magnet ст (чор.) +2завіс 3D(чор.).ВП</t>
  </si>
  <si>
    <t>фурн: замок Magnet (циліндр)(чорний) без завіс + отвори під 2 завіси (приховані 3D)(чорні) + вент.підріз</t>
  </si>
  <si>
    <t>фурн: замок Magnet (сантехнічний)(чорний) без завіс + отвори під 2 завіси (приховані 3D)(чорні) + вент.підріз</t>
  </si>
  <si>
    <t>Magnet ст (чор.) +3завіс 3D(чор.).ВП</t>
  </si>
  <si>
    <t>Magnet цл (чор.) +3завіс 3D(чор.).ВП</t>
  </si>
  <si>
    <t>фурн: замок Magnet (циліндр) (чорний)без завіс + отвори під 3 завіси (приховані 3D)(чорні) + вент.підріз</t>
  </si>
  <si>
    <t>фурн: замок Magnet (сантехнічний)(чорний) без завіс + отвори під 3 завіси (приховані 3D)(чорні) + вент.підріз</t>
  </si>
  <si>
    <t>Пл Magnet (чор.) +2завіс.</t>
  </si>
  <si>
    <t>фурн: відп планка замка Magnet (чорна) + 2 завіси + 2 Шпінгалети</t>
  </si>
  <si>
    <t>Пл Magnet (чор.) +2завіс.ВВ</t>
  </si>
  <si>
    <t>фурн: відп планка замка Magnet (чорна) + 2 завіси + 2 Шпінгалети  +вент.відд</t>
  </si>
  <si>
    <t>Пл Magnet (чор.) +2завіс.ВП</t>
  </si>
  <si>
    <t>фурн: відп планка замка Magnet (чорна) + 2 завіси + 2 Шпінгалети  +вент.підріз</t>
  </si>
  <si>
    <t>Пл Magnet (чор.) +3завіс.</t>
  </si>
  <si>
    <t>фурн: відп планка замка Magnet (чорна)  + 3 завіси + 2 Шпінгалети</t>
  </si>
  <si>
    <t>Пл Magnet (чор.) +3завіс.ВВ</t>
  </si>
  <si>
    <t>фурн: відп планка замка Magnet (чорна) + 3 завіси + 2 Шпінгалети  +вент.відд</t>
  </si>
  <si>
    <t>Пл Magnet (чор.) +3завіс.ВП</t>
  </si>
  <si>
    <t>фурн: відп планка замка Magnet (чорна) + 3 завіси + 2 Шпінгалети  +вент.підріз</t>
  </si>
  <si>
    <t>Пл Magnet (чор.) +2завіс</t>
  </si>
  <si>
    <t>фурн: відп планка замка Magnet (чорна) + 2 завіси + ущільнювач</t>
  </si>
  <si>
    <t>Пл Magnet (чор.) +3завіс</t>
  </si>
  <si>
    <t>фурн: відп планка замка Magnet (чорна) + 3 завіси + ущільнювач</t>
  </si>
  <si>
    <t>6 завіс (3+3)</t>
  </si>
  <si>
    <t>Пл Magnet (чор.) б/з завіс.</t>
  </si>
  <si>
    <t>Пл Magnet (чор.) +2завіс 3D (чор.)</t>
  </si>
  <si>
    <t>фурн: відпов планка замка Magnet (чорна) без врізання та встановлення завіс + ущільнювач</t>
  </si>
  <si>
    <t>Пл Magnet (чор.) +3завіс 3D(чор.)</t>
  </si>
  <si>
    <t>фурн: відпов планка замка Magnet (чорна) + 2 завіси приховані 3D (завіси в комплекті)(чорні) + ущільнювач</t>
  </si>
  <si>
    <t>фурн: відпов планка замка Magnet(чорна) + 3 завіси приховані 3D (завіси в комплекті)(чорні) + ущільнювач</t>
  </si>
  <si>
    <t>Magnet цл (чор.) +2завіс.Ліва</t>
  </si>
  <si>
    <t>Magnet цл (чор.) +2завіс.Права</t>
  </si>
  <si>
    <t>Magnet ст (чор.) +2завіс.Ліва</t>
  </si>
  <si>
    <t>Magnet ст (чор.) +2завіс.Права</t>
  </si>
  <si>
    <t>Magnet цл (чор.) +3завіс.Ліва</t>
  </si>
  <si>
    <t>Magnet цл (чор.) +3завіс.Права</t>
  </si>
  <si>
    <t>Magnet ст (чор.) +3завіс.Ліва</t>
  </si>
  <si>
    <t>Magnet ст (чор.) +3завіс.Права</t>
  </si>
  <si>
    <t>Magnet цл (чор.) б/з завіс..Ліва</t>
  </si>
  <si>
    <t>Magnet цл (чор.) б/з завіс..Права</t>
  </si>
  <si>
    <t>Magnet ст (чор.) б/з завіс..Ліва</t>
  </si>
  <si>
    <t>Magnet ст (чор.) б/з завіс..Права</t>
  </si>
  <si>
    <t>Magnet цл (чор.) +2завіс 3D(чор.).Ліва</t>
  </si>
  <si>
    <t>Magnet цл (чор.) +2завіс 3D(чор.).Права</t>
  </si>
  <si>
    <t>Magnet ст (чор.) +2завіс 3D(чор.).Ліва</t>
  </si>
  <si>
    <t>Magnet ст (чор.) +2завіс 3D(чор.).Права</t>
  </si>
  <si>
    <t>Magnet цл (чор.) +3завіс 3D(чор.).Ліва</t>
  </si>
  <si>
    <t>Magnet цл (чор.) +3завіс 3D(чор.).Права</t>
  </si>
  <si>
    <t>Magnet ст (чор.) +3завіс 3D(чор.).Ліва</t>
  </si>
  <si>
    <t>Magnet ст (чор.) +3завіс 3D(чор.).Права</t>
  </si>
  <si>
    <t>Пл Magnet (чор.) +2завіс.Ліва</t>
  </si>
  <si>
    <t>Пл Magnet (чор.) +2завіс.Права</t>
  </si>
  <si>
    <t>Пл Magnet (чор.) +3завіс.Ліва</t>
  </si>
  <si>
    <t>Пл Magnet (чор.) +3завіс.Права</t>
  </si>
  <si>
    <t>6 завіс (3+3).(ні)</t>
  </si>
  <si>
    <t>Пл Magnet (чор.) б/з завіс..Ліва</t>
  </si>
  <si>
    <t>Пл Magnet (чор.) б/з завіс..Права</t>
  </si>
  <si>
    <t>Пл Magnet (чор.) +2завіс 3D(чор.).Ліва</t>
  </si>
  <si>
    <t>Пл Magnet (чор.) +2завіс 3D(чор.).Права</t>
  </si>
  <si>
    <t>Пл Magnet (чор.) +3завіс 3D(чор.).Ліва</t>
  </si>
  <si>
    <t>Пл Magnet (чор.) +3завіс 3D(чор.).Права</t>
  </si>
  <si>
    <t>Magnet цл (чор.) +2завіс</t>
  </si>
  <si>
    <t>Magnet ст (чор.) +2завіс</t>
  </si>
  <si>
    <t>Magnet цл (чор.) +3завіс</t>
  </si>
  <si>
    <t>Magnet ст (чор.) +3завіс</t>
  </si>
  <si>
    <t>Magnet ст (чор.) б/з завіс.</t>
  </si>
  <si>
    <t>Magnet цл (чор.) +2завіс 3D(чор.)</t>
  </si>
  <si>
    <t>Magnet ст (чор.) +2завіс 3D(чор.)</t>
  </si>
  <si>
    <t>Magnet цл (чор.) б/з завіс.</t>
  </si>
  <si>
    <t>Пл Magnet (чор.) +2завіс 3D(чор.)</t>
  </si>
  <si>
    <t>Magnet цл (чор.) +3завіс 3D(чор.)</t>
  </si>
  <si>
    <t>Magnet ст (чор.) +3завіс 3D(чор.)</t>
  </si>
  <si>
    <t>КД Standard-MDF.6 завіс (3+3)</t>
  </si>
  <si>
    <t>КД Standard.6 завіс (3+3)</t>
  </si>
  <si>
    <t>КД Verto-FIT.6 завіс (3+3)</t>
  </si>
  <si>
    <t>КД Verto-FIT Plus.6 завіс (3+3)</t>
  </si>
  <si>
    <t>ДП СТАНДАРТ.Magnet цл (чор.) +2завіс</t>
  </si>
  <si>
    <t>ДП СТАНДАРТ.Magnet ст (чор.) +2завіс</t>
  </si>
  <si>
    <t>ДП СТАНДАРТ.Magnet цл (чор.) +3завіс</t>
  </si>
  <si>
    <t>ДП СТАНДАРТ.Magnet ст (чор.) +3завіс</t>
  </si>
  <si>
    <t>ДП СТАНДАРТ.Пл Magnet (чор.) +2завіс</t>
  </si>
  <si>
    <t>ДП СТАНДАРТ.Пл Magnet (чор.) +3завіс</t>
  </si>
  <si>
    <t>ДП СТАНДАРТ.Magnet цл (чор.) б/з завіс.</t>
  </si>
  <si>
    <t>ДП СТАНДАРТ.Magnet ст (чор.) б/з завіс.</t>
  </si>
  <si>
    <t>ДП СТАНДАРТ.Magnet цл (чор.) +2завіс 3D(чор.)</t>
  </si>
  <si>
    <t>ДП СТАНДАРТ.Magnet ст (чор.) +2завіс 3D(чор.)</t>
  </si>
  <si>
    <t>ДП СТАНДАРТ.Magnet цл (чор.) +3завіс 3D(чор.)</t>
  </si>
  <si>
    <t>ДП СТАНДАРТ.Magnet ст (чор.) +3завіс 3D(чор.)</t>
  </si>
  <si>
    <t>ДП КУПАВА.Magnet цл (чор.) +2завіс</t>
  </si>
  <si>
    <t>ДП КУПАВА.Magnet ст (чор.) +2завіс</t>
  </si>
  <si>
    <t>ДП КУПАВА.Magnet цл (чор.) +3завіс</t>
  </si>
  <si>
    <t>ДП КУПАВА.Magnet ст (чор.) +3завіс</t>
  </si>
  <si>
    <t>ДП КУПАВА.Пл Magnet (чор.) +2завіс</t>
  </si>
  <si>
    <t>ДП КУПАВА.Пл Magnet (чор.) +3завіс</t>
  </si>
  <si>
    <t>ДП КУПАВА.Magnet цл (чор.) б/з завіс.</t>
  </si>
  <si>
    <t>ДП КУПАВА.Magnet ст (чор.) б/з завіс.</t>
  </si>
  <si>
    <t>ДП Геометрія.Magnet цл (чор.) +2завіс</t>
  </si>
  <si>
    <t>ДП Геометрія.Magnet ст (чор.) +2завіс</t>
  </si>
  <si>
    <t>ДП Геометрія.Magnet цл (чор.) +3завіс</t>
  </si>
  <si>
    <t>ДП Геометрія.Magnet ст (чор.) +3завіс</t>
  </si>
  <si>
    <t>ДП Геометрія.Пл Magnet (чор.) +2завіс</t>
  </si>
  <si>
    <t>ДП Геометрія.Пл Magnet (чор.) +3завіс</t>
  </si>
  <si>
    <t>ДП Геометрія.Magnet цл (чор.) б/з завіс.</t>
  </si>
  <si>
    <t>ДП Геометрія.Magnet ст (чор.) б/з завіс.</t>
  </si>
  <si>
    <t>ДП Геометрія.Magnet цл (чор.) +2завіс 3D(чор.)</t>
  </si>
  <si>
    <t>ДП Геометрія.Magnet ст (чор.) +2завіс 3D(чор.)</t>
  </si>
  <si>
    <t>ДП Геометрія.Magnet цл (чор.) +3завіс 3D(чор.)</t>
  </si>
  <si>
    <t>ДП Геометрія.Magnet ст (чор.) +3завіс 3D(чор.)</t>
  </si>
  <si>
    <t>ДП КУПАВА.Magnet цл (чор.) +2завіс 3D(чор.)</t>
  </si>
  <si>
    <t>ДП КУПАВА.Magnet ст (чор.) +2завіс 3D(чор.)</t>
  </si>
  <si>
    <t>ДП КУПАВА.Magnet цл (чор.) +3завіс 3D(чор.)</t>
  </si>
  <si>
    <t>ДП КУПАВА.Magnet ст (чор.) +3завіс 3D(чор.)</t>
  </si>
  <si>
    <t>ДП Ідея.Magnet цл (чор.) +2завіс</t>
  </si>
  <si>
    <t>ДП Ідея.Magnet ст (чор.) +2завіс</t>
  </si>
  <si>
    <t>ДП Ідея.Magnet цл (чор.) +3завіс</t>
  </si>
  <si>
    <t>ДП Ідея.Magnet ст (чор.) +3завіс</t>
  </si>
  <si>
    <t>ДП Ідея.Пл Magnet (чор.) +2завіс</t>
  </si>
  <si>
    <t>ДП Ідея.Пл Magnet (чор.) +3завіс</t>
  </si>
  <si>
    <t>ДП Ідея.Magnet цл (чор.) б/з завіс.</t>
  </si>
  <si>
    <t>ДП Ідея.Magnet ст (чор.) б/з завіс.</t>
  </si>
  <si>
    <t>ДП Ідея.Magnet цл (чор.) +2завіс 3D(чор.)</t>
  </si>
  <si>
    <t>ДП Ідея.Magnet ст (чор.) +2завіс 3D(чор.)</t>
  </si>
  <si>
    <t>ДП Ідея.Magnet цл (чор.) +3завіс 3D(чор.)</t>
  </si>
  <si>
    <t>ДП Ідея.Magnet ст (чор.) +3завіс 3D(чор.)</t>
  </si>
  <si>
    <t>ДП Ідея-ЛОФТ.Magnet цл (чор.) +2завіс</t>
  </si>
  <si>
    <t>ДП Ідея-ЛОФТ.Magnet ст (чор.) +2завіс</t>
  </si>
  <si>
    <t>ДП Ідея-ЛОФТ.Magnet цл (чор.) +3завіс</t>
  </si>
  <si>
    <t>ДП Ідея-ЛОФТ.Magnet ст (чор.) +3завіс</t>
  </si>
  <si>
    <t>ДП Ідея-ЛОФТ.Пл Magnet (чор.) +2завіс</t>
  </si>
  <si>
    <t>ДП Ідея-ЛОФТ.Пл Magnet (чор.) +3завіс</t>
  </si>
  <si>
    <t>ДП Ідея-ЛОФТ.Magnet цл (чор.) б/з завіс.</t>
  </si>
  <si>
    <t>ДП Ідея-ЛОФТ.Magnet ст (чор.) б/з завіс.</t>
  </si>
  <si>
    <t>ДП Ідея-ЛОФТ.Magnet цл (чор.) +2завіс 3D(чор.)</t>
  </si>
  <si>
    <t>ДП Ідея-ЛОФТ.Magnet ст (чор.) +2завіс 3D(чор.)</t>
  </si>
  <si>
    <t>ДП Ідея-ЛОФТ.Magnet цл (чор.) +3завіс 3D(чор.)</t>
  </si>
  <si>
    <t>ДП Ідея-ЛОФТ.Magnet ст (чор.) +3завіс 3D(чор.)</t>
  </si>
  <si>
    <t>ДП ЛАДА A.Magnet цл (чор.) +3завіс</t>
  </si>
  <si>
    <t>ДП ЛАДА A.Magnet ст (чор.) +3завіс</t>
  </si>
  <si>
    <t>ДП ЛАДА A.Пл Magnet (чор.) +3завіс</t>
  </si>
  <si>
    <t>ДП ЛАДА A.Magnet цл (чор.) б/з завіс.</t>
  </si>
  <si>
    <t>ДП ЛАДА A.Magnet ст (чор.) б/з завіс.</t>
  </si>
  <si>
    <t>ДП ЛАДА A.Magnet цл (чор.) +2завіс 3D(чор.)</t>
  </si>
  <si>
    <t>ДП ЛАДА A.Magnet ст (чор.) +2завіс 3D(чор.)</t>
  </si>
  <si>
    <t>ДП ЛАДА A.Magnet цл (чор.) +3завіс 3D(чор.)</t>
  </si>
  <si>
    <t>ДП ЛАДА A.Magnet ст (чор.) +3завіс 3D(чор.)</t>
  </si>
  <si>
    <t>ДП ЛАДА B.Magnet цл (чор.) +3завіс</t>
  </si>
  <si>
    <t>ДП ЛАДА B.Magnet ст (чор.)+3завіс</t>
  </si>
  <si>
    <t>ДП ЛАДА B.Пл Magnet (чор.) +3завіс</t>
  </si>
  <si>
    <t>ДП ЛАДА B.Magnet цл (чор.) б/з завіс.</t>
  </si>
  <si>
    <t>ДП ЛАДА B.Magnet ст (чор.) б/з завіс.</t>
  </si>
  <si>
    <t>ДП ЛАДА B.Magnet цл (чор.) +2завіс 3D(чор.)</t>
  </si>
  <si>
    <t>ДП ЛАДА B.Magnet ст (чор.) +2завіс 3D(чор.)</t>
  </si>
  <si>
    <t>ДП ЛАДА B.Magnet цл (чор.) +3завіс 3D(чор.)</t>
  </si>
  <si>
    <t>ДП ЛАДА B.Magnet ст (чор.) +3завіс 3D(чор.)</t>
  </si>
  <si>
    <t>ДП ЛАДА C.Magnet цл (чор.) +3завіс</t>
  </si>
  <si>
    <t>ДП ЛАДА C.Magnet ст (чор.) +3завіс</t>
  </si>
  <si>
    <t>ДП ЛАДА C.Пл Magnet (чор.) +3завіс</t>
  </si>
  <si>
    <t>ДП ЛАДА C.Magnet цл (чор.) б/з завіс.</t>
  </si>
  <si>
    <t>ДП ЛАДА C.Magnet ст (чор.) б/з завіс.</t>
  </si>
  <si>
    <t>ДП ЛАДА C.Magnet цл (чор.) +2завіс 3D(чор.)</t>
  </si>
  <si>
    <t>ДП ЛАДА C.Magnet ст (чор.) +2завіс 3D(чор.)</t>
  </si>
  <si>
    <t>ДП ЛАДА C.Magnet цл (чор.) +3завіс 3D(чор.)</t>
  </si>
  <si>
    <t>ДП ЛАДА C.Magnet ст (чор.) +3завіс 3D(чор.)</t>
  </si>
  <si>
    <t>ДП ЛАДА D.Magnet цл (чор.) +3завіс</t>
  </si>
  <si>
    <t>ДП ЛАДА D.Magnet ст (чор.) +3завіс</t>
  </si>
  <si>
    <t>ДП ЛАДА D.Пл Magnet (чор.) +3завіс</t>
  </si>
  <si>
    <t>ДП ЛАДА D.Magnet цл (чор.) б/з завіс.</t>
  </si>
  <si>
    <t>ДП ЛАДА D.Magnet ст (чор.) б/з завіс.</t>
  </si>
  <si>
    <t>ДП ЛАДА D.Magnet цл (чор.) +2завіс 3D(чор.)</t>
  </si>
  <si>
    <t>ДП ЛАДА D.Magnet ст (чор.) +2завіс 3D(чор.)</t>
  </si>
  <si>
    <t>ДП ЛАДА D.Magnet цл (чор.)  +3завіс 3D(чор.)</t>
  </si>
  <si>
    <t>ДП ЛАДА D.Magnet ст (чор.) +3завіс 3D(чор.)</t>
  </si>
  <si>
    <t>ДП Ніка.Magnet цл (чор.) +3завіс</t>
  </si>
  <si>
    <t>ДП Ніка.Magnet ст (чор.) +3завіс</t>
  </si>
  <si>
    <t>ДП Ніка.Пл Magnet (чор.) +3завіс</t>
  </si>
  <si>
    <t>ДП Ніка.Magnet цл (чор.) б/з завіс.</t>
  </si>
  <si>
    <t>ДП Ніка.Magnet ст (чор.) б/з завіс.</t>
  </si>
  <si>
    <t>ДП Ніка.Magnet цл (чор.) +2завіс 3D(чор.)</t>
  </si>
  <si>
    <t>ДП Ніка.Magnet ст (чор.) +2завіс 3D(чор.)</t>
  </si>
  <si>
    <t>ДП Ніка.Magnet цл (чор.) +3завіс 3D(чор.)</t>
  </si>
  <si>
    <t>ДП Ніка.Magnet ст (чор.) +3завіс 3D(чор.)</t>
  </si>
  <si>
    <t>ДП Ліса.Magnet цл (чор.) +3завіс</t>
  </si>
  <si>
    <t>ДП Ліса.Magnet ст (чор.) +3завіс</t>
  </si>
  <si>
    <t>ДП Ліса.Пл Magnet (чор.) +3завіс</t>
  </si>
  <si>
    <t>ДП Ліса.Magnet цл (чор.) б/з завіс.</t>
  </si>
  <si>
    <t>ДП Ліса.Magnet ст (чор.) б/з завіс.</t>
  </si>
  <si>
    <t>ДП Ліса.Magnet цл (чор.) +2завіс 3D(чор.)</t>
  </si>
  <si>
    <t>ДП Ліса.Magnet ст (чор.) +2завіс 3D(чор.)</t>
  </si>
  <si>
    <t>ДП Ліса.Magnet цл (чор.) +3завіс 3D(чор.)</t>
  </si>
  <si>
    <t>ДП Ліса.Magnet ст (чор.) +3завіс 3D(чор.)</t>
  </si>
  <si>
    <t>ДП ЛАДА-КОНЦЕПТ.Magnet цл (чор.) +3завіс</t>
  </si>
  <si>
    <t>ДП ЛАДА-КОНЦЕПТ.Magnet ст (чор.) +3завіс</t>
  </si>
  <si>
    <t>ДП ЛАДА-КОНЦЕПТ.Пл Magnet (чор.) +3завіс</t>
  </si>
  <si>
    <t>ДП ЛАДА-КОНЦЕПТ.Magnet цл (чор.) б/з завіс.</t>
  </si>
  <si>
    <t>ДП ЛАДА-КОНЦЕПТ.Magnet ст (чор.) б/з завіс.</t>
  </si>
  <si>
    <t>ДП ЛАДА-КОНЦЕПТ.Magnet цл (чор.) +2завіс 3D(чор.)</t>
  </si>
  <si>
    <t>ДП ЛАДА-КОНЦЕПТ.Magnet ст (чор.) +2завіс 3D(чор.)</t>
  </si>
  <si>
    <t>ДП ЛАДА-КОНЦЕПТ.Magnet цл (чор.) +3завіс 3D(чор.)</t>
  </si>
  <si>
    <t>ДП ЛАДА-КОНЦЕПТ.Magnet ст (чор.) +3завіс 3D(чор.)</t>
  </si>
  <si>
    <t>ДП ЛАДА-НОВА.Magnet цл (чор.) +3завіс</t>
  </si>
  <si>
    <t>ДП ЛАДА-НОВА.Magnet ст (чор.) +3завіс</t>
  </si>
  <si>
    <t>ДП ЛАДА-НОВА.Пл Magnet (чор.) +3завіс</t>
  </si>
  <si>
    <t>ДП ЛАДА-НОВА.Magnet цл (чор.) б/з завіс.</t>
  </si>
  <si>
    <t>ДП ЛАДА-НОВА.Magnet ст (чор.) б/з завіс.</t>
  </si>
  <si>
    <t>ДП ЛАДА-НОВА.Magnet цл (чор.) +2завіс 3D(чор.)</t>
  </si>
  <si>
    <t>ДП ЛАДА-НОВА.Magnet ст (чор.) +2завіс 3D(чор.)</t>
  </si>
  <si>
    <t>ДП ЛАДА-НОВА.Magnet цл (чор.) +3завіс 3D(чор.)</t>
  </si>
  <si>
    <t>ДП ЛАДА-НОВА.Magnet ст (чор.) +3завіс 3D(чор.)</t>
  </si>
  <si>
    <t>ДП Міра.Magnet цл (чор.) +3завіс</t>
  </si>
  <si>
    <t>ДП Міра.Magnet ст (чор.) +3завіс</t>
  </si>
  <si>
    <t>ДП Міра.Пл Magnet (чор.) +3завіс</t>
  </si>
  <si>
    <t>ДП Міра.Magnet цл (чор.) б/з завіс.</t>
  </si>
  <si>
    <t>ДП Міра.Magnet ст (чор.) б/з завіс.</t>
  </si>
  <si>
    <t>ДП Міра.Magnet цл (чор.) +2завіс 3D(чор.)</t>
  </si>
  <si>
    <t>ДП Міра.Magnet ст (чор.) +2завіс 3D(чор.)</t>
  </si>
  <si>
    <t>ДП Міра.Magnet цл (чор.) +3завіс 3D(чор.)</t>
  </si>
  <si>
    <t>ДП Міра.Magnet ст (чор.) +3завіс 3D(чор.)</t>
  </si>
  <si>
    <t>ДП ЛАДА-ЛОФТ.Magnet цл (чор.) +3завіс</t>
  </si>
  <si>
    <t>ДП ЛАДА-ЛОФТ.Magnet ст (чор.) +3завіс</t>
  </si>
  <si>
    <t>ДП ЛАДА-ЛОФТ.Пл Magnet (чор.) +3завіс</t>
  </si>
  <si>
    <t>ДП ЛАДА-ЛОФТ.Magnet цл (чор.) б/з завіс.</t>
  </si>
  <si>
    <t>ДП ЛАДА-ЛОФТ.Magnet ст (чор.) б/з завіс.</t>
  </si>
  <si>
    <t>ДП ЛАДА-ЛОФТ.Magnet цл (чор.) +2завіс 3D(чор.)</t>
  </si>
  <si>
    <t>ДП ЛАДА-ЛОФТ.Magnet ст (чор.) +2завіс 3D(чор.)</t>
  </si>
  <si>
    <t>ДП ЛАДА-ЛОФТ.Magnet цл (чор.) +3завіс 3D(чор.)</t>
  </si>
  <si>
    <t>ДП ЛАДА-ЛОФТ.Magnet ст (чор.) +3завіс 3D(чор.)</t>
  </si>
  <si>
    <t>ДП Лінда.Magnet цл (чор.) +3завіс</t>
  </si>
  <si>
    <t>ДП Лінда.Magnet ст (чор.) +3завіс</t>
  </si>
  <si>
    <t>ДП Лінда.Пл Magnet (чор.) +3завіс</t>
  </si>
  <si>
    <t>ДП Лінда.Magnet цл (чор.) б/з завіс.</t>
  </si>
  <si>
    <t>ДП Лінда.Magnet ст (чор.) б/з завіс.</t>
  </si>
  <si>
    <t>ДП Лінда.Magnet цл (чор.) +2завіс 3D(чор.)</t>
  </si>
  <si>
    <t>ДП Лінда.Magnet ст (чор.) +2завіс 3D(чор.)</t>
  </si>
  <si>
    <t>ДП Лінда.Magnet цл (чор.) +3завіс 3D(чор.)</t>
  </si>
  <si>
    <t>ДП Лінда.Magnet ст (чор.) +3завіс 3D(чор.)</t>
  </si>
  <si>
    <t>ДП Тіана.Magnet цл (чор.) +3завіс</t>
  </si>
  <si>
    <t>ДП Тіана.Magnet ст (чор.) +3завіс</t>
  </si>
  <si>
    <t>ДП Тіана.Пл Magnet (чор.) +3завіс</t>
  </si>
  <si>
    <t>ДП Тіана.Magnet цл (чор.) б/з завіс.</t>
  </si>
  <si>
    <t>ДП Тіана.Magnet ст (чор.) б/з завіс.</t>
  </si>
  <si>
    <t>ДП Тіана.Magnet цл (чор.) +2завіс 3D(чор.)</t>
  </si>
  <si>
    <t>ДП Тіана.Magnet ст (чор.) +2завіс 3D(чор.)</t>
  </si>
  <si>
    <t>ДП Тіана.Magnet цл (чор.) +3завіс 3D(чор.)</t>
  </si>
  <si>
    <t>ДП Тіана.Magnet ст (чор.) +3завіс 3D(чор.)</t>
  </si>
  <si>
    <t>ДП Єва.Magnet цл (чор.) +3завіс</t>
  </si>
  <si>
    <t>ДП Єва.Magnet ст (чор.) +3завіс</t>
  </si>
  <si>
    <t>ДП Єва.Пл Magnet (чор.) +3завіс</t>
  </si>
  <si>
    <t>ДП Єва.Magnet цл (чор.) б/з завіс.</t>
  </si>
  <si>
    <t>ДП Єва.Magnet ст (чор.) б/з завіс.</t>
  </si>
  <si>
    <t>ДП Єва.Magnet цл (чор.) +2завіс 3D(чор.)</t>
  </si>
  <si>
    <t>ДП Єва.Magnet ст (чор.) +2завіс 3D(чор.)</t>
  </si>
  <si>
    <t>ДП Єва.Magnet цл (чор.) +3завіс 3D(чор.)</t>
  </si>
  <si>
    <t>ДП Єва.Magnet ст (чор.) +3завіс 3D(чор.)</t>
  </si>
  <si>
    <t>ДП ТРЕНД.Magnet ст (чор.) +3завіс</t>
  </si>
  <si>
    <t>ДП ТРЕНД.Пл Magnet (чор.) +3завіс</t>
  </si>
  <si>
    <t>ДП ТРЕНД.Magnet цл (чор.) б/з завіс.</t>
  </si>
  <si>
    <t>ДП ТРЕНД.Magnet ст (чор.) б/з завіс.</t>
  </si>
  <si>
    <t>ДП ТРЕНД.Magnet цл (чор.) +2завіс 3D(чор.)</t>
  </si>
  <si>
    <t>ДП ТРЕНД.Magnet ст (чор.) +2завіс 3D(чор.)</t>
  </si>
  <si>
    <t>ДП ТРЕНД.Magnet цл (чор.) +3завіс 3D(чор.)</t>
  </si>
  <si>
    <t>ДП ТРЕНД.Magnet ст (чор.) +3завіс 3D(чор.)</t>
  </si>
  <si>
    <t>ДП ТРЕНД.Magnet цл (чор.) +3завіс</t>
  </si>
  <si>
    <t>ДП МОДЕРН.Magnet цл (чор.) +3завіс</t>
  </si>
  <si>
    <t>ДП МОДЕРН.Magnet ст (чор.) +3завіс</t>
  </si>
  <si>
    <t>ДП МОДЕРН.Пл Magnet (чор.) +3завіс</t>
  </si>
  <si>
    <t>ДП МОДЕРН.Magnet цл (чор.) б/з завіс.</t>
  </si>
  <si>
    <t>ДП МОДЕРН.Magnet ст (чор.) б/з завіс.</t>
  </si>
  <si>
    <t>ДП МОДЕРН.Magnet цл (чор.) +2завіс 3D(чор.)</t>
  </si>
  <si>
    <t>ДП МОДЕРН.Magnet ст (чор.) +2завіс 3D(чор.)</t>
  </si>
  <si>
    <t>ДП МОДЕРН.Magnet цл (чор.) +3завіс 3D(чор.)</t>
  </si>
  <si>
    <t>ДП МОДЕРН.Magnet ст (чор.) +3завіс 3D(чор.)</t>
  </si>
  <si>
    <t>ДП ПОЛЛО.Magnet цл (чор.) +3завіс</t>
  </si>
  <si>
    <t>ДП ПОЛЛО.Magnet ст (чор.) +3завіс</t>
  </si>
  <si>
    <t>ДП ПОЛЛО.Пл Magnet (чор.) +3завіс</t>
  </si>
  <si>
    <t>ДП ПОЛЛО.Magnet цл (чор.) б/з завіс.</t>
  </si>
  <si>
    <t>ДП ПОЛЛО.Magnet ст (чор.) б/з завіс.</t>
  </si>
  <si>
    <t>ДП ПОЛЛО.Magnet цл (чор.) +2завіс 3D(чор.)</t>
  </si>
  <si>
    <t>ДП ПОЛЛО.Magnet ст (чор.) +2завіс 3D(чор.)</t>
  </si>
  <si>
    <t>ДП ПОЛЛО.Magnet цл (чор.) +3завіс 3D(чор.)</t>
  </si>
  <si>
    <t>ДП ПОЛЛО.Magnet ст (чор.) +3завіс 3D(чор.)</t>
  </si>
  <si>
    <t>ДП Лінея.Magnet цл (чор.) +3завіс</t>
  </si>
  <si>
    <t>ДП Лінея.Magnet ст (чор.) +3завіс</t>
  </si>
  <si>
    <t>ДП Лінея.Пл Magnet (чор.) +3завіс</t>
  </si>
  <si>
    <t>ДП ЛАЙН.Magnet цл (чор.) +3завіс</t>
  </si>
  <si>
    <t>ДП ЛАЙН.Magnet ст (чор.) +3завіс</t>
  </si>
  <si>
    <t>ДП ЛАЙН.Пл Magnet (чор.) +3завіс</t>
  </si>
  <si>
    <t>ДП Елегант.Magnet цл (чор.) +3завіс</t>
  </si>
  <si>
    <t>ДП Елегант.Magnet ст (чор.) +3завіс</t>
  </si>
  <si>
    <t>ДП Елегант.Пл Magnet (чор.) +3завіс</t>
  </si>
  <si>
    <t>ДП Добір.Пл Magnet (чор.) +2завіс</t>
  </si>
  <si>
    <t>ДП Добір.Пл Magnet (чор.) +3завіс</t>
  </si>
  <si>
    <t>КД Standard-MDF.Пл Magnet (чор.) +2завіс</t>
  </si>
  <si>
    <t>КД Standard-MDF.Пл Magnet (чор.) +3завіс</t>
  </si>
  <si>
    <t>КД Standard.Пл Magnet (чор.) +2завіс</t>
  </si>
  <si>
    <t>КД Standard.Пл Magnet (чор.) +3завіс</t>
  </si>
  <si>
    <t>КД Verto-FIT.Пл Magnet (чор.) +2завіс</t>
  </si>
  <si>
    <t>КД Verto-FIT.Пл Magnet (чор.) +3завіс</t>
  </si>
  <si>
    <t>КД Verto-FIT Plus.Пл Magnet (чор.) +2завіс</t>
  </si>
  <si>
    <t>КД Verto-FIT Plus.Пл Magnet (чор.) +3завіс</t>
  </si>
  <si>
    <t>КД Verto-FIT Comfort.Пл Magnet (чор.) б/з завіс.</t>
  </si>
  <si>
    <t>КД Verto-FIT Comfort.Пл Magnet (чор.) +2завіс 3D(чор.)</t>
  </si>
  <si>
    <t>КД Verto-FIT Comfort.Пл Magnet (чор.) +3завіс 3D(чор.)</t>
  </si>
  <si>
    <t>ДП ЛАДА-НОВА.4/3.Лакобель</t>
  </si>
  <si>
    <t>ДП ЛАДА-НОВА.4/6.Лакобель</t>
  </si>
  <si>
    <t>ДП ЛАДА-НОВА.4/9.Лакобель</t>
  </si>
  <si>
    <t>B02</t>
  </si>
  <si>
    <t>B08</t>
  </si>
  <si>
    <t>B02V</t>
  </si>
  <si>
    <t>B08V</t>
  </si>
  <si>
    <t>B02R</t>
  </si>
  <si>
    <t>B08R</t>
  </si>
  <si>
    <t>B32</t>
  </si>
  <si>
    <t>B38</t>
  </si>
  <si>
    <t>B32V</t>
  </si>
  <si>
    <t>B38V</t>
  </si>
  <si>
    <t>B32R</t>
  </si>
  <si>
    <t>B38R</t>
  </si>
  <si>
    <t>Bх2</t>
  </si>
  <si>
    <t>Bх8</t>
  </si>
  <si>
    <t>Bх2V</t>
  </si>
  <si>
    <t>Bх8V</t>
  </si>
  <si>
    <t>Bх2R</t>
  </si>
  <si>
    <t>Bх8R</t>
  </si>
  <si>
    <t>Святкові знижки (20%)</t>
  </si>
  <si>
    <t>ДП ЛАДА-ЛОФТ.4/1.Лакобель</t>
  </si>
  <si>
    <t>203 Маренго</t>
  </si>
  <si>
    <t>колір: маренго (резист)</t>
  </si>
  <si>
    <t>колір: горіх крем (верто-цел)</t>
  </si>
  <si>
    <t>127 Горіх крем</t>
  </si>
  <si>
    <t>Плінтус 60мм (від 8 шт)</t>
  </si>
  <si>
    <t>Плінтус 60мм (від 8 шт).(ні)</t>
  </si>
  <si>
    <t>Плінтус 60мм (від 8 шт).Сімплекс.2050 мм</t>
  </si>
  <si>
    <t>Плінтус 60мм (від 8 шт).Verto-Cell.2050 мм</t>
  </si>
  <si>
    <t>Плінтус 60мм (від 8 шт).Verto-Cell Plus.2050 мм</t>
  </si>
  <si>
    <t>Плінтус 60мм (від 8 шт).Uni-Mat.2050 мм</t>
  </si>
  <si>
    <t>Плінтус 60мм (від 8 шт).Резист.2050 мм</t>
  </si>
  <si>
    <t>Плінтус 60мм (від 8 шт).LINE-3D.2050 мм</t>
  </si>
  <si>
    <t>Плінтус 60мм (від 8 шт).Е-шпон.2050 мм</t>
  </si>
  <si>
    <t>Плінтус 60мм (від 8 шт).Лофт.2050 мм</t>
  </si>
  <si>
    <t>Плінтус 60мм (від 8 шт).Сімплекс</t>
  </si>
  <si>
    <t>Плінтус 60мм (від 8 шт).Verto-Cell</t>
  </si>
  <si>
    <t>Плінтус 60мм (від 8 шт).Verto-Cell Plus</t>
  </si>
  <si>
    <t>Плінтус 60мм (від 8 шт).Uni-Mat</t>
  </si>
  <si>
    <t>Плінтус 60мм (від 8 шт).Резист</t>
  </si>
  <si>
    <t>Плінтус 60мм (від 8 шт).LINE-3D</t>
  </si>
  <si>
    <t>Плінтус 60мм (від 8 шт).Е-шпон</t>
  </si>
  <si>
    <t>Плінтус 60мм (від 8 шт).Лофт</t>
  </si>
  <si>
    <t>Плінтус 80мм (від 8 шт)</t>
  </si>
  <si>
    <t>Плінтус 80мм (від 8 шт).(ні)</t>
  </si>
  <si>
    <t>Плінтус 80мм (від 8 шт).Сімплекс.2050 мм</t>
  </si>
  <si>
    <t>Плінтус 80мм (від 8 шт).Verto-Cell.2050 мм</t>
  </si>
  <si>
    <t>Плінтус 80мм (від 8 шт).Verto-Cell Plus.2050 мм</t>
  </si>
  <si>
    <t>Плінтус 80мм (від 8 шт).Uni-Mat.2050 мм</t>
  </si>
  <si>
    <t>Плінтус 80мм (від 8 шт).Резист.2050 мм</t>
  </si>
  <si>
    <t>Плінтус 80мм (від 8 шт).LINE-3D.2050 мм</t>
  </si>
  <si>
    <t>Плінтус 80мм (від 8 шт).Е-шпон.2050 мм</t>
  </si>
  <si>
    <t>Плінтус 80мм (від 8 шт).Лофт.2050 мм</t>
  </si>
  <si>
    <t>Плінтус 80мм (від 8 шт).Сімплекс</t>
  </si>
  <si>
    <t>Плінтус 80мм (від 8 шт).Verto-Cell</t>
  </si>
  <si>
    <t>Плінтус 80мм (від 8 шт).Verto-Cell Plus</t>
  </si>
  <si>
    <t>Плінтус 80мм (від 8 шт).Uni-Mat</t>
  </si>
  <si>
    <t>Плінтус 80мм (від 8 шт).Резист</t>
  </si>
  <si>
    <t>Плінтус 80мм (від 8 шт).LINE-3D</t>
  </si>
  <si>
    <t>Плінтус 80мм (від 8 шт).Е-шпон</t>
  </si>
  <si>
    <t>Плінтус 80мм (від 8 шт).Лофт</t>
  </si>
  <si>
    <t>126 Дуб грей</t>
  </si>
  <si>
    <t>колір: дуб грей (верто-цел)</t>
  </si>
  <si>
    <t>ВЕРСІЯ: 93.00.23</t>
  </si>
</sst>
</file>

<file path=xl/styles.xml><?xml version="1.0" encoding="utf-8"?>
<styleSheet xmlns="http://schemas.openxmlformats.org/spreadsheetml/2006/main">
  <numFmts count="5">
    <numFmt numFmtId="164" formatCode="ddmmyy\/hmm"/>
    <numFmt numFmtId="165" formatCode="#,##0.00_ ;[Red]\-#,##0.00\ "/>
    <numFmt numFmtId="166" formatCode="#,##0.0000"/>
    <numFmt numFmtId="167" formatCode="0.0000"/>
    <numFmt numFmtId="168" formatCode="[$-FC22]d\ mmmm\ yyyy&quot; р.&quot;;@"/>
  </numFmts>
  <fonts count="52">
    <font>
      <sz val="10"/>
      <name val="Arial Cyr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color indexed="10"/>
      <name val="Arial Cyr"/>
      <charset val="204"/>
    </font>
    <font>
      <sz val="2"/>
      <color indexed="9"/>
      <name val="Arial Cyr"/>
      <charset val="204"/>
    </font>
    <font>
      <u/>
      <sz val="10"/>
      <color indexed="12"/>
      <name val="Arial Cyr"/>
      <charset val="204"/>
    </font>
    <font>
      <sz val="6"/>
      <name val="Arial Cyr"/>
      <charset val="204"/>
    </font>
    <font>
      <sz val="6"/>
      <color indexed="10"/>
      <name val="Arial Cyr"/>
      <charset val="204"/>
    </font>
    <font>
      <b/>
      <sz val="8"/>
      <color indexed="9"/>
      <name val="Times New Roman"/>
      <family val="1"/>
      <charset val="204"/>
    </font>
    <font>
      <sz val="10"/>
      <color indexed="9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23"/>
      <name val="Times New Roman"/>
      <family val="1"/>
      <charset val="204"/>
    </font>
    <font>
      <b/>
      <sz val="8"/>
      <color indexed="12"/>
      <name val="Arial Cyr"/>
      <charset val="204"/>
    </font>
    <font>
      <sz val="8"/>
      <color indexed="12"/>
      <name val="Times New Roman"/>
      <family val="1"/>
      <charset val="204"/>
    </font>
    <font>
      <sz val="8"/>
      <color indexed="12"/>
      <name val="Arial Cyr"/>
      <charset val="204"/>
    </font>
    <font>
      <b/>
      <sz val="8"/>
      <color indexed="12"/>
      <name val="Times New Roman"/>
      <family val="1"/>
      <charset val="204"/>
    </font>
    <font>
      <sz val="8"/>
      <color indexed="10"/>
      <name val="Arial Cyr"/>
      <charset val="204"/>
    </font>
    <font>
      <sz val="8"/>
      <color indexed="10"/>
      <name val="Times New Roman"/>
      <family val="1"/>
      <charset val="204"/>
    </font>
    <font>
      <b/>
      <sz val="8"/>
      <color indexed="17"/>
      <name val="Arial Cyr"/>
      <charset val="204"/>
    </font>
    <font>
      <sz val="8"/>
      <color indexed="9"/>
      <name val="Times New Roman"/>
      <family val="1"/>
      <charset val="204"/>
    </font>
    <font>
      <sz val="8"/>
      <color indexed="17"/>
      <name val="Arial Cyr"/>
      <charset val="204"/>
    </font>
    <font>
      <b/>
      <sz val="10"/>
      <color indexed="17"/>
      <name val="Arial Cyr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sz val="6"/>
      <color indexed="12"/>
      <name val="Times New Roman"/>
      <family val="1"/>
      <charset val="204"/>
    </font>
    <font>
      <b/>
      <sz val="7"/>
      <color indexed="23"/>
      <name val="Times New Roman"/>
      <family val="1"/>
      <charset val="204"/>
    </font>
    <font>
      <sz val="7"/>
      <color indexed="23"/>
      <name val="Times New Roman"/>
      <family val="1"/>
      <charset val="204"/>
    </font>
    <font>
      <sz val="8"/>
      <color indexed="23"/>
      <name val="Arial Cyr"/>
      <charset val="204"/>
    </font>
    <font>
      <sz val="8"/>
      <name val="Arial Narrow"/>
      <family val="2"/>
      <charset val="204"/>
    </font>
    <font>
      <sz val="6"/>
      <name val="Arial Narrow"/>
      <family val="2"/>
      <charset val="204"/>
    </font>
    <font>
      <sz val="7"/>
      <name val="Arial Narrow"/>
      <family val="2"/>
      <charset val="204"/>
    </font>
    <font>
      <sz val="8"/>
      <color indexed="23"/>
      <name val="Arial Narrow"/>
      <family val="2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0" tint="-0.499984740745262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sz val="6"/>
      <color rgb="FFFF0000"/>
      <name val="Times New Roman"/>
      <family val="1"/>
      <charset val="204"/>
    </font>
    <font>
      <b/>
      <sz val="8"/>
      <color rgb="FF0070C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2"/>
      <color theme="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1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1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12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hair">
        <color indexed="23"/>
      </bottom>
      <diagonal/>
    </border>
    <border>
      <left style="medium">
        <color indexed="10"/>
      </left>
      <right style="medium">
        <color indexed="10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medium">
        <color indexed="10"/>
      </left>
      <right style="medium">
        <color indexed="10"/>
      </right>
      <top style="hair">
        <color indexed="23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medium">
        <color indexed="10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medium">
        <color indexed="10"/>
      </left>
      <right style="medium">
        <color indexed="10"/>
      </right>
      <top/>
      <bottom style="hair">
        <color indexed="23"/>
      </bottom>
      <diagonal/>
    </border>
    <border>
      <left/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/>
      <bottom style="hair">
        <color indexed="64"/>
      </bottom>
      <diagonal/>
    </border>
    <border>
      <left style="hair">
        <color indexed="12"/>
      </left>
      <right style="hair">
        <color indexed="12"/>
      </right>
      <top style="medium">
        <color indexed="64"/>
      </top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1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12"/>
      </left>
      <right/>
      <top/>
      <bottom style="hair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64"/>
      </bottom>
      <diagonal/>
    </border>
    <border>
      <left/>
      <right style="hair">
        <color indexed="12"/>
      </right>
      <top/>
      <bottom/>
      <diagonal/>
    </border>
    <border>
      <left/>
      <right style="hair">
        <color indexed="12"/>
      </right>
      <top/>
      <bottom style="hair">
        <color indexed="64"/>
      </bottom>
      <diagonal/>
    </border>
    <border>
      <left/>
      <right style="hair">
        <color indexed="12"/>
      </right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hair">
        <color indexed="64"/>
      </bottom>
      <diagonal/>
    </border>
    <border>
      <left style="medium">
        <color indexed="10"/>
      </left>
      <right style="medium">
        <color indexed="10"/>
      </right>
      <top style="hair">
        <color indexed="64"/>
      </top>
      <bottom style="medium">
        <color indexed="1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hair">
        <color indexed="64"/>
      </bottom>
      <diagonal/>
    </border>
    <border>
      <left/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/>
      <diagonal/>
    </border>
    <border>
      <left/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/>
      <top style="hair">
        <color indexed="64"/>
      </top>
      <bottom style="hair">
        <color indexed="64"/>
      </bottom>
      <diagonal/>
    </border>
    <border>
      <left/>
      <right style="medium">
        <color rgb="FFFF0000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rgb="FF00B050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indexed="12"/>
      </right>
      <top/>
      <bottom style="hair">
        <color theme="0" tint="-0.499984740745262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6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164" fontId="2" fillId="2" borderId="1" xfId="0" applyNumberFormat="1" applyFont="1" applyFill="1" applyBorder="1" applyAlignment="1" applyProtection="1">
      <alignment horizontal="left" wrapText="1"/>
      <protection hidden="1"/>
    </xf>
    <xf numFmtId="0" fontId="2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4" fillId="0" borderId="2" xfId="0" applyFont="1" applyBorder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Protection="1">
      <protection hidden="1"/>
    </xf>
    <xf numFmtId="0" fontId="2" fillId="3" borderId="3" xfId="0" applyFont="1" applyFill="1" applyBorder="1" applyAlignment="1" applyProtection="1">
      <alignment horizontal="center" wrapText="1"/>
      <protection hidden="1"/>
    </xf>
    <xf numFmtId="0" fontId="2" fillId="3" borderId="4" xfId="0" applyFont="1" applyFill="1" applyBorder="1" applyAlignment="1" applyProtection="1">
      <alignment horizontal="center" wrapText="1"/>
      <protection hidden="1"/>
    </xf>
    <xf numFmtId="0" fontId="2" fillId="3" borderId="5" xfId="0" applyFont="1" applyFill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Border="1" applyProtection="1">
      <protection hidden="1"/>
    </xf>
    <xf numFmtId="0" fontId="0" fillId="0" borderId="6" xfId="0" applyBorder="1"/>
    <xf numFmtId="0" fontId="6" fillId="4" borderId="7" xfId="0" applyFont="1" applyFill="1" applyBorder="1" applyAlignment="1">
      <alignment horizontal="center"/>
    </xf>
    <xf numFmtId="0" fontId="10" fillId="0" borderId="0" xfId="0" applyFont="1" applyProtection="1">
      <protection hidden="1"/>
    </xf>
    <xf numFmtId="0" fontId="7" fillId="0" borderId="8" xfId="0" applyFont="1" applyBorder="1" applyProtection="1">
      <protection hidden="1"/>
    </xf>
    <xf numFmtId="0" fontId="7" fillId="0" borderId="9" xfId="0" applyFont="1" applyBorder="1" applyProtection="1">
      <protection hidden="1"/>
    </xf>
    <xf numFmtId="0" fontId="7" fillId="0" borderId="10" xfId="0" applyFont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7" fillId="0" borderId="11" xfId="0" applyFont="1" applyBorder="1" applyProtection="1">
      <protection hidden="1"/>
    </xf>
    <xf numFmtId="0" fontId="7" fillId="0" borderId="12" xfId="0" applyFont="1" applyBorder="1" applyProtection="1">
      <protection hidden="1"/>
    </xf>
    <xf numFmtId="0" fontId="7" fillId="0" borderId="13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7" fillId="0" borderId="14" xfId="0" applyFont="1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5" borderId="5" xfId="0" applyFont="1" applyFill="1" applyBorder="1" applyAlignment="1" applyProtection="1">
      <alignment horizontal="center" wrapText="1"/>
      <protection hidden="1"/>
    </xf>
    <xf numFmtId="0" fontId="2" fillId="5" borderId="4" xfId="0" applyFont="1" applyFill="1" applyBorder="1" applyAlignment="1" applyProtection="1">
      <alignment horizontal="center" wrapText="1"/>
      <protection hidden="1"/>
    </xf>
    <xf numFmtId="164" fontId="2" fillId="2" borderId="1" xfId="0" applyNumberFormat="1" applyFont="1" applyFill="1" applyBorder="1" applyAlignment="1" applyProtection="1">
      <alignment horizontal="right" wrapText="1"/>
      <protection hidden="1"/>
    </xf>
    <xf numFmtId="0" fontId="9" fillId="0" borderId="6" xfId="0" applyFont="1" applyBorder="1"/>
    <xf numFmtId="0" fontId="6" fillId="0" borderId="15" xfId="0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0" fontId="6" fillId="4" borderId="7" xfId="0" applyFont="1" applyFill="1" applyBorder="1" applyAlignment="1">
      <alignment horizontal="left"/>
    </xf>
    <xf numFmtId="0" fontId="0" fillId="0" borderId="0" xfId="0" applyBorder="1"/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protection hidden="1"/>
    </xf>
    <xf numFmtId="49" fontId="7" fillId="0" borderId="15" xfId="0" applyNumberFormat="1" applyFont="1" applyBorder="1" applyAlignment="1">
      <alignment vertical="center"/>
    </xf>
    <xf numFmtId="0" fontId="7" fillId="0" borderId="15" xfId="0" applyFont="1" applyBorder="1" applyProtection="1">
      <protection hidden="1"/>
    </xf>
    <xf numFmtId="0" fontId="6" fillId="0" borderId="15" xfId="0" applyFont="1" applyBorder="1" applyProtection="1">
      <protection hidden="1"/>
    </xf>
    <xf numFmtId="0" fontId="2" fillId="6" borderId="5" xfId="0" applyFont="1" applyFill="1" applyBorder="1" applyAlignment="1" applyProtection="1">
      <alignment horizontal="center" wrapText="1"/>
      <protection hidden="1"/>
    </xf>
    <xf numFmtId="0" fontId="2" fillId="4" borderId="3" xfId="0" applyFont="1" applyFill="1" applyBorder="1" applyAlignment="1" applyProtection="1">
      <alignment horizontal="center" wrapText="1"/>
      <protection hidden="1"/>
    </xf>
    <xf numFmtId="0" fontId="2" fillId="4" borderId="5" xfId="0" applyFont="1" applyFill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49" fontId="7" fillId="0" borderId="17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0" fontId="6" fillId="0" borderId="15" xfId="0" applyFont="1" applyFill="1" applyBorder="1" applyProtection="1">
      <protection hidden="1"/>
    </xf>
    <xf numFmtId="49" fontId="6" fillId="0" borderId="17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/>
    </xf>
    <xf numFmtId="0" fontId="7" fillId="0" borderId="15" xfId="0" applyFont="1" applyBorder="1"/>
    <xf numFmtId="49" fontId="7" fillId="0" borderId="16" xfId="0" applyNumberFormat="1" applyFont="1" applyFill="1" applyBorder="1" applyAlignment="1">
      <alignment horizontal="left" vertical="center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2" fillId="2" borderId="3" xfId="0" applyFont="1" applyFill="1" applyBorder="1" applyAlignment="1" applyProtection="1">
      <alignment horizontal="center" wrapText="1"/>
      <protection hidden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6" fillId="4" borderId="18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center"/>
    </xf>
    <xf numFmtId="2" fontId="13" fillId="0" borderId="17" xfId="0" applyNumberFormat="1" applyFont="1" applyBorder="1" applyAlignment="1">
      <alignment horizontal="left" vertical="center"/>
    </xf>
    <xf numFmtId="2" fontId="13" fillId="0" borderId="15" xfId="0" applyNumberFormat="1" applyFont="1" applyBorder="1" applyAlignment="1">
      <alignment horizontal="left" vertical="center"/>
    </xf>
    <xf numFmtId="0" fontId="2" fillId="6" borderId="19" xfId="0" applyFont="1" applyFill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14" fillId="7" borderId="3" xfId="0" applyFont="1" applyFill="1" applyBorder="1" applyProtection="1">
      <protection hidden="1"/>
    </xf>
    <xf numFmtId="0" fontId="15" fillId="7" borderId="4" xfId="0" applyFont="1" applyFill="1" applyBorder="1" applyProtection="1">
      <protection hidden="1"/>
    </xf>
    <xf numFmtId="0" fontId="15" fillId="7" borderId="5" xfId="0" applyFont="1" applyFill="1" applyBorder="1" applyProtection="1">
      <protection hidden="1"/>
    </xf>
    <xf numFmtId="0" fontId="0" fillId="7" borderId="4" xfId="0" applyFill="1" applyBorder="1" applyProtection="1">
      <protection hidden="1"/>
    </xf>
    <xf numFmtId="0" fontId="0" fillId="7" borderId="5" xfId="0" applyFill="1" applyBorder="1" applyProtection="1">
      <protection hidden="1"/>
    </xf>
    <xf numFmtId="0" fontId="3" fillId="6" borderId="20" xfId="0" applyFont="1" applyFill="1" applyBorder="1" applyAlignment="1" applyProtection="1">
      <alignment horizontal="center"/>
      <protection hidden="1"/>
    </xf>
    <xf numFmtId="0" fontId="3" fillId="6" borderId="21" xfId="0" applyFont="1" applyFill="1" applyBorder="1" applyAlignment="1" applyProtection="1">
      <alignment horizontal="center"/>
      <protection hidden="1"/>
    </xf>
    <xf numFmtId="0" fontId="3" fillId="6" borderId="21" xfId="0" applyFont="1" applyFill="1" applyBorder="1" applyAlignment="1" applyProtection="1">
      <alignment horizontal="center" wrapText="1"/>
      <protection hidden="1"/>
    </xf>
    <xf numFmtId="0" fontId="3" fillId="6" borderId="22" xfId="0" applyFont="1" applyFill="1" applyBorder="1" applyAlignment="1" applyProtection="1">
      <alignment horizontal="center"/>
      <protection hidden="1"/>
    </xf>
    <xf numFmtId="0" fontId="3" fillId="6" borderId="23" xfId="0" applyFont="1" applyFill="1" applyBorder="1" applyAlignment="1" applyProtection="1">
      <alignment horizontal="center"/>
      <protection hidden="1"/>
    </xf>
    <xf numFmtId="3" fontId="12" fillId="0" borderId="0" xfId="0" applyNumberFormat="1" applyFont="1" applyProtection="1">
      <protection hidden="1"/>
    </xf>
    <xf numFmtId="0" fontId="2" fillId="8" borderId="5" xfId="0" applyFont="1" applyFill="1" applyBorder="1" applyAlignment="1" applyProtection="1">
      <alignment horizontal="center" wrapText="1"/>
      <protection hidden="1"/>
    </xf>
    <xf numFmtId="14" fontId="2" fillId="0" borderId="16" xfId="0" applyNumberFormat="1" applyFont="1" applyFill="1" applyBorder="1" applyAlignment="1" applyProtection="1">
      <alignment horizontal="center"/>
      <protection hidden="1"/>
    </xf>
    <xf numFmtId="49" fontId="6" fillId="0" borderId="15" xfId="0" applyNumberFormat="1" applyFont="1" applyBorder="1" applyAlignment="1">
      <alignment horizontal="left" vertical="center"/>
    </xf>
    <xf numFmtId="0" fontId="2" fillId="8" borderId="19" xfId="0" applyFont="1" applyFill="1" applyBorder="1" applyAlignment="1" applyProtection="1">
      <alignment horizontal="center" wrapText="1"/>
      <protection hidden="1"/>
    </xf>
    <xf numFmtId="0" fontId="0" fillId="0" borderId="16" xfId="0" applyBorder="1" applyProtection="1">
      <protection hidden="1"/>
    </xf>
    <xf numFmtId="0" fontId="3" fillId="0" borderId="16" xfId="0" applyFont="1" applyBorder="1" applyAlignment="1" applyProtection="1">
      <alignment horizontal="right"/>
      <protection hidden="1"/>
    </xf>
    <xf numFmtId="49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3" fillId="0" borderId="0" xfId="0" applyNumberFormat="1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6" fillId="0" borderId="17" xfId="0" applyFont="1" applyFill="1" applyBorder="1" applyAlignment="1" applyProtection="1">
      <alignment horizontal="left"/>
      <protection hidden="1"/>
    </xf>
    <xf numFmtId="0" fontId="7" fillId="6" borderId="15" xfId="0" applyFont="1" applyFill="1" applyBorder="1" applyProtection="1">
      <protection hidden="1"/>
    </xf>
    <xf numFmtId="0" fontId="7" fillId="6" borderId="15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Protection="1">
      <protection hidden="1"/>
    </xf>
    <xf numFmtId="49" fontId="7" fillId="0" borderId="15" xfId="0" applyNumberFormat="1" applyFont="1" applyBorder="1" applyProtection="1">
      <protection hidden="1"/>
    </xf>
    <xf numFmtId="0" fontId="6" fillId="0" borderId="15" xfId="0" applyFont="1" applyBorder="1" applyAlignment="1" applyProtection="1">
      <alignment horizontal="left"/>
      <protection hidden="1"/>
    </xf>
    <xf numFmtId="0" fontId="7" fillId="6" borderId="24" xfId="0" applyFont="1" applyFill="1" applyBorder="1" applyProtection="1">
      <protection hidden="1"/>
    </xf>
    <xf numFmtId="49" fontId="7" fillId="0" borderId="24" xfId="0" applyNumberFormat="1" applyFont="1" applyBorder="1" applyProtection="1">
      <protection hidden="1"/>
    </xf>
    <xf numFmtId="0" fontId="18" fillId="0" borderId="25" xfId="0" applyFont="1" applyFill="1" applyBorder="1" applyProtection="1">
      <protection hidden="1"/>
    </xf>
    <xf numFmtId="4" fontId="7" fillId="0" borderId="15" xfId="0" applyNumberFormat="1" applyFont="1" applyBorder="1"/>
    <xf numFmtId="0" fontId="6" fillId="4" borderId="7" xfId="0" applyFont="1" applyFill="1" applyBorder="1" applyAlignment="1">
      <alignment horizontal="right"/>
    </xf>
    <xf numFmtId="4" fontId="7" fillId="0" borderId="15" xfId="0" applyNumberFormat="1" applyFont="1" applyFill="1" applyBorder="1"/>
    <xf numFmtId="0" fontId="6" fillId="0" borderId="25" xfId="0" applyFont="1" applyBorder="1" applyAlignment="1" applyProtection="1">
      <alignment horizontal="right"/>
      <protection hidden="1"/>
    </xf>
    <xf numFmtId="4" fontId="6" fillId="0" borderId="15" xfId="0" applyNumberFormat="1" applyFont="1" applyFill="1" applyBorder="1"/>
    <xf numFmtId="0" fontId="6" fillId="0" borderId="16" xfId="0" applyFont="1" applyFill="1" applyBorder="1" applyAlignment="1">
      <alignment horizontal="left"/>
    </xf>
    <xf numFmtId="165" fontId="2" fillId="5" borderId="4" xfId="0" applyNumberFormat="1" applyFont="1" applyFill="1" applyBorder="1" applyAlignment="1" applyProtection="1">
      <alignment horizontal="right" wrapText="1"/>
      <protection hidden="1"/>
    </xf>
    <xf numFmtId="0" fontId="19" fillId="0" borderId="1" xfId="0" applyFont="1" applyFill="1" applyBorder="1" applyAlignment="1" applyProtection="1">
      <alignment horizontal="right" wrapText="1"/>
      <protection hidden="1"/>
    </xf>
    <xf numFmtId="0" fontId="3" fillId="0" borderId="26" xfId="0" applyFont="1" applyBorder="1" applyAlignment="1" applyProtection="1">
      <alignment horizontal="left" wrapText="1"/>
      <protection locked="0" hidden="1"/>
    </xf>
    <xf numFmtId="0" fontId="3" fillId="0" borderId="23" xfId="0" applyFont="1" applyFill="1" applyBorder="1" applyAlignment="1" applyProtection="1">
      <alignment horizontal="left" wrapText="1"/>
      <protection locked="0" hidden="1"/>
    </xf>
    <xf numFmtId="1" fontId="3" fillId="0" borderId="23" xfId="0" applyNumberFormat="1" applyFont="1" applyFill="1" applyBorder="1" applyAlignment="1" applyProtection="1">
      <alignment horizontal="left" wrapText="1"/>
      <protection locked="0" hidden="1"/>
    </xf>
    <xf numFmtId="0" fontId="3" fillId="0" borderId="26" xfId="0" applyFont="1" applyFill="1" applyBorder="1" applyAlignment="1" applyProtection="1">
      <alignment horizontal="left" wrapText="1"/>
      <protection locked="0" hidden="1"/>
    </xf>
    <xf numFmtId="1" fontId="3" fillId="0" borderId="26" xfId="0" applyNumberFormat="1" applyFont="1" applyFill="1" applyBorder="1" applyAlignment="1" applyProtection="1">
      <alignment horizontal="left" wrapText="1"/>
      <protection locked="0" hidden="1"/>
    </xf>
    <xf numFmtId="1" fontId="3" fillId="0" borderId="27" xfId="0" applyNumberFormat="1" applyFont="1" applyFill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left"/>
      <protection hidden="1"/>
    </xf>
    <xf numFmtId="0" fontId="18" fillId="4" borderId="28" xfId="0" applyFont="1" applyFill="1" applyBorder="1" applyAlignment="1">
      <alignment horizontal="center"/>
    </xf>
    <xf numFmtId="4" fontId="7" fillId="0" borderId="29" xfId="0" applyNumberFormat="1" applyFont="1" applyBorder="1"/>
    <xf numFmtId="0" fontId="7" fillId="0" borderId="29" xfId="0" applyFont="1" applyBorder="1" applyProtection="1">
      <protection hidden="1"/>
    </xf>
    <xf numFmtId="0" fontId="7" fillId="0" borderId="0" xfId="0" applyFont="1" applyFill="1" applyProtection="1">
      <protection hidden="1"/>
    </xf>
    <xf numFmtId="49" fontId="19" fillId="0" borderId="15" xfId="0" applyNumberFormat="1" applyFont="1" applyBorder="1" applyAlignment="1" applyProtection="1">
      <alignment horizontal="center" wrapText="1"/>
      <protection locked="0" hidden="1"/>
    </xf>
    <xf numFmtId="166" fontId="3" fillId="0" borderId="15" xfId="0" applyNumberFormat="1" applyFont="1" applyBorder="1" applyAlignment="1" applyProtection="1">
      <alignment wrapText="1"/>
      <protection locked="0" hidden="1"/>
    </xf>
    <xf numFmtId="0" fontId="9" fillId="0" borderId="0" xfId="0" applyFont="1" applyProtection="1">
      <protection hidden="1"/>
    </xf>
    <xf numFmtId="9" fontId="7" fillId="0" borderId="30" xfId="0" applyNumberFormat="1" applyFont="1" applyBorder="1" applyProtection="1">
      <protection hidden="1"/>
    </xf>
    <xf numFmtId="9" fontId="7" fillId="0" borderId="31" xfId="0" applyNumberFormat="1" applyFont="1" applyBorder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3" fontId="7" fillId="0" borderId="0" xfId="0" applyNumberFormat="1" applyFont="1" applyProtection="1">
      <protection hidden="1"/>
    </xf>
    <xf numFmtId="3" fontId="0" fillId="0" borderId="0" xfId="0" applyNumberFormat="1" applyProtection="1">
      <protection hidden="1"/>
    </xf>
    <xf numFmtId="3" fontId="6" fillId="0" borderId="0" xfId="0" applyNumberFormat="1" applyFont="1" applyProtection="1">
      <protection hidden="1"/>
    </xf>
    <xf numFmtId="3" fontId="6" fillId="0" borderId="0" xfId="0" applyNumberFormat="1" applyFont="1" applyAlignment="1" applyProtection="1">
      <alignment horizontal="right"/>
      <protection hidden="1"/>
    </xf>
    <xf numFmtId="3" fontId="0" fillId="0" borderId="0" xfId="0" applyNumberFormat="1" applyAlignment="1" applyProtection="1">
      <alignment horizontal="right"/>
      <protection hidden="1"/>
    </xf>
    <xf numFmtId="0" fontId="6" fillId="0" borderId="24" xfId="0" applyFont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left" vertical="center"/>
    </xf>
    <xf numFmtId="2" fontId="13" fillId="0" borderId="2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Border="1" applyAlignment="1">
      <alignment horizontal="left" vertical="center"/>
    </xf>
    <xf numFmtId="2" fontId="13" fillId="0" borderId="16" xfId="0" applyNumberFormat="1" applyFont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2" fontId="13" fillId="0" borderId="9" xfId="0" applyNumberFormat="1" applyFont="1" applyBorder="1" applyAlignment="1">
      <alignment horizontal="left" vertical="center"/>
    </xf>
    <xf numFmtId="0" fontId="6" fillId="0" borderId="24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16" xfId="0" applyFont="1" applyFill="1" applyBorder="1" applyAlignment="1" applyProtection="1">
      <alignment horizontal="left"/>
      <protection hidden="1"/>
    </xf>
    <xf numFmtId="49" fontId="6" fillId="0" borderId="24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49" fontId="7" fillId="0" borderId="0" xfId="0" applyNumberFormat="1" applyFont="1" applyBorder="1" applyProtection="1">
      <protection hidden="1"/>
    </xf>
    <xf numFmtId="49" fontId="7" fillId="0" borderId="16" xfId="0" applyNumberFormat="1" applyFont="1" applyBorder="1" applyProtection="1">
      <protection hidden="1"/>
    </xf>
    <xf numFmtId="0" fontId="6" fillId="0" borderId="24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16" xfId="0" applyFont="1" applyBorder="1" applyProtection="1">
      <protection hidden="1"/>
    </xf>
    <xf numFmtId="0" fontId="7" fillId="0" borderId="24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7" fillId="0" borderId="16" xfId="0" applyFont="1" applyBorder="1" applyAlignment="1" applyProtection="1">
      <protection hidden="1"/>
    </xf>
    <xf numFmtId="0" fontId="7" fillId="6" borderId="0" xfId="0" applyFont="1" applyFill="1" applyBorder="1" applyProtection="1">
      <protection hidden="1"/>
    </xf>
    <xf numFmtId="0" fontId="7" fillId="6" borderId="16" xfId="0" applyFont="1" applyFill="1" applyBorder="1" applyProtection="1"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6" fillId="0" borderId="24" xfId="0" applyFont="1" applyFill="1" applyBorder="1" applyAlignment="1">
      <alignment horizontal="left"/>
    </xf>
    <xf numFmtId="4" fontId="7" fillId="0" borderId="24" xfId="0" applyNumberFormat="1" applyFont="1" applyFill="1" applyBorder="1"/>
    <xf numFmtId="4" fontId="7" fillId="0" borderId="16" xfId="0" applyNumberFormat="1" applyFont="1" applyFill="1" applyBorder="1"/>
    <xf numFmtId="0" fontId="6" fillId="0" borderId="0" xfId="0" applyFont="1" applyFill="1" applyBorder="1" applyAlignment="1">
      <alignment horizontal="left"/>
    </xf>
    <xf numFmtId="4" fontId="7" fillId="0" borderId="0" xfId="0" applyNumberFormat="1" applyFont="1" applyFill="1" applyBorder="1"/>
    <xf numFmtId="0" fontId="2" fillId="2" borderId="3" xfId="0" applyFont="1" applyFill="1" applyBorder="1" applyAlignment="1" applyProtection="1">
      <alignment horizontal="left" wrapText="1" indent="1"/>
      <protection hidden="1"/>
    </xf>
    <xf numFmtId="0" fontId="2" fillId="2" borderId="4" xfId="0" applyFont="1" applyFill="1" applyBorder="1" applyAlignment="1" applyProtection="1">
      <alignment horizontal="left" wrapText="1" inden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 wrapText="1" indent="2"/>
      <protection hidden="1"/>
    </xf>
    <xf numFmtId="0" fontId="2" fillId="3" borderId="5" xfId="0" applyFont="1" applyFill="1" applyBorder="1" applyAlignment="1" applyProtection="1">
      <alignment horizontal="left" wrapText="1" indent="2"/>
      <protection hidden="1"/>
    </xf>
    <xf numFmtId="49" fontId="7" fillId="0" borderId="1" xfId="0" applyNumberFormat="1" applyFont="1" applyBorder="1" applyProtection="1">
      <protection hidden="1"/>
    </xf>
    <xf numFmtId="0" fontId="6" fillId="0" borderId="1" xfId="0" applyFont="1" applyBorder="1" applyAlignment="1">
      <alignment horizontal="left" vertical="center"/>
    </xf>
    <xf numFmtId="2" fontId="13" fillId="0" borderId="1" xfId="0" applyNumberFormat="1" applyFont="1" applyBorder="1" applyAlignment="1">
      <alignment horizontal="left" vertical="center"/>
    </xf>
    <xf numFmtId="0" fontId="7" fillId="6" borderId="0" xfId="0" applyFont="1" applyFill="1" applyProtection="1">
      <protection hidden="1"/>
    </xf>
    <xf numFmtId="0" fontId="3" fillId="0" borderId="27" xfId="0" applyFont="1" applyFill="1" applyBorder="1" applyAlignment="1" applyProtection="1">
      <alignment horizontal="left" wrapText="1"/>
      <protection locked="0" hidden="1"/>
    </xf>
    <xf numFmtId="0" fontId="3" fillId="0" borderId="32" xfId="0" applyFont="1" applyFill="1" applyBorder="1" applyAlignment="1" applyProtection="1">
      <alignment horizontal="left" wrapText="1"/>
      <protection locked="0" hidden="1"/>
    </xf>
    <xf numFmtId="0" fontId="2" fillId="0" borderId="4" xfId="0" applyFont="1" applyBorder="1" applyProtection="1">
      <protection hidden="1"/>
    </xf>
    <xf numFmtId="0" fontId="0" fillId="0" borderId="4" xfId="0" applyBorder="1" applyProtection="1">
      <protection hidden="1"/>
    </xf>
    <xf numFmtId="0" fontId="8" fillId="0" borderId="4" xfId="0" applyFont="1" applyBorder="1" applyProtection="1">
      <protection hidden="1"/>
    </xf>
    <xf numFmtId="0" fontId="3" fillId="0" borderId="33" xfId="0" applyFont="1" applyFill="1" applyBorder="1" applyAlignment="1" applyProtection="1">
      <alignment horizontal="left" wrapText="1"/>
      <protection locked="0" hidden="1"/>
    </xf>
    <xf numFmtId="0" fontId="3" fillId="0" borderId="34" xfId="0" applyFont="1" applyFill="1" applyBorder="1" applyAlignment="1" applyProtection="1">
      <alignment horizontal="left" wrapText="1"/>
      <protection locked="0" hidden="1"/>
    </xf>
    <xf numFmtId="0" fontId="4" fillId="0" borderId="4" xfId="0" applyFont="1" applyBorder="1" applyProtection="1">
      <protection hidden="1"/>
    </xf>
    <xf numFmtId="0" fontId="3" fillId="6" borderId="35" xfId="0" applyFont="1" applyFill="1" applyBorder="1" applyAlignment="1" applyProtection="1">
      <alignment horizontal="center"/>
      <protection hidden="1"/>
    </xf>
    <xf numFmtId="0" fontId="3" fillId="6" borderId="27" xfId="0" applyFont="1" applyFill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left" wrapText="1"/>
      <protection locked="0" hidden="1"/>
    </xf>
    <xf numFmtId="0" fontId="3" fillId="0" borderId="34" xfId="0" applyFont="1" applyBorder="1" applyAlignment="1" applyProtection="1">
      <alignment horizontal="left" wrapText="1"/>
      <protection locked="0" hidden="1"/>
    </xf>
    <xf numFmtId="1" fontId="3" fillId="0" borderId="32" xfId="0" applyNumberFormat="1" applyFont="1" applyFill="1" applyBorder="1" applyAlignment="1" applyProtection="1">
      <alignment horizontal="left" wrapText="1"/>
      <protection locked="0" hidden="1"/>
    </xf>
    <xf numFmtId="0" fontId="2" fillId="0" borderId="36" xfId="0" applyFont="1" applyBorder="1" applyProtection="1">
      <protection hidden="1"/>
    </xf>
    <xf numFmtId="0" fontId="0" fillId="0" borderId="36" xfId="0" applyBorder="1" applyProtection="1">
      <protection hidden="1"/>
    </xf>
    <xf numFmtId="0" fontId="4" fillId="0" borderId="36" xfId="0" applyFont="1" applyBorder="1" applyProtection="1">
      <protection hidden="1"/>
    </xf>
    <xf numFmtId="0" fontId="8" fillId="0" borderId="36" xfId="0" applyFont="1" applyBorder="1" applyProtection="1">
      <protection hidden="1"/>
    </xf>
    <xf numFmtId="165" fontId="3" fillId="8" borderId="27" xfId="0" applyNumberFormat="1" applyFont="1" applyFill="1" applyBorder="1" applyAlignment="1" applyProtection="1">
      <alignment horizontal="right"/>
      <protection hidden="1"/>
    </xf>
    <xf numFmtId="165" fontId="3" fillId="8" borderId="23" xfId="0" applyNumberFormat="1" applyFont="1" applyFill="1" applyBorder="1" applyAlignment="1" applyProtection="1">
      <alignment horizontal="right"/>
      <protection hidden="1"/>
    </xf>
    <xf numFmtId="165" fontId="3" fillId="8" borderId="32" xfId="0" applyNumberFormat="1" applyFont="1" applyFill="1" applyBorder="1" applyAlignment="1" applyProtection="1">
      <alignment horizontal="right"/>
      <protection hidden="1"/>
    </xf>
    <xf numFmtId="165" fontId="3" fillId="8" borderId="27" xfId="0" applyNumberFormat="1" applyFont="1" applyFill="1" applyBorder="1" applyAlignment="1" applyProtection="1">
      <alignment horizontal="right" wrapText="1"/>
      <protection hidden="1"/>
    </xf>
    <xf numFmtId="165" fontId="3" fillId="8" borderId="32" xfId="0" applyNumberFormat="1" applyFont="1" applyFill="1" applyBorder="1" applyAlignment="1" applyProtection="1">
      <alignment horizontal="right" wrapText="1"/>
      <protection hidden="1"/>
    </xf>
    <xf numFmtId="165" fontId="3" fillId="8" borderId="26" xfId="0" applyNumberFormat="1" applyFont="1" applyFill="1" applyBorder="1" applyAlignment="1" applyProtection="1">
      <alignment horizontal="right" wrapText="1"/>
      <protection hidden="1"/>
    </xf>
    <xf numFmtId="3" fontId="2" fillId="4" borderId="27" xfId="0" applyNumberFormat="1" applyFont="1" applyFill="1" applyBorder="1" applyAlignment="1" applyProtection="1">
      <alignment horizontal="center"/>
      <protection locked="0" hidden="1"/>
    </xf>
    <xf numFmtId="3" fontId="2" fillId="4" borderId="23" xfId="0" applyNumberFormat="1" applyFont="1" applyFill="1" applyBorder="1" applyAlignment="1" applyProtection="1">
      <alignment horizontal="center"/>
      <protection locked="0" hidden="1"/>
    </xf>
    <xf numFmtId="3" fontId="2" fillId="4" borderId="32" xfId="0" applyNumberFormat="1" applyFont="1" applyFill="1" applyBorder="1" applyAlignment="1" applyProtection="1">
      <alignment horizontal="center"/>
      <protection locked="0" hidden="1"/>
    </xf>
    <xf numFmtId="0" fontId="23" fillId="6" borderId="23" xfId="0" applyFont="1" applyFill="1" applyBorder="1" applyAlignment="1" applyProtection="1">
      <alignment horizontal="left" wrapText="1"/>
      <protection hidden="1"/>
    </xf>
    <xf numFmtId="0" fontId="23" fillId="6" borderId="27" xfId="0" applyFont="1" applyFill="1" applyBorder="1" applyAlignment="1" applyProtection="1">
      <alignment horizontal="left" wrapText="1"/>
      <protection hidden="1"/>
    </xf>
    <xf numFmtId="0" fontId="23" fillId="6" borderId="32" xfId="0" applyFont="1" applyFill="1" applyBorder="1" applyAlignment="1" applyProtection="1">
      <alignment horizontal="left" wrapText="1"/>
      <protection hidden="1"/>
    </xf>
    <xf numFmtId="0" fontId="23" fillId="6" borderId="33" xfId="0" applyFont="1" applyFill="1" applyBorder="1" applyAlignment="1" applyProtection="1">
      <alignment horizontal="left" wrapText="1"/>
      <protection hidden="1"/>
    </xf>
    <xf numFmtId="0" fontId="23" fillId="6" borderId="26" xfId="0" applyFont="1" applyFill="1" applyBorder="1" applyAlignment="1" applyProtection="1">
      <alignment horizontal="left" wrapText="1"/>
      <protection hidden="1"/>
    </xf>
    <xf numFmtId="0" fontId="23" fillId="6" borderId="34" xfId="0" applyFont="1" applyFill="1" applyBorder="1" applyAlignment="1" applyProtection="1">
      <alignment horizontal="left" wrapText="1"/>
      <protection hidden="1"/>
    </xf>
    <xf numFmtId="0" fontId="0" fillId="9" borderId="4" xfId="0" applyFill="1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4" fillId="0" borderId="6" xfId="0" applyFont="1" applyBorder="1"/>
    <xf numFmtId="0" fontId="25" fillId="9" borderId="5" xfId="0" applyFont="1" applyFill="1" applyBorder="1" applyAlignment="1" applyProtection="1">
      <alignment horizontal="right" indent="1"/>
      <protection hidden="1"/>
    </xf>
    <xf numFmtId="0" fontId="20" fillId="0" borderId="0" xfId="0" applyFont="1" applyProtection="1">
      <protection hidden="1"/>
    </xf>
    <xf numFmtId="0" fontId="26" fillId="0" borderId="0" xfId="0" applyFont="1" applyProtection="1">
      <protection hidden="1"/>
    </xf>
    <xf numFmtId="49" fontId="7" fillId="0" borderId="9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27" fillId="0" borderId="0" xfId="0" applyFont="1" applyProtection="1">
      <protection hidden="1"/>
    </xf>
    <xf numFmtId="0" fontId="24" fillId="0" borderId="1" xfId="0" applyFont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left" wrapText="1" indent="2"/>
      <protection hidden="1"/>
    </xf>
    <xf numFmtId="0" fontId="22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49" fontId="7" fillId="6" borderId="15" xfId="0" applyNumberFormat="1" applyFont="1" applyFill="1" applyBorder="1" applyAlignment="1">
      <alignment horizontal="left" vertical="center"/>
    </xf>
    <xf numFmtId="2" fontId="13" fillId="6" borderId="15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28" fillId="0" borderId="0" xfId="0" applyFont="1" applyProtection="1">
      <protection hidden="1"/>
    </xf>
    <xf numFmtId="0" fontId="6" fillId="6" borderId="15" xfId="0" applyFont="1" applyFill="1" applyBorder="1" applyProtection="1">
      <protection hidden="1"/>
    </xf>
    <xf numFmtId="49" fontId="6" fillId="6" borderId="15" xfId="0" applyNumberFormat="1" applyFont="1" applyFill="1" applyBorder="1" applyAlignment="1">
      <alignment horizontal="left" vertical="center"/>
    </xf>
    <xf numFmtId="3" fontId="12" fillId="0" borderId="0" xfId="0" applyNumberFormat="1" applyFont="1" applyAlignment="1" applyProtection="1">
      <alignment horizontal="center"/>
      <protection hidden="1"/>
    </xf>
    <xf numFmtId="0" fontId="6" fillId="0" borderId="0" xfId="0" applyFont="1" applyBorder="1" applyAlignment="1" applyProtection="1">
      <protection hidden="1"/>
    </xf>
    <xf numFmtId="0" fontId="6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18" fillId="0" borderId="24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18" fillId="0" borderId="16" xfId="0" applyNumberFormat="1" applyFont="1" applyFill="1" applyBorder="1" applyAlignment="1">
      <alignment horizontal="left" vertical="center"/>
    </xf>
    <xf numFmtId="2" fontId="13" fillId="0" borderId="24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left" vertical="center"/>
    </xf>
    <xf numFmtId="2" fontId="13" fillId="0" borderId="16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wrapText="1" indent="1"/>
      <protection hidden="1"/>
    </xf>
    <xf numFmtId="0" fontId="2" fillId="5" borderId="3" xfId="0" applyFont="1" applyFill="1" applyBorder="1" applyAlignment="1" applyProtection="1">
      <alignment horizontal="center" wrapText="1"/>
      <protection locked="0" hidden="1"/>
    </xf>
    <xf numFmtId="0" fontId="2" fillId="5" borderId="4" xfId="0" applyFont="1" applyFill="1" applyBorder="1" applyAlignment="1" applyProtection="1">
      <alignment horizontal="center" wrapText="1"/>
      <protection locked="0" hidden="1"/>
    </xf>
    <xf numFmtId="0" fontId="17" fillId="0" borderId="15" xfId="0" applyNumberFormat="1" applyFont="1" applyBorder="1" applyAlignment="1" applyProtection="1">
      <alignment wrapText="1"/>
      <protection hidden="1"/>
    </xf>
    <xf numFmtId="14" fontId="2" fillId="0" borderId="15" xfId="0" applyNumberFormat="1" applyFont="1" applyBorder="1" applyAlignment="1" applyProtection="1">
      <alignment vertical="center" wrapText="1"/>
      <protection hidden="1"/>
    </xf>
    <xf numFmtId="0" fontId="7" fillId="0" borderId="24" xfId="0" applyFont="1" applyBorder="1"/>
    <xf numFmtId="0" fontId="7" fillId="0" borderId="0" xfId="0" applyFont="1" applyBorder="1"/>
    <xf numFmtId="0" fontId="7" fillId="0" borderId="16" xfId="0" applyFont="1" applyBorder="1"/>
    <xf numFmtId="0" fontId="6" fillId="0" borderId="16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6" fillId="0" borderId="24" xfId="0" applyFont="1" applyFill="1" applyBorder="1" applyProtection="1">
      <protection hidden="1"/>
    </xf>
    <xf numFmtId="49" fontId="6" fillId="0" borderId="9" xfId="0" applyNumberFormat="1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wrapText="1"/>
      <protection hidden="1"/>
    </xf>
    <xf numFmtId="0" fontId="7" fillId="0" borderId="16" xfId="0" applyFont="1" applyBorder="1" applyProtection="1"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" fillId="6" borderId="15" xfId="0" applyFont="1" applyFill="1" applyBorder="1" applyAlignment="1">
      <alignment horizontal="left"/>
    </xf>
    <xf numFmtId="4" fontId="7" fillId="6" borderId="15" xfId="0" applyNumberFormat="1" applyFont="1" applyFill="1" applyBorder="1"/>
    <xf numFmtId="4" fontId="7" fillId="6" borderId="29" xfId="0" applyNumberFormat="1" applyFont="1" applyFill="1" applyBorder="1"/>
    <xf numFmtId="4" fontId="6" fillId="6" borderId="15" xfId="0" applyNumberFormat="1" applyFont="1" applyFill="1" applyBorder="1"/>
    <xf numFmtId="0" fontId="29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protection hidden="1"/>
    </xf>
    <xf numFmtId="0" fontId="29" fillId="0" borderId="0" xfId="0" applyFont="1" applyFill="1" applyProtection="1">
      <protection hidden="1"/>
    </xf>
    <xf numFmtId="0" fontId="3" fillId="0" borderId="0" xfId="1" applyFont="1" applyAlignment="1" applyProtection="1">
      <protection hidden="1"/>
    </xf>
    <xf numFmtId="0" fontId="23" fillId="0" borderId="0" xfId="0" applyFont="1" applyFill="1" applyProtection="1">
      <protection hidden="1"/>
    </xf>
    <xf numFmtId="0" fontId="30" fillId="0" borderId="0" xfId="0" applyFont="1" applyAlignment="1" applyProtection="1">
      <alignment horizontal="right"/>
      <protection hidden="1"/>
    </xf>
    <xf numFmtId="49" fontId="30" fillId="0" borderId="0" xfId="0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 applyFill="1" applyBorder="1" applyProtection="1">
      <protection hidden="1"/>
    </xf>
    <xf numFmtId="0" fontId="30" fillId="0" borderId="0" xfId="0" applyFont="1" applyFill="1" applyAlignment="1" applyProtection="1">
      <protection hidden="1"/>
    </xf>
    <xf numFmtId="0" fontId="29" fillId="0" borderId="0" xfId="0" applyFont="1" applyBorder="1" applyAlignment="1" applyProtection="1">
      <alignment wrapText="1"/>
      <protection hidden="1"/>
    </xf>
    <xf numFmtId="0" fontId="29" fillId="6" borderId="0" xfId="0" applyFont="1" applyFill="1" applyProtection="1">
      <protection hidden="1"/>
    </xf>
    <xf numFmtId="0" fontId="29" fillId="2" borderId="0" xfId="0" applyFont="1" applyFill="1" applyProtection="1">
      <protection hidden="1"/>
    </xf>
    <xf numFmtId="0" fontId="30" fillId="6" borderId="3" xfId="0" applyFont="1" applyFill="1" applyBorder="1" applyAlignment="1" applyProtection="1">
      <alignment horizontal="center" vertical="justify"/>
      <protection hidden="1"/>
    </xf>
    <xf numFmtId="0" fontId="30" fillId="6" borderId="4" xfId="0" applyFont="1" applyFill="1" applyBorder="1" applyAlignment="1" applyProtection="1">
      <alignment horizontal="center" vertical="justify"/>
      <protection hidden="1"/>
    </xf>
    <xf numFmtId="0" fontId="30" fillId="0" borderId="0" xfId="0" applyFont="1" applyAlignment="1" applyProtection="1">
      <alignment horizontal="center"/>
      <protection hidden="1"/>
    </xf>
    <xf numFmtId="0" fontId="30" fillId="6" borderId="5" xfId="0" applyFont="1" applyFill="1" applyBorder="1" applyAlignment="1" applyProtection="1">
      <alignment horizontal="center" vertical="justify"/>
      <protection hidden="1"/>
    </xf>
    <xf numFmtId="0" fontId="29" fillId="0" borderId="1" xfId="0" applyFont="1" applyBorder="1" applyProtection="1">
      <protection hidden="1"/>
    </xf>
    <xf numFmtId="0" fontId="29" fillId="0" borderId="1" xfId="0" applyFont="1" applyFill="1" applyBorder="1" applyAlignment="1" applyProtection="1">
      <alignment horizontal="center"/>
      <protection hidden="1"/>
    </xf>
    <xf numFmtId="0" fontId="29" fillId="0" borderId="1" xfId="0" applyFont="1" applyFill="1" applyBorder="1" applyProtection="1">
      <protection hidden="1"/>
    </xf>
    <xf numFmtId="0" fontId="31" fillId="0" borderId="1" xfId="0" applyFont="1" applyFill="1" applyBorder="1" applyAlignment="1" applyProtection="1">
      <alignment horizontal="center"/>
      <protection hidden="1"/>
    </xf>
    <xf numFmtId="0" fontId="30" fillId="0" borderId="1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Protection="1">
      <protection hidden="1"/>
    </xf>
    <xf numFmtId="0" fontId="29" fillId="2" borderId="3" xfId="0" applyFont="1" applyFill="1" applyBorder="1" applyAlignment="1" applyProtection="1">
      <alignment horizontal="left" vertical="center" wrapText="1"/>
      <protection hidden="1"/>
    </xf>
    <xf numFmtId="0" fontId="5" fillId="2" borderId="4" xfId="0" applyFont="1" applyFill="1" applyBorder="1" applyAlignment="1" applyProtection="1">
      <alignment horizontal="left" wrapText="1"/>
      <protection hidden="1"/>
    </xf>
    <xf numFmtId="0" fontId="29" fillId="2" borderId="4" xfId="0" applyFont="1" applyFill="1" applyBorder="1" applyAlignment="1" applyProtection="1">
      <alignment horizontal="right" vertical="center" wrapText="1"/>
      <protection hidden="1"/>
    </xf>
    <xf numFmtId="0" fontId="30" fillId="2" borderId="4" xfId="0" applyFont="1" applyFill="1" applyBorder="1" applyAlignment="1" applyProtection="1">
      <alignment horizontal="right" vertical="center" wrapText="1"/>
      <protection hidden="1"/>
    </xf>
    <xf numFmtId="4" fontId="30" fillId="2" borderId="5" xfId="0" applyNumberFormat="1" applyFont="1" applyFill="1" applyBorder="1" applyAlignment="1" applyProtection="1">
      <alignment horizontal="right" vertical="center" wrapText="1"/>
      <protection hidden="1"/>
    </xf>
    <xf numFmtId="0" fontId="29" fillId="0" borderId="0" xfId="0" applyFont="1" applyAlignment="1" applyProtection="1">
      <alignment wrapText="1"/>
      <protection hidden="1"/>
    </xf>
    <xf numFmtId="3" fontId="30" fillId="2" borderId="0" xfId="0" applyNumberFormat="1" applyFont="1" applyFill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29" fillId="0" borderId="1" xfId="0" applyFont="1" applyBorder="1" applyAlignment="1" applyProtection="1">
      <alignment wrapText="1"/>
      <protection hidden="1"/>
    </xf>
    <xf numFmtId="0" fontId="32" fillId="0" borderId="1" xfId="0" applyFont="1" applyFill="1" applyBorder="1" applyProtection="1">
      <protection hidden="1"/>
    </xf>
    <xf numFmtId="0" fontId="32" fillId="6" borderId="1" xfId="0" applyFont="1" applyFill="1" applyBorder="1" applyProtection="1">
      <protection hidden="1"/>
    </xf>
    <xf numFmtId="0" fontId="32" fillId="0" borderId="1" xfId="0" applyFont="1" applyFill="1" applyBorder="1" applyAlignment="1" applyProtection="1">
      <alignment horizontal="center"/>
      <protection hidden="1"/>
    </xf>
    <xf numFmtId="4" fontId="29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30" fillId="2" borderId="37" xfId="0" applyNumberFormat="1" applyFont="1" applyFill="1" applyBorder="1" applyAlignment="1" applyProtection="1">
      <alignment horizontal="right" vertical="center" wrapText="1"/>
      <protection hidden="1"/>
    </xf>
    <xf numFmtId="3" fontId="29" fillId="2" borderId="0" xfId="0" applyNumberFormat="1" applyFont="1" applyFill="1" applyAlignment="1" applyProtection="1">
      <alignment wrapText="1"/>
      <protection hidden="1"/>
    </xf>
    <xf numFmtId="0" fontId="5" fillId="0" borderId="24" xfId="0" applyFont="1" applyFill="1" applyBorder="1" applyAlignment="1" applyProtection="1">
      <alignment wrapText="1"/>
      <protection hidden="1"/>
    </xf>
    <xf numFmtId="0" fontId="30" fillId="0" borderId="0" xfId="0" applyFont="1" applyAlignment="1" applyProtection="1">
      <alignment horizontal="right" wrapText="1"/>
      <protection hidden="1"/>
    </xf>
    <xf numFmtId="2" fontId="5" fillId="0" borderId="0" xfId="0" applyNumberFormat="1" applyFont="1" applyFill="1" applyAlignment="1" applyProtection="1">
      <alignment wrapText="1"/>
      <protection hidden="1"/>
    </xf>
    <xf numFmtId="0" fontId="5" fillId="0" borderId="0" xfId="0" applyNumberFormat="1" applyFont="1" applyFill="1" applyAlignment="1" applyProtection="1">
      <alignment wrapText="1"/>
      <protection hidden="1"/>
    </xf>
    <xf numFmtId="0" fontId="5" fillId="0" borderId="0" xfId="0" applyNumberFormat="1" applyFont="1" applyFill="1" applyAlignment="1" applyProtection="1">
      <alignment horizontal="left" wrapText="1"/>
      <protection hidden="1"/>
    </xf>
    <xf numFmtId="0" fontId="5" fillId="0" borderId="36" xfId="0" applyFont="1" applyFill="1" applyBorder="1" applyAlignment="1" applyProtection="1">
      <alignment wrapText="1"/>
      <protection hidden="1"/>
    </xf>
    <xf numFmtId="0" fontId="5" fillId="0" borderId="36" xfId="0" applyFont="1" applyFill="1" applyBorder="1" applyAlignment="1" applyProtection="1">
      <alignment horizontal="left" wrapText="1"/>
      <protection hidden="1"/>
    </xf>
    <xf numFmtId="4" fontId="5" fillId="0" borderId="0" xfId="0" applyNumberFormat="1" applyFont="1" applyFill="1" applyAlignment="1" applyProtection="1">
      <alignment wrapText="1"/>
      <protection hidden="1"/>
    </xf>
    <xf numFmtId="4" fontId="5" fillId="6" borderId="0" xfId="0" applyNumberFormat="1" applyFont="1" applyFill="1" applyAlignment="1" applyProtection="1">
      <alignment wrapText="1"/>
      <protection hidden="1"/>
    </xf>
    <xf numFmtId="4" fontId="29" fillId="0" borderId="0" xfId="0" applyNumberFormat="1" applyFont="1" applyAlignment="1" applyProtection="1">
      <alignment horizontal="right"/>
      <protection hidden="1"/>
    </xf>
    <xf numFmtId="4" fontId="30" fillId="0" borderId="0" xfId="0" applyNumberFormat="1" applyFont="1" applyFill="1" applyAlignment="1" applyProtection="1">
      <alignment wrapText="1"/>
      <protection hidden="1"/>
    </xf>
    <xf numFmtId="4" fontId="29" fillId="0" borderId="0" xfId="0" applyNumberFormat="1" applyFon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32" fillId="0" borderId="0" xfId="0" applyFont="1" applyAlignment="1" applyProtection="1">
      <alignment horizontal="right" wrapText="1"/>
      <protection hidden="1"/>
    </xf>
    <xf numFmtId="0" fontId="5" fillId="6" borderId="0" xfId="0" applyNumberFormat="1" applyFont="1" applyFill="1" applyAlignment="1" applyProtection="1">
      <alignment horizontal="left" wrapText="1"/>
      <protection hidden="1"/>
    </xf>
    <xf numFmtId="0" fontId="5" fillId="6" borderId="0" xfId="0" applyFont="1" applyFill="1" applyBorder="1" applyAlignment="1" applyProtection="1">
      <alignment wrapText="1"/>
      <protection hidden="1"/>
    </xf>
    <xf numFmtId="0" fontId="5" fillId="0" borderId="0" xfId="0" applyNumberFormat="1" applyFont="1" applyFill="1" applyBorder="1" applyAlignment="1" applyProtection="1">
      <alignment horizontal="left" wrapText="1"/>
      <protection hidden="1"/>
    </xf>
    <xf numFmtId="4" fontId="5" fillId="0" borderId="0" xfId="0" applyNumberFormat="1" applyFont="1" applyFill="1" applyBorder="1" applyAlignment="1" applyProtection="1">
      <alignment wrapText="1"/>
      <protection hidden="1"/>
    </xf>
    <xf numFmtId="0" fontId="5" fillId="6" borderId="0" xfId="0" applyFont="1" applyFill="1" applyAlignment="1" applyProtection="1">
      <alignment wrapText="1"/>
      <protection hidden="1"/>
    </xf>
    <xf numFmtId="0" fontId="29" fillId="6" borderId="0" xfId="0" applyFont="1" applyFill="1" applyAlignment="1" applyProtection="1">
      <alignment wrapText="1"/>
      <protection hidden="1"/>
    </xf>
    <xf numFmtId="4" fontId="29" fillId="0" borderId="16" xfId="0" applyNumberFormat="1" applyFont="1" applyFill="1" applyBorder="1" applyAlignment="1" applyProtection="1">
      <alignment horizontal="right" vertical="center" wrapText="1"/>
      <protection hidden="1"/>
    </xf>
    <xf numFmtId="4" fontId="30" fillId="2" borderId="3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6" xfId="0" applyFont="1" applyFill="1" applyBorder="1" applyAlignment="1" applyProtection="1">
      <alignment wrapText="1"/>
      <protection hidden="1"/>
    </xf>
    <xf numFmtId="0" fontId="34" fillId="0" borderId="16" xfId="0" applyFont="1" applyBorder="1" applyAlignment="1" applyProtection="1">
      <alignment horizontal="right" wrapText="1"/>
      <protection hidden="1"/>
    </xf>
    <xf numFmtId="2" fontId="5" fillId="0" borderId="16" xfId="0" applyNumberFormat="1" applyFont="1" applyFill="1" applyBorder="1" applyAlignment="1" applyProtection="1">
      <alignment wrapText="1"/>
      <protection hidden="1"/>
    </xf>
    <xf numFmtId="0" fontId="5" fillId="0" borderId="16" xfId="0" applyNumberFormat="1" applyFont="1" applyFill="1" applyBorder="1" applyAlignment="1" applyProtection="1">
      <alignment wrapText="1"/>
      <protection hidden="1"/>
    </xf>
    <xf numFmtId="0" fontId="5" fillId="0" borderId="16" xfId="0" applyNumberFormat="1" applyFont="1" applyFill="1" applyBorder="1" applyAlignment="1" applyProtection="1">
      <alignment horizontal="left" wrapText="1"/>
      <protection hidden="1"/>
    </xf>
    <xf numFmtId="0" fontId="5" fillId="6" borderId="16" xfId="0" applyFont="1" applyFill="1" applyBorder="1" applyAlignment="1" applyProtection="1">
      <alignment wrapText="1"/>
      <protection hidden="1"/>
    </xf>
    <xf numFmtId="4" fontId="5" fillId="0" borderId="16" xfId="0" applyNumberFormat="1" applyFont="1" applyFill="1" applyBorder="1" applyAlignment="1" applyProtection="1">
      <alignment wrapText="1"/>
      <protection hidden="1"/>
    </xf>
    <xf numFmtId="0" fontId="29" fillId="6" borderId="16" xfId="0" applyFont="1" applyFill="1" applyBorder="1" applyAlignment="1" applyProtection="1">
      <alignment wrapText="1"/>
      <protection hidden="1"/>
    </xf>
    <xf numFmtId="4" fontId="30" fillId="0" borderId="16" xfId="0" applyNumberFormat="1" applyFont="1" applyFill="1" applyBorder="1" applyAlignment="1" applyProtection="1">
      <alignment wrapText="1"/>
      <protection hidden="1"/>
    </xf>
    <xf numFmtId="4" fontId="29" fillId="0" borderId="16" xfId="0" applyNumberFormat="1" applyFont="1" applyBorder="1" applyAlignment="1" applyProtection="1">
      <alignment wrapText="1"/>
      <protection hidden="1"/>
    </xf>
    <xf numFmtId="0" fontId="34" fillId="0" borderId="1" xfId="0" applyFont="1" applyBorder="1" applyAlignment="1" applyProtection="1">
      <alignment horizontal="right" wrapText="1"/>
      <protection hidden="1"/>
    </xf>
    <xf numFmtId="2" fontId="5" fillId="0" borderId="1" xfId="0" applyNumberFormat="1" applyFont="1" applyFill="1" applyBorder="1" applyAlignment="1" applyProtection="1">
      <alignment wrapText="1"/>
      <protection hidden="1"/>
    </xf>
    <xf numFmtId="0" fontId="5" fillId="0" borderId="1" xfId="0" applyNumberFormat="1" applyFont="1" applyFill="1" applyBorder="1" applyAlignment="1" applyProtection="1">
      <alignment wrapText="1"/>
      <protection hidden="1"/>
    </xf>
    <xf numFmtId="0" fontId="5" fillId="0" borderId="1" xfId="0" applyNumberFormat="1" applyFont="1" applyFill="1" applyBorder="1" applyAlignment="1" applyProtection="1">
      <alignment horizontal="left" wrapText="1"/>
      <protection hidden="1"/>
    </xf>
    <xf numFmtId="0" fontId="5" fillId="6" borderId="1" xfId="0" applyFont="1" applyFill="1" applyBorder="1" applyAlignment="1" applyProtection="1">
      <alignment wrapText="1"/>
      <protection hidden="1"/>
    </xf>
    <xf numFmtId="0" fontId="5" fillId="0" borderId="1" xfId="0" applyFont="1" applyFill="1" applyBorder="1" applyAlignment="1" applyProtection="1">
      <alignment wrapText="1"/>
      <protection hidden="1"/>
    </xf>
    <xf numFmtId="4" fontId="5" fillId="0" borderId="1" xfId="0" applyNumberFormat="1" applyFont="1" applyFill="1" applyBorder="1" applyAlignment="1" applyProtection="1">
      <alignment wrapText="1"/>
      <protection hidden="1"/>
    </xf>
    <xf numFmtId="0" fontId="29" fillId="6" borderId="1" xfId="0" applyFont="1" applyFill="1" applyBorder="1" applyAlignment="1" applyProtection="1">
      <alignment wrapText="1"/>
      <protection hidden="1"/>
    </xf>
    <xf numFmtId="4" fontId="30" fillId="0" borderId="1" xfId="0" applyNumberFormat="1" applyFont="1" applyFill="1" applyBorder="1" applyAlignment="1" applyProtection="1">
      <alignment wrapText="1"/>
      <protection hidden="1"/>
    </xf>
    <xf numFmtId="4" fontId="29" fillId="0" borderId="1" xfId="0" applyNumberFormat="1" applyFont="1" applyBorder="1" applyAlignment="1" applyProtection="1">
      <alignment wrapText="1"/>
      <protection hidden="1"/>
    </xf>
    <xf numFmtId="0" fontId="30" fillId="2" borderId="0" xfId="0" applyFont="1" applyFill="1" applyAlignment="1" applyProtection="1">
      <alignment wrapText="1"/>
      <protection hidden="1"/>
    </xf>
    <xf numFmtId="0" fontId="5" fillId="0" borderId="4" xfId="0" applyFont="1" applyBorder="1" applyAlignment="1" applyProtection="1">
      <alignment wrapText="1"/>
      <protection hidden="1"/>
    </xf>
    <xf numFmtId="4" fontId="29" fillId="0" borderId="38" xfId="0" applyNumberFormat="1" applyFont="1" applyFill="1" applyBorder="1" applyAlignment="1" applyProtection="1">
      <alignment horizontal="right" vertical="center" wrapText="1"/>
      <protection hidden="1"/>
    </xf>
    <xf numFmtId="4" fontId="30" fillId="2" borderId="39" xfId="0" applyNumberFormat="1" applyFont="1" applyFill="1" applyBorder="1" applyAlignment="1" applyProtection="1">
      <alignment horizontal="right" vertical="center" wrapText="1"/>
      <protection hidden="1"/>
    </xf>
    <xf numFmtId="0" fontId="29" fillId="2" borderId="0" xfId="0" applyFont="1" applyFill="1" applyAlignment="1" applyProtection="1">
      <alignment wrapText="1"/>
      <protection hidden="1"/>
    </xf>
    <xf numFmtId="2" fontId="5" fillId="0" borderId="0" xfId="0" applyNumberFormat="1" applyFont="1" applyAlignment="1" applyProtection="1">
      <alignment wrapText="1"/>
      <protection hidden="1"/>
    </xf>
    <xf numFmtId="0" fontId="5" fillId="0" borderId="0" xfId="0" applyNumberFormat="1" applyFont="1" applyAlignment="1" applyProtection="1">
      <alignment wrapText="1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horizontal="left" wrapText="1"/>
      <protection hidden="1"/>
    </xf>
    <xf numFmtId="4" fontId="29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30" fillId="2" borderId="2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 applyProtection="1">
      <alignment wrapText="1"/>
      <protection hidden="1"/>
    </xf>
    <xf numFmtId="2" fontId="5" fillId="0" borderId="1" xfId="0" applyNumberFormat="1" applyFont="1" applyBorder="1" applyAlignment="1" applyProtection="1">
      <alignment wrapText="1"/>
      <protection hidden="1"/>
    </xf>
    <xf numFmtId="0" fontId="5" fillId="0" borderId="1" xfId="0" applyNumberFormat="1" applyFont="1" applyBorder="1" applyAlignment="1" applyProtection="1">
      <alignment wrapText="1"/>
      <protection hidden="1"/>
    </xf>
    <xf numFmtId="0" fontId="5" fillId="0" borderId="1" xfId="0" applyFont="1" applyFill="1" applyBorder="1" applyAlignment="1" applyProtection="1">
      <alignment horizontal="left" wrapText="1"/>
      <protection hidden="1"/>
    </xf>
    <xf numFmtId="4" fontId="5" fillId="6" borderId="1" xfId="0" applyNumberFormat="1" applyFont="1" applyFill="1" applyBorder="1" applyAlignment="1" applyProtection="1">
      <alignment wrapText="1"/>
      <protection hidden="1"/>
    </xf>
    <xf numFmtId="4" fontId="29" fillId="0" borderId="1" xfId="0" applyNumberFormat="1" applyFont="1" applyBorder="1" applyAlignment="1" applyProtection="1">
      <alignment horizontal="right"/>
      <protection hidden="1"/>
    </xf>
    <xf numFmtId="4" fontId="32" fillId="0" borderId="1" xfId="0" applyNumberFormat="1" applyFont="1" applyFill="1" applyBorder="1" applyProtection="1">
      <protection hidden="1"/>
    </xf>
    <xf numFmtId="0" fontId="5" fillId="0" borderId="36" xfId="0" applyNumberFormat="1" applyFont="1" applyFill="1" applyBorder="1" applyAlignment="1" applyProtection="1">
      <alignment horizontal="left" wrapText="1"/>
      <protection hidden="1"/>
    </xf>
    <xf numFmtId="4" fontId="5" fillId="0" borderId="36" xfId="0" applyNumberFormat="1" applyFont="1" applyFill="1" applyBorder="1" applyAlignment="1" applyProtection="1">
      <alignment wrapText="1"/>
      <protection hidden="1"/>
    </xf>
    <xf numFmtId="0" fontId="29" fillId="2" borderId="0" xfId="0" applyFont="1" applyFill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2" fontId="5" fillId="0" borderId="0" xfId="0" applyNumberFormat="1" applyFont="1" applyBorder="1" applyAlignment="1" applyProtection="1">
      <alignment wrapText="1"/>
      <protection hidden="1"/>
    </xf>
    <xf numFmtId="0" fontId="5" fillId="0" borderId="0" xfId="0" applyNumberFormat="1" applyFont="1" applyBorder="1" applyAlignment="1" applyProtection="1">
      <alignment wrapText="1"/>
      <protection hidden="1"/>
    </xf>
    <xf numFmtId="0" fontId="29" fillId="6" borderId="0" xfId="0" applyFont="1" applyFill="1" applyBorder="1" applyAlignment="1" applyProtection="1">
      <alignment wrapText="1"/>
      <protection hidden="1"/>
    </xf>
    <xf numFmtId="4" fontId="30" fillId="0" borderId="0" xfId="0" applyNumberFormat="1" applyFont="1" applyFill="1" applyBorder="1" applyAlignment="1" applyProtection="1">
      <alignment wrapText="1"/>
      <protection hidden="1"/>
    </xf>
    <xf numFmtId="4" fontId="29" fillId="0" borderId="0" xfId="0" applyNumberFormat="1" applyFont="1" applyBorder="1" applyAlignment="1" applyProtection="1">
      <alignment wrapText="1"/>
      <protection hidden="1"/>
    </xf>
    <xf numFmtId="4" fontId="29" fillId="0" borderId="24" xfId="0" applyNumberFormat="1" applyFont="1" applyFill="1" applyBorder="1" applyAlignment="1" applyProtection="1">
      <alignment horizontal="right" vertical="center" wrapText="1"/>
      <protection hidden="1"/>
    </xf>
    <xf numFmtId="4" fontId="30" fillId="2" borderId="34" xfId="0" applyNumberFormat="1" applyFont="1" applyFill="1" applyBorder="1" applyAlignment="1" applyProtection="1">
      <alignment horizontal="right" vertical="center" wrapText="1"/>
      <protection hidden="1"/>
    </xf>
    <xf numFmtId="0" fontId="32" fillId="0" borderId="4" xfId="0" applyFont="1" applyFill="1" applyBorder="1" applyProtection="1">
      <protection hidden="1"/>
    </xf>
    <xf numFmtId="0" fontId="29" fillId="6" borderId="4" xfId="0" applyFont="1" applyFill="1" applyBorder="1" applyAlignment="1" applyProtection="1">
      <alignment wrapText="1"/>
      <protection hidden="1"/>
    </xf>
    <xf numFmtId="4" fontId="32" fillId="0" borderId="4" xfId="0" applyNumberFormat="1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left" wrapText="1"/>
      <protection hidden="1"/>
    </xf>
    <xf numFmtId="0" fontId="29" fillId="0" borderId="0" xfId="0" applyFont="1" applyFill="1" applyAlignment="1" applyProtection="1">
      <alignment wrapText="1"/>
      <protection hidden="1"/>
    </xf>
    <xf numFmtId="0" fontId="5" fillId="6" borderId="36" xfId="0" applyFont="1" applyFill="1" applyBorder="1" applyAlignment="1" applyProtection="1">
      <alignment wrapText="1"/>
      <protection hidden="1"/>
    </xf>
    <xf numFmtId="4" fontId="29" fillId="0" borderId="40" xfId="0" applyNumberFormat="1" applyFont="1" applyFill="1" applyBorder="1" applyAlignment="1" applyProtection="1">
      <alignment horizontal="right" vertical="center" wrapText="1"/>
      <protection hidden="1"/>
    </xf>
    <xf numFmtId="4" fontId="30" fillId="2" borderId="41" xfId="0" applyNumberFormat="1" applyFont="1" applyFill="1" applyBorder="1" applyAlignment="1" applyProtection="1">
      <alignment horizontal="right" vertical="center" wrapText="1"/>
      <protection hidden="1"/>
    </xf>
    <xf numFmtId="0" fontId="29" fillId="0" borderId="1" xfId="0" applyFont="1" applyFill="1" applyBorder="1" applyAlignment="1" applyProtection="1">
      <alignment wrapText="1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" fontId="3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4" fontId="29" fillId="0" borderId="0" xfId="0" applyNumberFormat="1" applyFont="1" applyProtection="1">
      <protection hidden="1"/>
    </xf>
    <xf numFmtId="0" fontId="3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center"/>
      <protection hidden="1"/>
    </xf>
    <xf numFmtId="4" fontId="30" fillId="2" borderId="0" xfId="0" applyNumberFormat="1" applyFont="1" applyFill="1" applyBorder="1" applyAlignment="1" applyProtection="1">
      <alignment horizontal="right" vertical="center" wrapText="1"/>
      <protection hidden="1"/>
    </xf>
    <xf numFmtId="4" fontId="30" fillId="8" borderId="0" xfId="0" applyNumberFormat="1" applyFont="1" applyFill="1" applyProtection="1">
      <protection hidden="1"/>
    </xf>
    <xf numFmtId="4" fontId="2" fillId="0" borderId="0" xfId="0" applyNumberFormat="1" applyFont="1" applyProtection="1">
      <protection hidden="1"/>
    </xf>
    <xf numFmtId="0" fontId="3" fillId="0" borderId="2" xfId="0" applyFont="1" applyBorder="1" applyProtection="1">
      <protection hidden="1"/>
    </xf>
    <xf numFmtId="0" fontId="35" fillId="0" borderId="42" xfId="0" applyFont="1" applyFill="1" applyBorder="1" applyAlignment="1" applyProtection="1">
      <alignment horizontal="center" vertical="center" wrapText="1"/>
      <protection hidden="1"/>
    </xf>
    <xf numFmtId="0" fontId="35" fillId="0" borderId="43" xfId="0" applyFont="1" applyFill="1" applyBorder="1" applyAlignment="1" applyProtection="1">
      <alignment horizontal="center" vertical="center" wrapText="1"/>
      <protection hidden="1"/>
    </xf>
    <xf numFmtId="0" fontId="35" fillId="0" borderId="35" xfId="0" applyFont="1" applyFill="1" applyBorder="1" applyAlignment="1" applyProtection="1">
      <alignment horizontal="center" vertical="center" wrapText="1"/>
      <protection hidden="1"/>
    </xf>
    <xf numFmtId="0" fontId="35" fillId="0" borderId="44" xfId="0" applyFont="1" applyFill="1" applyBorder="1" applyAlignment="1" applyProtection="1">
      <alignment horizontal="center" vertical="center" wrapText="1"/>
      <protection hidden="1"/>
    </xf>
    <xf numFmtId="0" fontId="35" fillId="0" borderId="45" xfId="0" applyFont="1" applyFill="1" applyBorder="1" applyAlignment="1" applyProtection="1">
      <alignment horizontal="center" vertical="center" wrapText="1"/>
      <protection hidden="1"/>
    </xf>
    <xf numFmtId="0" fontId="35" fillId="0" borderId="20" xfId="0" applyFont="1" applyFill="1" applyBorder="1" applyAlignment="1" applyProtection="1">
      <alignment horizontal="center" vertical="center" wrapText="1"/>
      <protection hidden="1"/>
    </xf>
    <xf numFmtId="0" fontId="35" fillId="0" borderId="21" xfId="0" applyFont="1" applyFill="1" applyBorder="1" applyAlignment="1" applyProtection="1">
      <alignment horizontal="center" vertical="center" wrapText="1"/>
      <protection hidden="1"/>
    </xf>
    <xf numFmtId="0" fontId="35" fillId="0" borderId="46" xfId="0" applyFont="1" applyFill="1" applyBorder="1" applyAlignment="1" applyProtection="1">
      <alignment horizontal="center" vertical="center" wrapText="1"/>
      <protection hidden="1"/>
    </xf>
    <xf numFmtId="0" fontId="30" fillId="2" borderId="1" xfId="0" applyFont="1" applyFill="1" applyBorder="1" applyAlignment="1" applyProtection="1">
      <alignment horizontal="right" wrapText="1"/>
      <protection hidden="1"/>
    </xf>
    <xf numFmtId="0" fontId="30" fillId="6" borderId="0" xfId="0" applyFont="1" applyFill="1" applyBorder="1" applyAlignment="1" applyProtection="1">
      <alignment wrapText="1"/>
      <protection hidden="1"/>
    </xf>
    <xf numFmtId="0" fontId="6" fillId="0" borderId="25" xfId="0" applyFont="1" applyFill="1" applyBorder="1" applyAlignment="1" applyProtection="1">
      <alignment horizontal="right"/>
      <protection hidden="1"/>
    </xf>
    <xf numFmtId="4" fontId="36" fillId="0" borderId="47" xfId="0" applyNumberFormat="1" applyFont="1" applyBorder="1"/>
    <xf numFmtId="4" fontId="36" fillId="0" borderId="29" xfId="0" applyNumberFormat="1" applyFont="1" applyBorder="1"/>
    <xf numFmtId="4" fontId="36" fillId="0" borderId="47" xfId="0" applyNumberFormat="1" applyFont="1" applyFill="1" applyBorder="1"/>
    <xf numFmtId="0" fontId="6" fillId="0" borderId="1" xfId="0" applyFont="1" applyBorder="1" applyProtection="1">
      <protection hidden="1"/>
    </xf>
    <xf numFmtId="0" fontId="6" fillId="0" borderId="9" xfId="0" applyFont="1" applyFill="1" applyBorder="1" applyAlignment="1">
      <alignment horizontal="left"/>
    </xf>
    <xf numFmtId="4" fontId="7" fillId="0" borderId="9" xfId="0" applyNumberFormat="1" applyFont="1" applyFill="1" applyBorder="1"/>
    <xf numFmtId="49" fontId="7" fillId="0" borderId="9" xfId="0" applyNumberFormat="1" applyFont="1" applyBorder="1" applyProtection="1">
      <protection hidden="1"/>
    </xf>
    <xf numFmtId="0" fontId="7" fillId="6" borderId="9" xfId="0" applyFont="1" applyFill="1" applyBorder="1" applyProtection="1">
      <protection hidden="1"/>
    </xf>
    <xf numFmtId="0" fontId="7" fillId="0" borderId="48" xfId="0" applyFont="1" applyFill="1" applyBorder="1" applyAlignment="1" applyProtection="1">
      <alignment horizontal="left"/>
      <protection hidden="1"/>
    </xf>
    <xf numFmtId="0" fontId="7" fillId="0" borderId="49" xfId="0" applyFont="1" applyFill="1" applyBorder="1" applyAlignment="1" applyProtection="1">
      <alignment horizontal="left"/>
      <protection hidden="1"/>
    </xf>
    <xf numFmtId="0" fontId="7" fillId="0" borderId="50" xfId="0" applyFont="1" applyBorder="1" applyProtection="1">
      <protection hidden="1"/>
    </xf>
    <xf numFmtId="0" fontId="7" fillId="0" borderId="51" xfId="0" applyFont="1" applyFill="1" applyBorder="1" applyAlignment="1" applyProtection="1">
      <alignment horizontal="left"/>
      <protection hidden="1"/>
    </xf>
    <xf numFmtId="0" fontId="7" fillId="0" borderId="49" xfId="0" applyFont="1" applyBorder="1" applyProtection="1">
      <protection hidden="1"/>
    </xf>
    <xf numFmtId="0" fontId="7" fillId="0" borderId="52" xfId="0" applyFont="1" applyBorder="1" applyAlignment="1" applyProtection="1">
      <alignment horizontal="center"/>
      <protection hidden="1"/>
    </xf>
    <xf numFmtId="0" fontId="7" fillId="0" borderId="50" xfId="0" applyFont="1" applyBorder="1" applyAlignment="1" applyProtection="1">
      <alignment horizontal="center"/>
      <protection hidden="1"/>
    </xf>
    <xf numFmtId="0" fontId="7" fillId="0" borderId="53" xfId="0" applyFont="1" applyBorder="1" applyAlignment="1" applyProtection="1">
      <alignment horizontal="center"/>
      <protection hidden="1"/>
    </xf>
    <xf numFmtId="0" fontId="7" fillId="0" borderId="54" xfId="0" applyFont="1" applyBorder="1" applyAlignment="1" applyProtection="1">
      <alignment horizontal="center"/>
      <protection hidden="1"/>
    </xf>
    <xf numFmtId="0" fontId="7" fillId="0" borderId="55" xfId="0" applyFont="1" applyBorder="1" applyAlignment="1" applyProtection="1">
      <alignment horizontal="center"/>
      <protection hidden="1"/>
    </xf>
    <xf numFmtId="0" fontId="7" fillId="0" borderId="56" xfId="0" applyFont="1" applyBorder="1" applyAlignment="1" applyProtection="1">
      <alignment horizontal="center"/>
      <protection hidden="1"/>
    </xf>
    <xf numFmtId="0" fontId="9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16" xfId="0" applyFont="1" applyFill="1" applyBorder="1" applyAlignment="1" applyProtection="1">
      <alignment horizontal="center"/>
      <protection hidden="1"/>
    </xf>
    <xf numFmtId="0" fontId="7" fillId="2" borderId="15" xfId="0" applyFont="1" applyFill="1" applyBorder="1" applyAlignment="1" applyProtection="1">
      <alignment horizontal="center"/>
      <protection hidden="1"/>
    </xf>
    <xf numFmtId="49" fontId="6" fillId="0" borderId="16" xfId="0" applyNumberFormat="1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left" vertical="center"/>
    </xf>
    <xf numFmtId="49" fontId="7" fillId="6" borderId="16" xfId="0" applyNumberFormat="1" applyFont="1" applyFill="1" applyBorder="1" applyAlignment="1">
      <alignment horizontal="left" vertical="center"/>
    </xf>
    <xf numFmtId="2" fontId="13" fillId="6" borderId="16" xfId="0" applyNumberFormat="1" applyFont="1" applyFill="1" applyBorder="1" applyAlignment="1">
      <alignment horizontal="left" vertical="center"/>
    </xf>
    <xf numFmtId="49" fontId="6" fillId="6" borderId="24" xfId="0" applyNumberFormat="1" applyFont="1" applyFill="1" applyBorder="1" applyAlignment="1">
      <alignment horizontal="left" vertical="center"/>
    </xf>
    <xf numFmtId="49" fontId="7" fillId="6" borderId="24" xfId="0" applyNumberFormat="1" applyFont="1" applyFill="1" applyBorder="1" applyAlignment="1">
      <alignment horizontal="left" vertical="center"/>
    </xf>
    <xf numFmtId="2" fontId="13" fillId="6" borderId="24" xfId="0" applyNumberFormat="1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7" fillId="0" borderId="57" xfId="0" applyFont="1" applyFill="1" applyBorder="1" applyAlignment="1" applyProtection="1">
      <alignment horizontal="left"/>
      <protection hidden="1"/>
    </xf>
    <xf numFmtId="0" fontId="7" fillId="0" borderId="58" xfId="0" applyFont="1" applyBorder="1" applyAlignment="1" applyProtection="1">
      <alignment horizontal="center"/>
      <protection hidden="1"/>
    </xf>
    <xf numFmtId="49" fontId="7" fillId="6" borderId="0" xfId="0" applyNumberFormat="1" applyFont="1" applyFill="1" applyBorder="1" applyProtection="1">
      <protection hidden="1"/>
    </xf>
    <xf numFmtId="0" fontId="6" fillId="6" borderId="24" xfId="0" applyFont="1" applyFill="1" applyBorder="1" applyProtection="1">
      <protection hidden="1"/>
    </xf>
    <xf numFmtId="0" fontId="6" fillId="6" borderId="15" xfId="0" applyFont="1" applyFill="1" applyBorder="1" applyAlignment="1" applyProtection="1">
      <alignment horizontal="left"/>
      <protection hidden="1"/>
    </xf>
    <xf numFmtId="0" fontId="37" fillId="0" borderId="21" xfId="0" applyFont="1" applyFill="1" applyBorder="1" applyAlignment="1" applyProtection="1">
      <alignment horizontal="left"/>
      <protection locked="0" hidden="1"/>
    </xf>
    <xf numFmtId="49" fontId="37" fillId="0" borderId="15" xfId="0" applyNumberFormat="1" applyFont="1" applyFill="1" applyBorder="1" applyAlignment="1" applyProtection="1">
      <alignment horizontal="left"/>
      <protection locked="0" hidden="1"/>
    </xf>
    <xf numFmtId="0" fontId="37" fillId="0" borderId="26" xfId="0" applyFont="1" applyFill="1" applyBorder="1" applyAlignment="1" applyProtection="1">
      <alignment horizontal="left"/>
      <protection locked="0" hidden="1"/>
    </xf>
    <xf numFmtId="1" fontId="37" fillId="0" borderId="26" xfId="0" applyNumberFormat="1" applyFont="1" applyFill="1" applyBorder="1" applyAlignment="1" applyProtection="1">
      <alignment horizontal="left"/>
      <protection locked="0" hidden="1"/>
    </xf>
    <xf numFmtId="0" fontId="37" fillId="0" borderId="15" xfId="0" applyFont="1" applyFill="1" applyBorder="1" applyAlignment="1" applyProtection="1">
      <alignment horizontal="center"/>
      <protection locked="0" hidden="1"/>
    </xf>
    <xf numFmtId="0" fontId="37" fillId="0" borderId="26" xfId="0" applyFont="1" applyBorder="1" applyAlignment="1" applyProtection="1">
      <alignment horizontal="left"/>
      <protection locked="0" hidden="1"/>
    </xf>
    <xf numFmtId="0" fontId="37" fillId="0" borderId="16" xfId="0" applyFont="1" applyBorder="1" applyAlignment="1" applyProtection="1">
      <alignment horizontal="left"/>
      <protection locked="0" hidden="1"/>
    </xf>
    <xf numFmtId="0" fontId="37" fillId="0" borderId="44" xfId="0" applyFont="1" applyFill="1" applyBorder="1" applyAlignment="1" applyProtection="1">
      <alignment horizontal="left"/>
      <protection locked="0" hidden="1"/>
    </xf>
    <xf numFmtId="49" fontId="37" fillId="0" borderId="24" xfId="0" applyNumberFormat="1" applyFont="1" applyFill="1" applyBorder="1" applyAlignment="1" applyProtection="1">
      <alignment horizontal="left"/>
      <protection locked="0" hidden="1"/>
    </xf>
    <xf numFmtId="0" fontId="37" fillId="0" borderId="34" xfId="0" applyFont="1" applyFill="1" applyBorder="1" applyAlignment="1" applyProtection="1">
      <alignment horizontal="left"/>
      <protection locked="0" hidden="1"/>
    </xf>
    <xf numFmtId="1" fontId="37" fillId="0" borderId="34" xfId="0" applyNumberFormat="1" applyFont="1" applyFill="1" applyBorder="1" applyAlignment="1" applyProtection="1">
      <alignment horizontal="left"/>
      <protection locked="0" hidden="1"/>
    </xf>
    <xf numFmtId="0" fontId="37" fillId="0" borderId="46" xfId="0" applyFont="1" applyFill="1" applyBorder="1" applyAlignment="1" applyProtection="1">
      <alignment horizontal="left"/>
      <protection locked="0" hidden="1"/>
    </xf>
    <xf numFmtId="0" fontId="37" fillId="0" borderId="40" xfId="0" applyFont="1" applyFill="1" applyBorder="1" applyAlignment="1" applyProtection="1">
      <alignment horizontal="center"/>
      <protection locked="0" hidden="1"/>
    </xf>
    <xf numFmtId="0" fontId="37" fillId="0" borderId="41" xfId="0" applyFont="1" applyBorder="1" applyAlignment="1" applyProtection="1">
      <alignment horizontal="left"/>
      <protection locked="0" hidden="1"/>
    </xf>
    <xf numFmtId="0" fontId="37" fillId="0" borderId="35" xfId="0" applyFont="1" applyFill="1" applyBorder="1" applyAlignment="1" applyProtection="1">
      <alignment horizontal="left"/>
      <protection locked="0" hidden="1"/>
    </xf>
    <xf numFmtId="49" fontId="37" fillId="0" borderId="16" xfId="0" applyNumberFormat="1" applyFont="1" applyFill="1" applyBorder="1" applyAlignment="1" applyProtection="1">
      <alignment horizontal="left"/>
      <protection locked="0" hidden="1"/>
    </xf>
    <xf numFmtId="0" fontId="37" fillId="0" borderId="33" xfId="0" applyFont="1" applyFill="1" applyBorder="1" applyAlignment="1" applyProtection="1">
      <alignment horizontal="left"/>
      <protection locked="0" hidden="1"/>
    </xf>
    <xf numFmtId="1" fontId="37" fillId="0" borderId="33" xfId="0" applyNumberFormat="1" applyFont="1" applyFill="1" applyBorder="1" applyAlignment="1" applyProtection="1">
      <alignment horizontal="left"/>
      <protection locked="0" hidden="1"/>
    </xf>
    <xf numFmtId="0" fontId="37" fillId="0" borderId="35" xfId="0" applyFont="1" applyBorder="1" applyAlignment="1" applyProtection="1">
      <alignment horizontal="left"/>
      <protection locked="0" hidden="1"/>
    </xf>
    <xf numFmtId="0" fontId="37" fillId="0" borderId="33" xfId="0" applyFont="1" applyBorder="1" applyAlignment="1" applyProtection="1">
      <alignment horizontal="left"/>
      <protection locked="0" hidden="1"/>
    </xf>
    <xf numFmtId="0" fontId="37" fillId="0" borderId="21" xfId="0" applyFont="1" applyBorder="1" applyAlignment="1" applyProtection="1">
      <alignment horizontal="left"/>
      <protection locked="0" hidden="1"/>
    </xf>
    <xf numFmtId="0" fontId="37" fillId="0" borderId="15" xfId="0" applyFont="1" applyBorder="1" applyAlignment="1" applyProtection="1">
      <alignment horizontal="left"/>
      <protection locked="0" hidden="1"/>
    </xf>
    <xf numFmtId="0" fontId="37" fillId="0" borderId="24" xfId="0" applyFont="1" applyFill="1" applyBorder="1" applyAlignment="1" applyProtection="1">
      <alignment horizontal="center"/>
      <protection locked="0" hidden="1"/>
    </xf>
    <xf numFmtId="0" fontId="37" fillId="0" borderId="24" xfId="0" applyFont="1" applyBorder="1" applyAlignment="1" applyProtection="1">
      <alignment horizontal="left"/>
      <protection locked="0" hidden="1"/>
    </xf>
    <xf numFmtId="0" fontId="37" fillId="0" borderId="46" xfId="0" applyFont="1" applyBorder="1" applyAlignment="1" applyProtection="1">
      <alignment horizontal="left"/>
      <protection locked="0" hidden="1"/>
    </xf>
    <xf numFmtId="0" fontId="37" fillId="0" borderId="40" xfId="0" applyFont="1" applyBorder="1" applyAlignment="1" applyProtection="1">
      <alignment horizontal="left"/>
      <protection locked="0" hidden="1"/>
    </xf>
    <xf numFmtId="0" fontId="37" fillId="0" borderId="16" xfId="0" applyFont="1" applyFill="1" applyBorder="1" applyAlignment="1" applyProtection="1">
      <alignment horizontal="left"/>
      <protection locked="0" hidden="1"/>
    </xf>
    <xf numFmtId="0" fontId="37" fillId="0" borderId="24" xfId="0" applyFont="1" applyFill="1" applyBorder="1" applyAlignment="1" applyProtection="1">
      <alignment horizontal="left"/>
      <protection locked="0" hidden="1"/>
    </xf>
    <xf numFmtId="0" fontId="37" fillId="0" borderId="40" xfId="0" applyFont="1" applyFill="1" applyBorder="1" applyAlignment="1" applyProtection="1">
      <alignment horizontal="left"/>
      <protection locked="0" hidden="1"/>
    </xf>
    <xf numFmtId="0" fontId="37" fillId="0" borderId="41" xfId="0" applyFont="1" applyFill="1" applyBorder="1" applyAlignment="1" applyProtection="1">
      <alignment horizontal="left"/>
      <protection locked="0" hidden="1"/>
    </xf>
    <xf numFmtId="3" fontId="37" fillId="0" borderId="35" xfId="0" applyNumberFormat="1" applyFont="1" applyFill="1" applyBorder="1" applyAlignment="1" applyProtection="1">
      <alignment horizontal="left"/>
      <protection locked="0" hidden="1"/>
    </xf>
    <xf numFmtId="3" fontId="37" fillId="0" borderId="33" xfId="0" applyNumberFormat="1" applyFont="1" applyFill="1" applyBorder="1" applyAlignment="1" applyProtection="1">
      <alignment horizontal="left"/>
      <protection locked="0" hidden="1"/>
    </xf>
    <xf numFmtId="3" fontId="37" fillId="0" borderId="21" xfId="0" applyNumberFormat="1" applyFont="1" applyFill="1" applyBorder="1" applyAlignment="1" applyProtection="1">
      <alignment horizontal="left"/>
      <protection locked="0" hidden="1"/>
    </xf>
    <xf numFmtId="3" fontId="37" fillId="0" borderId="26" xfId="0" applyNumberFormat="1" applyFont="1" applyFill="1" applyBorder="1" applyAlignment="1" applyProtection="1">
      <alignment horizontal="left"/>
      <protection locked="0" hidden="1"/>
    </xf>
    <xf numFmtId="0" fontId="37" fillId="0" borderId="15" xfId="0" applyFont="1" applyFill="1" applyBorder="1" applyAlignment="1" applyProtection="1">
      <alignment horizontal="left"/>
      <protection locked="0" hidden="1"/>
    </xf>
    <xf numFmtId="3" fontId="37" fillId="0" borderId="44" xfId="0" applyNumberFormat="1" applyFont="1" applyFill="1" applyBorder="1" applyAlignment="1" applyProtection="1">
      <alignment horizontal="left"/>
      <protection locked="0" hidden="1"/>
    </xf>
    <xf numFmtId="3" fontId="37" fillId="0" borderId="34" xfId="0" applyNumberFormat="1" applyFont="1" applyFill="1" applyBorder="1" applyAlignment="1" applyProtection="1">
      <alignment horizontal="left"/>
      <protection locked="0" hidden="1"/>
    </xf>
    <xf numFmtId="49" fontId="7" fillId="6" borderId="15" xfId="0" applyNumberFormat="1" applyFont="1" applyFill="1" applyBorder="1" applyProtection="1">
      <protection hidden="1"/>
    </xf>
    <xf numFmtId="0" fontId="6" fillId="6" borderId="16" xfId="0" applyFont="1" applyFill="1" applyBorder="1" applyAlignment="1" applyProtection="1">
      <alignment horizontal="left"/>
      <protection hidden="1"/>
    </xf>
    <xf numFmtId="49" fontId="7" fillId="0" borderId="24" xfId="0" applyNumberFormat="1" applyFont="1" applyFill="1" applyBorder="1" applyProtection="1">
      <protection hidden="1"/>
    </xf>
    <xf numFmtId="49" fontId="7" fillId="0" borderId="0" xfId="0" applyNumberFormat="1" applyFont="1" applyFill="1" applyBorder="1" applyProtection="1">
      <protection hidden="1"/>
    </xf>
    <xf numFmtId="49" fontId="6" fillId="6" borderId="16" xfId="0" applyNumberFormat="1" applyFont="1" applyFill="1" applyBorder="1" applyAlignment="1">
      <alignment horizontal="left" vertical="center"/>
    </xf>
    <xf numFmtId="49" fontId="6" fillId="3" borderId="15" xfId="0" applyNumberFormat="1" applyFont="1" applyFill="1" applyBorder="1" applyAlignment="1">
      <alignment horizontal="left" vertical="center"/>
    </xf>
    <xf numFmtId="49" fontId="7" fillId="3" borderId="15" xfId="0" applyNumberFormat="1" applyFont="1" applyFill="1" applyBorder="1" applyAlignment="1">
      <alignment horizontal="left" vertical="center"/>
    </xf>
    <xf numFmtId="2" fontId="13" fillId="3" borderId="15" xfId="0" applyNumberFormat="1" applyFont="1" applyFill="1" applyBorder="1" applyAlignment="1">
      <alignment horizontal="left" vertical="center"/>
    </xf>
    <xf numFmtId="0" fontId="7" fillId="6" borderId="16" xfId="0" applyFont="1" applyFill="1" applyBorder="1" applyAlignment="1" applyProtection="1">
      <alignment horizontal="left"/>
      <protection hidden="1"/>
    </xf>
    <xf numFmtId="0" fontId="39" fillId="6" borderId="43" xfId="0" applyFont="1" applyFill="1" applyBorder="1" applyAlignment="1" applyProtection="1">
      <alignment horizontal="center" vertical="center" wrapText="1"/>
      <protection hidden="1"/>
    </xf>
    <xf numFmtId="0" fontId="39" fillId="6" borderId="35" xfId="0" applyFont="1" applyFill="1" applyBorder="1" applyAlignment="1" applyProtection="1">
      <alignment horizontal="center" vertical="center" wrapText="1"/>
      <protection hidden="1"/>
    </xf>
    <xf numFmtId="0" fontId="38" fillId="2" borderId="4" xfId="0" applyFont="1" applyFill="1" applyBorder="1" applyAlignment="1" applyProtection="1">
      <alignment horizontal="left" wrapText="1"/>
      <protection hidden="1"/>
    </xf>
    <xf numFmtId="0" fontId="39" fillId="2" borderId="4" xfId="0" applyFont="1" applyFill="1" applyBorder="1" applyAlignment="1" applyProtection="1">
      <alignment horizontal="right" vertical="center" wrapText="1"/>
      <protection hidden="1"/>
    </xf>
    <xf numFmtId="0" fontId="39" fillId="6" borderId="20" xfId="0" applyFont="1" applyFill="1" applyBorder="1" applyAlignment="1" applyProtection="1">
      <alignment horizontal="center" vertical="center" wrapText="1"/>
      <protection hidden="1"/>
    </xf>
    <xf numFmtId="0" fontId="39" fillId="6" borderId="21" xfId="0" applyFont="1" applyFill="1" applyBorder="1" applyAlignment="1" applyProtection="1">
      <alignment horizontal="center" vertical="center" wrapText="1"/>
      <protection hidden="1"/>
    </xf>
    <xf numFmtId="0" fontId="39" fillId="6" borderId="44" xfId="0" applyFont="1" applyFill="1" applyBorder="1" applyAlignment="1" applyProtection="1">
      <alignment horizontal="center" vertical="center" wrapText="1"/>
      <protection hidden="1"/>
    </xf>
    <xf numFmtId="0" fontId="39" fillId="6" borderId="46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Protection="1">
      <protection hidden="1"/>
    </xf>
    <xf numFmtId="1" fontId="7" fillId="0" borderId="0" xfId="0" applyNumberFormat="1" applyFont="1" applyBorder="1" applyProtection="1">
      <protection hidden="1"/>
    </xf>
    <xf numFmtId="1" fontId="7" fillId="0" borderId="16" xfId="0" applyNumberFormat="1" applyFont="1" applyBorder="1" applyProtection="1">
      <protection hidden="1"/>
    </xf>
    <xf numFmtId="1" fontId="7" fillId="0" borderId="24" xfId="0" applyNumberFormat="1" applyFont="1" applyBorder="1" applyProtection="1">
      <protection hidden="1"/>
    </xf>
    <xf numFmtId="1" fontId="7" fillId="0" borderId="15" xfId="0" applyNumberFormat="1" applyFont="1" applyBorder="1" applyProtection="1">
      <protection hidden="1"/>
    </xf>
    <xf numFmtId="0" fontId="7" fillId="0" borderId="59" xfId="0" applyFont="1" applyBorder="1" applyProtection="1">
      <protection hidden="1"/>
    </xf>
    <xf numFmtId="14" fontId="7" fillId="0" borderId="60" xfId="0" applyNumberFormat="1" applyFont="1" applyBorder="1" applyProtection="1">
      <protection hidden="1"/>
    </xf>
    <xf numFmtId="0" fontId="7" fillId="0" borderId="61" xfId="0" applyFont="1" applyBorder="1" applyProtection="1">
      <protection hidden="1"/>
    </xf>
    <xf numFmtId="0" fontId="7" fillId="0" borderId="62" xfId="0" applyFont="1" applyBorder="1" applyProtection="1">
      <protection hidden="1"/>
    </xf>
    <xf numFmtId="14" fontId="7" fillId="0" borderId="63" xfId="0" applyNumberFormat="1" applyFont="1" applyBorder="1" applyProtection="1">
      <protection hidden="1"/>
    </xf>
    <xf numFmtId="0" fontId="7" fillId="0" borderId="64" xfId="0" applyFont="1" applyBorder="1" applyProtection="1">
      <protection hidden="1"/>
    </xf>
    <xf numFmtId="0" fontId="7" fillId="0" borderId="63" xfId="0" applyFont="1" applyBorder="1" applyProtection="1">
      <protection hidden="1"/>
    </xf>
    <xf numFmtId="0" fontId="7" fillId="0" borderId="65" xfId="0" applyFont="1" applyBorder="1" applyProtection="1">
      <protection hidden="1"/>
    </xf>
    <xf numFmtId="0" fontId="7" fillId="0" borderId="66" xfId="0" applyFont="1" applyBorder="1" applyProtection="1">
      <protection hidden="1"/>
    </xf>
    <xf numFmtId="0" fontId="7" fillId="0" borderId="67" xfId="0" applyFont="1" applyBorder="1" applyProtection="1">
      <protection hidden="1"/>
    </xf>
    <xf numFmtId="14" fontId="7" fillId="0" borderId="63" xfId="0" applyNumberFormat="1" applyFont="1" applyBorder="1" applyAlignment="1" applyProtection="1">
      <alignment horizontal="center"/>
      <protection hidden="1"/>
    </xf>
    <xf numFmtId="9" fontId="7" fillId="0" borderId="63" xfId="0" applyNumberFormat="1" applyFont="1" applyBorder="1" applyAlignment="1" applyProtection="1">
      <alignment horizontal="right"/>
      <protection hidden="1"/>
    </xf>
    <xf numFmtId="9" fontId="7" fillId="0" borderId="66" xfId="0" applyNumberFormat="1" applyFont="1" applyBorder="1" applyAlignment="1" applyProtection="1">
      <alignment horizontal="right"/>
      <protection hidden="1"/>
    </xf>
    <xf numFmtId="9" fontId="7" fillId="0" borderId="60" xfId="0" applyNumberFormat="1" applyFont="1" applyBorder="1" applyAlignment="1" applyProtection="1">
      <alignment horizontal="right"/>
      <protection hidden="1"/>
    </xf>
    <xf numFmtId="4" fontId="6" fillId="10" borderId="15" xfId="0" applyNumberFormat="1" applyFont="1" applyFill="1" applyBorder="1"/>
    <xf numFmtId="4" fontId="36" fillId="6" borderId="47" xfId="0" applyNumberFormat="1" applyFont="1" applyFill="1" applyBorder="1"/>
    <xf numFmtId="0" fontId="24" fillId="4" borderId="7" xfId="0" applyFont="1" applyFill="1" applyBorder="1" applyAlignment="1">
      <alignment horizontal="center"/>
    </xf>
    <xf numFmtId="4" fontId="26" fillId="0" borderId="15" xfId="0" applyNumberFormat="1" applyFont="1" applyFill="1" applyBorder="1"/>
    <xf numFmtId="0" fontId="26" fillId="6" borderId="15" xfId="0" applyFont="1" applyFill="1" applyBorder="1" applyProtection="1">
      <protection hidden="1"/>
    </xf>
    <xf numFmtId="0" fontId="36" fillId="0" borderId="29" xfId="0" applyFont="1" applyBorder="1" applyProtection="1">
      <protection hidden="1"/>
    </xf>
    <xf numFmtId="4" fontId="36" fillId="6" borderId="29" xfId="0" applyNumberFormat="1" applyFont="1" applyFill="1" applyBorder="1"/>
    <xf numFmtId="0" fontId="7" fillId="6" borderId="68" xfId="0" applyFont="1" applyFill="1" applyBorder="1" applyProtection="1">
      <protection hidden="1"/>
    </xf>
    <xf numFmtId="4" fontId="36" fillId="0" borderId="69" xfId="0" applyNumberFormat="1" applyFont="1" applyFill="1" applyBorder="1"/>
    <xf numFmtId="4" fontId="26" fillId="0" borderId="9" xfId="0" applyNumberFormat="1" applyFont="1" applyFill="1" applyBorder="1"/>
    <xf numFmtId="4" fontId="6" fillId="10" borderId="9" xfId="0" applyNumberFormat="1" applyFont="1" applyFill="1" applyBorder="1"/>
    <xf numFmtId="4" fontId="36" fillId="0" borderId="70" xfId="0" applyNumberFormat="1" applyFont="1" applyFill="1" applyBorder="1"/>
    <xf numFmtId="4" fontId="26" fillId="0" borderId="0" xfId="0" applyNumberFormat="1" applyFont="1" applyFill="1" applyBorder="1"/>
    <xf numFmtId="4" fontId="6" fillId="10" borderId="0" xfId="0" applyNumberFormat="1" applyFont="1" applyFill="1" applyBorder="1"/>
    <xf numFmtId="4" fontId="36" fillId="0" borderId="71" xfId="0" applyNumberFormat="1" applyFont="1" applyFill="1" applyBorder="1"/>
    <xf numFmtId="4" fontId="26" fillId="0" borderId="16" xfId="0" applyNumberFormat="1" applyFont="1" applyFill="1" applyBorder="1"/>
    <xf numFmtId="4" fontId="6" fillId="10" borderId="16" xfId="0" applyNumberFormat="1" applyFont="1" applyFill="1" applyBorder="1"/>
    <xf numFmtId="4" fontId="36" fillId="0" borderId="72" xfId="0" applyNumberFormat="1" applyFont="1" applyFill="1" applyBorder="1"/>
    <xf numFmtId="4" fontId="26" fillId="0" borderId="24" xfId="0" applyNumberFormat="1" applyFont="1" applyFill="1" applyBorder="1"/>
    <xf numFmtId="4" fontId="6" fillId="10" borderId="24" xfId="0" applyNumberFormat="1" applyFont="1" applyFill="1" applyBorder="1"/>
    <xf numFmtId="4" fontId="36" fillId="0" borderId="68" xfId="0" applyNumberFormat="1" applyFont="1" applyFill="1" applyBorder="1"/>
    <xf numFmtId="4" fontId="26" fillId="6" borderId="15" xfId="0" applyNumberFormat="1" applyFont="1" applyFill="1" applyBorder="1"/>
    <xf numFmtId="0" fontId="7" fillId="6" borderId="73" xfId="0" applyFont="1" applyFill="1" applyBorder="1" applyProtection="1">
      <protection hidden="1"/>
    </xf>
    <xf numFmtId="0" fontId="7" fillId="6" borderId="74" xfId="0" applyFont="1" applyFill="1" applyBorder="1" applyProtection="1">
      <protection hidden="1"/>
    </xf>
    <xf numFmtId="0" fontId="7" fillId="6" borderId="75" xfId="0" applyFont="1" applyFill="1" applyBorder="1" applyProtection="1">
      <protection hidden="1"/>
    </xf>
    <xf numFmtId="4" fontId="36" fillId="0" borderId="29" xfId="0" applyNumberFormat="1" applyFont="1" applyFill="1" applyBorder="1"/>
    <xf numFmtId="4" fontId="36" fillId="0" borderId="76" xfId="0" applyNumberFormat="1" applyFont="1" applyFill="1" applyBorder="1"/>
    <xf numFmtId="0" fontId="6" fillId="6" borderId="16" xfId="0" applyFont="1" applyFill="1" applyBorder="1" applyAlignment="1">
      <alignment horizontal="left"/>
    </xf>
    <xf numFmtId="4" fontId="7" fillId="6" borderId="16" xfId="0" applyNumberFormat="1" applyFont="1" applyFill="1" applyBorder="1"/>
    <xf numFmtId="4" fontId="7" fillId="6" borderId="68" xfId="0" applyNumberFormat="1" applyFont="1" applyFill="1" applyBorder="1"/>
    <xf numFmtId="2" fontId="13" fillId="0" borderId="15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49" fontId="7" fillId="6" borderId="0" xfId="0" applyNumberFormat="1" applyFont="1" applyFill="1" applyBorder="1" applyAlignment="1">
      <alignment horizontal="left" vertical="center"/>
    </xf>
    <xf numFmtId="2" fontId="13" fillId="6" borderId="0" xfId="0" applyNumberFormat="1" applyFont="1" applyFill="1" applyBorder="1" applyAlignment="1">
      <alignment horizontal="left" vertical="center"/>
    </xf>
    <xf numFmtId="49" fontId="6" fillId="6" borderId="0" xfId="0" applyNumberFormat="1" applyFont="1" applyFill="1" applyBorder="1" applyAlignment="1">
      <alignment horizontal="left" vertical="center"/>
    </xf>
    <xf numFmtId="14" fontId="7" fillId="0" borderId="66" xfId="0" applyNumberFormat="1" applyFont="1" applyBorder="1" applyProtection="1">
      <protection hidden="1"/>
    </xf>
    <xf numFmtId="0" fontId="7" fillId="0" borderId="77" xfId="0" applyFont="1" applyFill="1" applyBorder="1" applyAlignment="1" applyProtection="1">
      <alignment horizontal="left"/>
      <protection hidden="1"/>
    </xf>
    <xf numFmtId="0" fontId="7" fillId="0" borderId="78" xfId="0" applyFont="1" applyBorder="1" applyAlignment="1" applyProtection="1">
      <alignment horizontal="center"/>
      <protection hidden="1"/>
    </xf>
    <xf numFmtId="0" fontId="7" fillId="0" borderId="79" xfId="0" applyFont="1" applyBorder="1" applyAlignment="1" applyProtection="1">
      <alignment horizontal="center"/>
      <protection hidden="1"/>
    </xf>
    <xf numFmtId="0" fontId="7" fillId="0" borderId="80" xfId="0" applyFont="1" applyBorder="1" applyAlignment="1" applyProtection="1">
      <alignment horizontal="center"/>
      <protection hidden="1"/>
    </xf>
    <xf numFmtId="0" fontId="6" fillId="11" borderId="15" xfId="0" applyFont="1" applyFill="1" applyBorder="1" applyProtection="1">
      <protection hidden="1"/>
    </xf>
    <xf numFmtId="0" fontId="7" fillId="11" borderId="15" xfId="0" applyFont="1" applyFill="1" applyBorder="1" applyProtection="1">
      <protection hidden="1"/>
    </xf>
    <xf numFmtId="0" fontId="7" fillId="12" borderId="15" xfId="0" applyFont="1" applyFill="1" applyBorder="1" applyProtection="1">
      <protection hidden="1"/>
    </xf>
    <xf numFmtId="49" fontId="7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12" borderId="0" xfId="0" applyFont="1" applyFill="1" applyBorder="1" applyAlignment="1">
      <alignment horizontal="left" vertical="center"/>
    </xf>
    <xf numFmtId="49" fontId="7" fillId="12" borderId="0" xfId="0" applyNumberFormat="1" applyFont="1" applyFill="1" applyBorder="1" applyAlignment="1">
      <alignment horizontal="left" vertical="center"/>
    </xf>
    <xf numFmtId="2" fontId="13" fillId="12" borderId="0" xfId="0" applyNumberFormat="1" applyFont="1" applyFill="1" applyBorder="1" applyAlignment="1">
      <alignment horizontal="left" vertical="center"/>
    </xf>
    <xf numFmtId="0" fontId="6" fillId="12" borderId="15" xfId="0" applyFont="1" applyFill="1" applyBorder="1" applyAlignment="1">
      <alignment horizontal="left" vertical="center"/>
    </xf>
    <xf numFmtId="49" fontId="7" fillId="12" borderId="15" xfId="0" applyNumberFormat="1" applyFont="1" applyFill="1" applyBorder="1" applyAlignment="1">
      <alignment horizontal="left" vertical="center"/>
    </xf>
    <xf numFmtId="2" fontId="13" fillId="12" borderId="15" xfId="0" applyNumberFormat="1" applyFont="1" applyFill="1" applyBorder="1" applyAlignment="1">
      <alignment horizontal="left" vertical="center"/>
    </xf>
    <xf numFmtId="49" fontId="44" fillId="0" borderId="15" xfId="0" applyNumberFormat="1" applyFont="1" applyFill="1" applyBorder="1" applyAlignment="1">
      <alignment horizontal="left" vertical="center"/>
    </xf>
    <xf numFmtId="49" fontId="44" fillId="6" borderId="15" xfId="0" applyNumberFormat="1" applyFont="1" applyFill="1" applyBorder="1" applyAlignment="1">
      <alignment horizontal="left" vertical="center"/>
    </xf>
    <xf numFmtId="0" fontId="6" fillId="12" borderId="15" xfId="0" applyFont="1" applyFill="1" applyBorder="1" applyProtection="1">
      <protection hidden="1"/>
    </xf>
    <xf numFmtId="0" fontId="7" fillId="0" borderId="24" xfId="0" applyFont="1" applyFill="1" applyBorder="1"/>
    <xf numFmtId="0" fontId="7" fillId="0" borderId="16" xfId="0" applyFont="1" applyFill="1" applyBorder="1"/>
    <xf numFmtId="0" fontId="7" fillId="12" borderId="15" xfId="0" applyFont="1" applyFill="1" applyBorder="1"/>
    <xf numFmtId="0" fontId="7" fillId="0" borderId="0" xfId="0" applyFont="1" applyAlignment="1" applyProtection="1">
      <alignment horizontal="left"/>
      <protection hidden="1"/>
    </xf>
    <xf numFmtId="49" fontId="6" fillId="12" borderId="0" xfId="0" applyNumberFormat="1" applyFont="1" applyFill="1" applyBorder="1" applyAlignment="1">
      <alignment horizontal="left" vertical="center"/>
    </xf>
    <xf numFmtId="0" fontId="7" fillId="13" borderId="0" xfId="0" applyFont="1" applyFill="1" applyProtection="1">
      <protection hidden="1"/>
    </xf>
    <xf numFmtId="0" fontId="7" fillId="14" borderId="0" xfId="0" applyFont="1" applyFill="1" applyProtection="1">
      <protection hidden="1"/>
    </xf>
    <xf numFmtId="49" fontId="20" fillId="0" borderId="0" xfId="0" applyNumberFormat="1" applyFont="1" applyFill="1" applyBorder="1" applyAlignment="1">
      <alignment horizontal="left" vertical="center"/>
    </xf>
    <xf numFmtId="0" fontId="6" fillId="12" borderId="15" xfId="0" applyFont="1" applyFill="1" applyBorder="1" applyAlignment="1" applyProtection="1">
      <alignment horizontal="left"/>
      <protection hidden="1"/>
    </xf>
    <xf numFmtId="49" fontId="7" fillId="12" borderId="16" xfId="0" applyNumberFormat="1" applyFont="1" applyFill="1" applyBorder="1" applyAlignment="1">
      <alignment horizontal="left" vertical="center"/>
    </xf>
    <xf numFmtId="0" fontId="6" fillId="12" borderId="0" xfId="0" applyFont="1" applyFill="1" applyBorder="1" applyAlignment="1" applyProtection="1">
      <alignment horizontal="left"/>
      <protection hidden="1"/>
    </xf>
    <xf numFmtId="49" fontId="7" fillId="12" borderId="0" xfId="0" applyNumberFormat="1" applyFont="1" applyFill="1" applyBorder="1" applyProtection="1">
      <protection hidden="1"/>
    </xf>
    <xf numFmtId="0" fontId="7" fillId="12" borderId="0" xfId="0" applyFont="1" applyFill="1" applyBorder="1" applyProtection="1">
      <protection hidden="1"/>
    </xf>
    <xf numFmtId="49" fontId="7" fillId="12" borderId="15" xfId="0" applyNumberFormat="1" applyFont="1" applyFill="1" applyBorder="1" applyProtection="1">
      <protection hidden="1"/>
    </xf>
    <xf numFmtId="49" fontId="45" fillId="14" borderId="0" xfId="0" applyNumberFormat="1" applyFont="1" applyFill="1" applyBorder="1" applyProtection="1">
      <protection hidden="1"/>
    </xf>
    <xf numFmtId="0" fontId="46" fillId="14" borderId="89" xfId="0" applyFont="1" applyFill="1" applyBorder="1" applyAlignment="1" applyProtection="1">
      <alignment horizontal="left"/>
      <protection hidden="1"/>
    </xf>
    <xf numFmtId="0" fontId="45" fillId="14" borderId="90" xfId="0" applyFont="1" applyFill="1" applyBorder="1" applyProtection="1">
      <protection hidden="1"/>
    </xf>
    <xf numFmtId="0" fontId="6" fillId="0" borderId="89" xfId="0" applyFont="1" applyFill="1" applyBorder="1" applyAlignment="1" applyProtection="1">
      <alignment horizontal="left"/>
      <protection hidden="1"/>
    </xf>
    <xf numFmtId="0" fontId="7" fillId="6" borderId="90" xfId="0" applyFont="1" applyFill="1" applyBorder="1" applyProtection="1">
      <protection hidden="1"/>
    </xf>
    <xf numFmtId="0" fontId="6" fillId="0" borderId="91" xfId="0" applyFont="1" applyFill="1" applyBorder="1" applyAlignment="1" applyProtection="1">
      <alignment horizontal="left"/>
      <protection hidden="1"/>
    </xf>
    <xf numFmtId="0" fontId="7" fillId="6" borderId="92" xfId="0" applyFont="1" applyFill="1" applyBorder="1" applyProtection="1">
      <protection hidden="1"/>
    </xf>
    <xf numFmtId="0" fontId="6" fillId="6" borderId="89" xfId="0" applyFont="1" applyFill="1" applyBorder="1" applyAlignment="1" applyProtection="1">
      <alignment horizontal="left"/>
      <protection hidden="1"/>
    </xf>
    <xf numFmtId="0" fontId="6" fillId="0" borderId="93" xfId="0" applyFont="1" applyFill="1" applyBorder="1" applyAlignment="1" applyProtection="1">
      <alignment horizontal="left"/>
      <protection hidden="1"/>
    </xf>
    <xf numFmtId="0" fontId="7" fillId="6" borderId="94" xfId="0" applyFont="1" applyFill="1" applyBorder="1" applyProtection="1">
      <protection hidden="1"/>
    </xf>
    <xf numFmtId="49" fontId="7" fillId="0" borderId="16" xfId="0" applyNumberFormat="1" applyFont="1" applyFill="1" applyBorder="1" applyProtection="1">
      <protection hidden="1"/>
    </xf>
    <xf numFmtId="0" fontId="6" fillId="6" borderId="95" xfId="0" applyFont="1" applyFill="1" applyBorder="1" applyAlignment="1" applyProtection="1">
      <alignment horizontal="left"/>
      <protection hidden="1"/>
    </xf>
    <xf numFmtId="0" fontId="7" fillId="6" borderId="96" xfId="0" applyFont="1" applyFill="1" applyBorder="1" applyProtection="1">
      <protection hidden="1"/>
    </xf>
    <xf numFmtId="0" fontId="6" fillId="12" borderId="89" xfId="0" applyFont="1" applyFill="1" applyBorder="1" applyAlignment="1" applyProtection="1">
      <alignment horizontal="left"/>
      <protection hidden="1"/>
    </xf>
    <xf numFmtId="0" fontId="7" fillId="12" borderId="90" xfId="0" applyFont="1" applyFill="1" applyBorder="1" applyProtection="1">
      <protection hidden="1"/>
    </xf>
    <xf numFmtId="0" fontId="46" fillId="14" borderId="93" xfId="0" applyFont="1" applyFill="1" applyBorder="1" applyAlignment="1" applyProtection="1">
      <alignment horizontal="left"/>
      <protection hidden="1"/>
    </xf>
    <xf numFmtId="49" fontId="45" fillId="14" borderId="24" xfId="0" applyNumberFormat="1" applyFont="1" applyFill="1" applyBorder="1" applyProtection="1">
      <protection hidden="1"/>
    </xf>
    <xf numFmtId="0" fontId="45" fillId="14" borderId="94" xfId="0" applyFont="1" applyFill="1" applyBorder="1" applyProtection="1">
      <protection hidden="1"/>
    </xf>
    <xf numFmtId="0" fontId="6" fillId="6" borderId="91" xfId="0" applyFont="1" applyFill="1" applyBorder="1" applyAlignment="1" applyProtection="1">
      <alignment horizontal="left"/>
      <protection hidden="1"/>
    </xf>
    <xf numFmtId="49" fontId="7" fillId="6" borderId="16" xfId="0" applyNumberFormat="1" applyFont="1" applyFill="1" applyBorder="1" applyProtection="1">
      <protection hidden="1"/>
    </xf>
    <xf numFmtId="0" fontId="6" fillId="0" borderId="95" xfId="0" applyFont="1" applyFill="1" applyBorder="1" applyAlignment="1" applyProtection="1">
      <alignment horizontal="left"/>
      <protection hidden="1"/>
    </xf>
    <xf numFmtId="0" fontId="46" fillId="14" borderId="91" xfId="0" applyFont="1" applyFill="1" applyBorder="1" applyAlignment="1" applyProtection="1">
      <alignment horizontal="left"/>
      <protection hidden="1"/>
    </xf>
    <xf numFmtId="49" fontId="45" fillId="14" borderId="16" xfId="0" applyNumberFormat="1" applyFont="1" applyFill="1" applyBorder="1" applyProtection="1">
      <protection hidden="1"/>
    </xf>
    <xf numFmtId="0" fontId="45" fillId="14" borderId="92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16" xfId="0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Fill="1" applyBorder="1" applyAlignment="1" applyProtection="1">
      <alignment horizontal="left" vertical="center" wrapText="1"/>
      <protection hidden="1"/>
    </xf>
    <xf numFmtId="0" fontId="40" fillId="0" borderId="16" xfId="0" applyFont="1" applyFill="1" applyBorder="1" applyAlignment="1" applyProtection="1">
      <alignment horizontal="left" vertical="center" wrapText="1"/>
      <protection hidden="1"/>
    </xf>
    <xf numFmtId="0" fontId="41" fillId="2" borderId="3" xfId="0" applyFont="1" applyFill="1" applyBorder="1" applyAlignment="1" applyProtection="1">
      <alignment horizontal="left" vertical="center"/>
      <protection hidden="1"/>
    </xf>
    <xf numFmtId="0" fontId="30" fillId="6" borderId="42" xfId="0" applyFont="1" applyFill="1" applyBorder="1" applyAlignment="1" applyProtection="1">
      <alignment horizontal="center" vertical="center"/>
      <protection hidden="1"/>
    </xf>
    <xf numFmtId="0" fontId="41" fillId="6" borderId="42" xfId="0" applyFont="1" applyFill="1" applyBorder="1" applyAlignment="1" applyProtection="1">
      <alignment horizontal="center" vertical="center"/>
      <protection hidden="1"/>
    </xf>
    <xf numFmtId="0" fontId="41" fillId="6" borderId="3" xfId="0" applyFont="1" applyFill="1" applyBorder="1" applyAlignment="1" applyProtection="1">
      <alignment horizontal="center" vertical="center"/>
      <protection hidden="1"/>
    </xf>
    <xf numFmtId="0" fontId="41" fillId="6" borderId="4" xfId="0" applyFont="1" applyFill="1" applyBorder="1" applyAlignment="1" applyProtection="1">
      <alignment horizontal="center" vertical="center"/>
      <protection hidden="1"/>
    </xf>
    <xf numFmtId="0" fontId="41" fillId="6" borderId="81" xfId="0" applyFont="1" applyFill="1" applyBorder="1" applyAlignment="1" applyProtection="1">
      <alignment horizontal="center" vertical="center"/>
      <protection hidden="1"/>
    </xf>
    <xf numFmtId="0" fontId="3" fillId="0" borderId="38" xfId="0" applyFont="1" applyFill="1" applyBorder="1" applyAlignment="1" applyProtection="1">
      <alignment horizontal="left" vertical="center" wrapText="1"/>
      <protection hidden="1"/>
    </xf>
    <xf numFmtId="0" fontId="40" fillId="0" borderId="38" xfId="0" applyFont="1" applyFill="1" applyBorder="1" applyAlignment="1" applyProtection="1">
      <alignment horizontal="left" vertical="center" wrapText="1"/>
      <protection hidden="1"/>
    </xf>
    <xf numFmtId="0" fontId="3" fillId="0" borderId="15" xfId="0" applyFont="1" applyFill="1" applyBorder="1" applyAlignment="1" applyProtection="1">
      <alignment horizontal="left" vertical="center" wrapText="1"/>
      <protection hidden="1"/>
    </xf>
    <xf numFmtId="0" fontId="40" fillId="0" borderId="15" xfId="0" applyFont="1" applyFill="1" applyBorder="1" applyAlignment="1" applyProtection="1">
      <alignment horizontal="left" vertical="center" wrapText="1"/>
      <protection hidden="1"/>
    </xf>
    <xf numFmtId="0" fontId="3" fillId="0" borderId="24" xfId="0" applyFont="1" applyFill="1" applyBorder="1" applyAlignment="1" applyProtection="1">
      <alignment horizontal="left" vertical="center" wrapText="1"/>
      <protection hidden="1"/>
    </xf>
    <xf numFmtId="0" fontId="40" fillId="0" borderId="24" xfId="0" applyFont="1" applyFill="1" applyBorder="1" applyAlignment="1" applyProtection="1">
      <alignment horizontal="left" vertical="center" wrapText="1"/>
      <protection hidden="1"/>
    </xf>
    <xf numFmtId="0" fontId="3" fillId="0" borderId="40" xfId="0" applyFont="1" applyFill="1" applyBorder="1" applyAlignment="1" applyProtection="1">
      <alignment horizontal="left" vertical="center" wrapText="1"/>
      <protection hidden="1"/>
    </xf>
    <xf numFmtId="0" fontId="40" fillId="0" borderId="40" xfId="0" applyFont="1" applyFill="1" applyBorder="1" applyAlignment="1" applyProtection="1">
      <alignment horizontal="left" vertical="center" wrapText="1"/>
      <protection hidden="1"/>
    </xf>
    <xf numFmtId="0" fontId="40" fillId="0" borderId="16" xfId="0" applyFont="1" applyFill="1" applyBorder="1" applyAlignment="1" applyProtection="1">
      <alignment horizontal="left" wrapText="1"/>
      <protection hidden="1"/>
    </xf>
    <xf numFmtId="0" fontId="40" fillId="0" borderId="40" xfId="0" applyFont="1" applyFill="1" applyBorder="1" applyAlignment="1" applyProtection="1">
      <alignment horizontal="left" wrapText="1"/>
      <protection hidden="1"/>
    </xf>
    <xf numFmtId="3" fontId="41" fillId="2" borderId="4" xfId="0" applyNumberFormat="1" applyFont="1" applyFill="1" applyBorder="1" applyAlignment="1" applyProtection="1">
      <alignment horizontal="center" vertical="center" wrapText="1"/>
      <protection hidden="1"/>
    </xf>
    <xf numFmtId="3" fontId="41" fillId="4" borderId="0" xfId="0" applyNumberFormat="1" applyFont="1" applyFill="1" applyBorder="1" applyAlignment="1" applyProtection="1">
      <alignment horizontal="center" vertical="center" wrapText="1"/>
      <protection hidden="1"/>
    </xf>
    <xf numFmtId="3" fontId="41" fillId="4" borderId="16" xfId="0" applyNumberFormat="1" applyFont="1" applyFill="1" applyBorder="1" applyAlignment="1" applyProtection="1">
      <alignment horizontal="center" vertical="center" wrapText="1"/>
      <protection hidden="1"/>
    </xf>
    <xf numFmtId="3" fontId="41" fillId="4" borderId="38" xfId="0" applyNumberFormat="1" applyFont="1" applyFill="1" applyBorder="1" applyAlignment="1" applyProtection="1">
      <alignment horizontal="center" vertical="center" wrapText="1"/>
      <protection hidden="1"/>
    </xf>
    <xf numFmtId="3" fontId="41" fillId="4" borderId="15" xfId="0" applyNumberFormat="1" applyFont="1" applyFill="1" applyBorder="1" applyAlignment="1" applyProtection="1">
      <alignment horizontal="center" vertical="center" wrapText="1"/>
      <protection hidden="1"/>
    </xf>
    <xf numFmtId="3" fontId="41" fillId="4" borderId="24" xfId="0" applyNumberFormat="1" applyFont="1" applyFill="1" applyBorder="1" applyAlignment="1" applyProtection="1">
      <alignment horizontal="center" vertical="center" wrapText="1"/>
      <protection hidden="1"/>
    </xf>
    <xf numFmtId="3" fontId="41" fillId="4" borderId="40" xfId="0" applyNumberFormat="1" applyFont="1" applyFill="1" applyBorder="1" applyAlignment="1" applyProtection="1">
      <alignment horizontal="center" vertical="center" wrapText="1"/>
      <protection hidden="1"/>
    </xf>
    <xf numFmtId="0" fontId="6" fillId="12" borderId="15" xfId="0" applyFont="1" applyFill="1" applyBorder="1" applyAlignment="1">
      <alignment horizontal="left"/>
    </xf>
    <xf numFmtId="4" fontId="7" fillId="12" borderId="15" xfId="0" applyNumberFormat="1" applyFont="1" applyFill="1" applyBorder="1"/>
    <xf numFmtId="4" fontId="36" fillId="12" borderId="47" xfId="0" applyNumberFormat="1" applyFont="1" applyFill="1" applyBorder="1"/>
    <xf numFmtId="4" fontId="26" fillId="12" borderId="15" xfId="0" applyNumberFormat="1" applyFont="1" applyFill="1" applyBorder="1"/>
    <xf numFmtId="4" fontId="6" fillId="12" borderId="15" xfId="0" applyNumberFormat="1" applyFont="1" applyFill="1" applyBorder="1"/>
    <xf numFmtId="0" fontId="6" fillId="15" borderId="15" xfId="0" applyFont="1" applyFill="1" applyBorder="1" applyAlignment="1">
      <alignment horizontal="left"/>
    </xf>
    <xf numFmtId="4" fontId="7" fillId="15" borderId="15" xfId="0" applyNumberFormat="1" applyFont="1" applyFill="1" applyBorder="1"/>
    <xf numFmtId="4" fontId="36" fillId="15" borderId="47" xfId="0" applyNumberFormat="1" applyFont="1" applyFill="1" applyBorder="1"/>
    <xf numFmtId="4" fontId="26" fillId="15" borderId="15" xfId="0" applyNumberFormat="1" applyFont="1" applyFill="1" applyBorder="1"/>
    <xf numFmtId="4" fontId="6" fillId="15" borderId="15" xfId="0" applyNumberFormat="1" applyFont="1" applyFill="1" applyBorder="1"/>
    <xf numFmtId="0" fontId="6" fillId="15" borderId="16" xfId="0" applyFont="1" applyFill="1" applyBorder="1" applyAlignment="1">
      <alignment horizontal="left"/>
    </xf>
    <xf numFmtId="4" fontId="7" fillId="15" borderId="16" xfId="0" applyNumberFormat="1" applyFont="1" applyFill="1" applyBorder="1"/>
    <xf numFmtId="4" fontId="36" fillId="15" borderId="71" xfId="0" applyNumberFormat="1" applyFont="1" applyFill="1" applyBorder="1"/>
    <xf numFmtId="4" fontId="26" fillId="15" borderId="16" xfId="0" applyNumberFormat="1" applyFont="1" applyFill="1" applyBorder="1"/>
    <xf numFmtId="4" fontId="6" fillId="15" borderId="16" xfId="0" applyNumberFormat="1" applyFont="1" applyFill="1" applyBorder="1"/>
    <xf numFmtId="4" fontId="26" fillId="0" borderId="82" xfId="0" applyNumberFormat="1" applyFont="1" applyFill="1" applyBorder="1"/>
    <xf numFmtId="0" fontId="6" fillId="15" borderId="16" xfId="0" applyFont="1" applyFill="1" applyBorder="1" applyAlignment="1">
      <alignment horizontal="left"/>
    </xf>
    <xf numFmtId="4" fontId="7" fillId="15" borderId="16" xfId="0" applyNumberFormat="1" applyFont="1" applyFill="1" applyBorder="1"/>
    <xf numFmtId="0" fontId="36" fillId="12" borderId="29" xfId="0" applyFont="1" applyFill="1" applyBorder="1" applyProtection="1">
      <protection hidden="1"/>
    </xf>
    <xf numFmtId="4" fontId="36" fillId="6" borderId="68" xfId="0" applyNumberFormat="1" applyFont="1" applyFill="1" applyBorder="1"/>
    <xf numFmtId="4" fontId="26" fillId="6" borderId="16" xfId="0" applyNumberFormat="1" applyFont="1" applyFill="1" applyBorder="1"/>
    <xf numFmtId="4" fontId="6" fillId="6" borderId="16" xfId="0" applyNumberFormat="1" applyFont="1" applyFill="1" applyBorder="1"/>
    <xf numFmtId="0" fontId="7" fillId="12" borderId="29" xfId="0" applyFont="1" applyFill="1" applyBorder="1" applyProtection="1">
      <protection hidden="1"/>
    </xf>
    <xf numFmtId="4" fontId="36" fillId="15" borderId="71" xfId="0" applyNumberFormat="1" applyFont="1" applyFill="1" applyBorder="1"/>
    <xf numFmtId="4" fontId="26" fillId="15" borderId="16" xfId="0" applyNumberFormat="1" applyFont="1" applyFill="1" applyBorder="1"/>
    <xf numFmtId="4" fontId="6" fillId="15" borderId="16" xfId="0" applyNumberFormat="1" applyFont="1" applyFill="1" applyBorder="1"/>
    <xf numFmtId="4" fontId="36" fillId="0" borderId="83" xfId="0" applyNumberFormat="1" applyFont="1" applyFill="1" applyBorder="1"/>
    <xf numFmtId="4" fontId="7" fillId="12" borderId="29" xfId="0" applyNumberFormat="1" applyFont="1" applyFill="1" applyBorder="1"/>
    <xf numFmtId="3" fontId="33" fillId="15" borderId="0" xfId="0" applyNumberFormat="1" applyFont="1" applyFill="1" applyAlignment="1" applyProtection="1">
      <alignment horizontal="center" wrapText="1"/>
      <protection hidden="1"/>
    </xf>
    <xf numFmtId="0" fontId="32" fillId="15" borderId="1" xfId="0" applyFont="1" applyFill="1" applyBorder="1" applyProtection="1">
      <protection hidden="1"/>
    </xf>
    <xf numFmtId="3" fontId="33" fillId="15" borderId="1" xfId="0" applyNumberFormat="1" applyFont="1" applyFill="1" applyBorder="1" applyAlignment="1" applyProtection="1">
      <alignment horizontal="center" wrapText="1"/>
      <protection hidden="1"/>
    </xf>
    <xf numFmtId="0" fontId="30" fillId="16" borderId="1" xfId="0" applyFont="1" applyFill="1" applyBorder="1" applyAlignment="1" applyProtection="1">
      <alignment horizontal="center" wrapText="1"/>
      <protection hidden="1"/>
    </xf>
    <xf numFmtId="4" fontId="30" fillId="16" borderId="0" xfId="0" applyNumberFormat="1" applyFont="1" applyFill="1" applyAlignment="1" applyProtection="1">
      <alignment horizontal="right"/>
      <protection hidden="1"/>
    </xf>
    <xf numFmtId="4" fontId="30" fillId="16" borderId="16" xfId="0" applyNumberFormat="1" applyFont="1" applyFill="1" applyBorder="1" applyAlignment="1" applyProtection="1">
      <alignment horizontal="right"/>
      <protection hidden="1"/>
    </xf>
    <xf numFmtId="4" fontId="30" fillId="16" borderId="1" xfId="0" applyNumberFormat="1" applyFont="1" applyFill="1" applyBorder="1" applyAlignment="1" applyProtection="1">
      <alignment horizontal="right"/>
      <protection hidden="1"/>
    </xf>
    <xf numFmtId="0" fontId="29" fillId="16" borderId="1" xfId="0" applyFont="1" applyFill="1" applyBorder="1" applyAlignment="1" applyProtection="1">
      <alignment wrapText="1"/>
      <protection hidden="1"/>
    </xf>
    <xf numFmtId="4" fontId="30" fillId="16" borderId="1" xfId="0" applyNumberFormat="1" applyFont="1" applyFill="1" applyBorder="1" applyAlignment="1" applyProtection="1">
      <alignment horizontal="right" wrapText="1"/>
      <protection hidden="1"/>
    </xf>
    <xf numFmtId="4" fontId="30" fillId="16" borderId="0" xfId="0" applyNumberFormat="1" applyFont="1" applyFill="1" applyBorder="1" applyAlignment="1" applyProtection="1">
      <alignment horizontal="right"/>
      <protection hidden="1"/>
    </xf>
    <xf numFmtId="4" fontId="30" fillId="16" borderId="4" xfId="0" applyNumberFormat="1" applyFont="1" applyFill="1" applyBorder="1" applyAlignment="1" applyProtection="1">
      <alignment horizontal="right" wrapText="1"/>
      <protection hidden="1"/>
    </xf>
    <xf numFmtId="4" fontId="47" fillId="17" borderId="0" xfId="0" applyNumberFormat="1" applyFont="1" applyFill="1" applyAlignment="1" applyProtection="1">
      <alignment wrapText="1"/>
      <protection hidden="1"/>
    </xf>
    <xf numFmtId="0" fontId="32" fillId="17" borderId="1" xfId="0" applyFont="1" applyFill="1" applyBorder="1" applyAlignment="1" applyProtection="1">
      <alignment horizontal="center"/>
      <protection hidden="1"/>
    </xf>
    <xf numFmtId="4" fontId="47" fillId="17" borderId="1" xfId="0" applyNumberFormat="1" applyFont="1" applyFill="1" applyBorder="1" applyAlignment="1" applyProtection="1">
      <alignment wrapText="1"/>
      <protection hidden="1"/>
    </xf>
    <xf numFmtId="49" fontId="6" fillId="13" borderId="95" xfId="0" applyNumberFormat="1" applyFont="1" applyFill="1" applyBorder="1" applyAlignment="1">
      <alignment horizontal="left" vertical="center"/>
    </xf>
    <xf numFmtId="49" fontId="20" fillId="13" borderId="96" xfId="0" applyNumberFormat="1" applyFont="1" applyFill="1" applyBorder="1" applyAlignment="1">
      <alignment horizontal="left" vertical="center"/>
    </xf>
    <xf numFmtId="0" fontId="46" fillId="14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4" fillId="9" borderId="3" xfId="0" applyFont="1" applyFill="1" applyBorder="1" applyAlignment="1" applyProtection="1">
      <alignment vertical="center"/>
      <protection hidden="1"/>
    </xf>
    <xf numFmtId="0" fontId="8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18" borderId="0" xfId="0" applyFont="1" applyFill="1" applyAlignment="1">
      <alignment horizontal="center"/>
    </xf>
    <xf numFmtId="0" fontId="7" fillId="18" borderId="0" xfId="0" applyFont="1" applyFill="1"/>
    <xf numFmtId="0" fontId="48" fillId="18" borderId="0" xfId="0" applyFont="1" applyFill="1"/>
    <xf numFmtId="0" fontId="7" fillId="18" borderId="0" xfId="0" applyFont="1" applyFill="1" applyAlignment="1">
      <alignment horizontal="left"/>
    </xf>
    <xf numFmtId="0" fontId="7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8" fillId="0" borderId="97" xfId="0" applyFont="1" applyBorder="1"/>
    <xf numFmtId="0" fontId="7" fillId="0" borderId="97" xfId="0" applyFont="1" applyBorder="1"/>
    <xf numFmtId="0" fontId="6" fillId="18" borderId="0" xfId="0" applyFont="1" applyFill="1" applyAlignment="1">
      <alignment horizontal="center"/>
    </xf>
    <xf numFmtId="49" fontId="6" fillId="18" borderId="0" xfId="0" applyNumberFormat="1" applyFont="1" applyFill="1" applyAlignment="1">
      <alignment horizontal="center"/>
    </xf>
    <xf numFmtId="0" fontId="6" fillId="18" borderId="0" xfId="0" applyFont="1" applyFill="1" applyAlignment="1">
      <alignment horizontal="left"/>
    </xf>
    <xf numFmtId="0" fontId="6" fillId="18" borderId="0" xfId="0" applyFont="1" applyFill="1"/>
    <xf numFmtId="0" fontId="2" fillId="2" borderId="1" xfId="0" applyFont="1" applyFill="1" applyBorder="1" applyAlignment="1" applyProtection="1">
      <alignment horizontal="right"/>
      <protection hidden="1"/>
    </xf>
    <xf numFmtId="0" fontId="7" fillId="15" borderId="16" xfId="0" applyFont="1" applyFill="1" applyBorder="1" applyProtection="1">
      <protection hidden="1"/>
    </xf>
    <xf numFmtId="0" fontId="7" fillId="0" borderId="16" xfId="0" applyFont="1" applyFill="1" applyBorder="1" applyAlignment="1" applyProtection="1">
      <protection hidden="1"/>
    </xf>
    <xf numFmtId="49" fontId="46" fillId="14" borderId="95" xfId="0" applyNumberFormat="1" applyFont="1" applyFill="1" applyBorder="1" applyAlignment="1">
      <alignment horizontal="left" vertical="center"/>
    </xf>
    <xf numFmtId="49" fontId="45" fillId="14" borderId="15" xfId="0" applyNumberFormat="1" applyFont="1" applyFill="1" applyBorder="1" applyAlignment="1">
      <alignment horizontal="left" vertical="center"/>
    </xf>
    <xf numFmtId="2" fontId="46" fillId="14" borderId="96" xfId="0" applyNumberFormat="1" applyFont="1" applyFill="1" applyBorder="1" applyAlignment="1">
      <alignment horizontal="right" vertical="center"/>
    </xf>
    <xf numFmtId="49" fontId="6" fillId="0" borderId="93" xfId="0" applyNumberFormat="1" applyFont="1" applyFill="1" applyBorder="1" applyAlignment="1">
      <alignment horizontal="left" vertical="center"/>
    </xf>
    <xf numFmtId="49" fontId="20" fillId="0" borderId="24" xfId="0" applyNumberFormat="1" applyFont="1" applyFill="1" applyBorder="1" applyAlignment="1">
      <alignment horizontal="left" vertical="center"/>
    </xf>
    <xf numFmtId="49" fontId="20" fillId="0" borderId="94" xfId="0" applyNumberFormat="1" applyFont="1" applyFill="1" applyBorder="1" applyAlignment="1">
      <alignment horizontal="left" vertical="center"/>
    </xf>
    <xf numFmtId="0" fontId="6" fillId="0" borderId="89" xfId="0" applyFont="1" applyFill="1" applyBorder="1" applyAlignment="1">
      <alignment horizontal="left" vertical="center"/>
    </xf>
    <xf numFmtId="49" fontId="20" fillId="0" borderId="90" xfId="0" applyNumberFormat="1" applyFont="1" applyFill="1" applyBorder="1" applyAlignment="1">
      <alignment horizontal="left" vertical="center"/>
    </xf>
    <xf numFmtId="49" fontId="6" fillId="0" borderId="89" xfId="0" applyNumberFormat="1" applyFont="1" applyFill="1" applyBorder="1" applyAlignment="1">
      <alignment horizontal="left" vertical="center"/>
    </xf>
    <xf numFmtId="0" fontId="6" fillId="0" borderId="91" xfId="0" applyFont="1" applyFill="1" applyBorder="1" applyAlignment="1">
      <alignment horizontal="left" vertical="center"/>
    </xf>
    <xf numFmtId="49" fontId="20" fillId="0" borderId="16" xfId="0" applyNumberFormat="1" applyFont="1" applyFill="1" applyBorder="1" applyAlignment="1">
      <alignment horizontal="left" vertical="center"/>
    </xf>
    <xf numFmtId="49" fontId="20" fillId="0" borderId="92" xfId="0" applyNumberFormat="1" applyFont="1" applyFill="1" applyBorder="1" applyAlignment="1">
      <alignment horizontal="left" vertical="center"/>
    </xf>
    <xf numFmtId="49" fontId="6" fillId="19" borderId="91" xfId="0" applyNumberFormat="1" applyFont="1" applyFill="1" applyBorder="1" applyAlignment="1">
      <alignment horizontal="left" vertical="center"/>
    </xf>
    <xf numFmtId="49" fontId="20" fillId="19" borderId="16" xfId="0" applyNumberFormat="1" applyFont="1" applyFill="1" applyBorder="1" applyAlignment="1">
      <alignment horizontal="left" vertical="center"/>
    </xf>
    <xf numFmtId="49" fontId="20" fillId="19" borderId="92" xfId="0" applyNumberFormat="1" applyFont="1" applyFill="1" applyBorder="1" applyAlignment="1">
      <alignment horizontal="left" vertical="center"/>
    </xf>
    <xf numFmtId="49" fontId="20" fillId="13" borderId="15" xfId="0" applyNumberFormat="1" applyFont="1" applyFill="1" applyBorder="1" applyAlignment="1">
      <alignment horizontal="left" vertical="center"/>
    </xf>
    <xf numFmtId="49" fontId="6" fillId="14" borderId="95" xfId="0" applyNumberFormat="1" applyFont="1" applyFill="1" applyBorder="1" applyAlignment="1">
      <alignment horizontal="left" vertical="center"/>
    </xf>
    <xf numFmtId="49" fontId="7" fillId="14" borderId="15" xfId="0" applyNumberFormat="1" applyFont="1" applyFill="1" applyBorder="1" applyAlignment="1">
      <alignment horizontal="left" vertical="center"/>
    </xf>
    <xf numFmtId="2" fontId="13" fillId="14" borderId="96" xfId="0" applyNumberFormat="1" applyFont="1" applyFill="1" applyBorder="1" applyAlignment="1">
      <alignment horizontal="left" vertical="center"/>
    </xf>
    <xf numFmtId="49" fontId="6" fillId="16" borderId="24" xfId="0" applyNumberFormat="1" applyFont="1" applyFill="1" applyBorder="1" applyAlignment="1">
      <alignment horizontal="left" vertical="center"/>
    </xf>
    <xf numFmtId="2" fontId="13" fillId="16" borderId="24" xfId="0" applyNumberFormat="1" applyFont="1" applyFill="1" applyBorder="1" applyAlignment="1">
      <alignment horizontal="left" vertical="center"/>
    </xf>
    <xf numFmtId="49" fontId="6" fillId="16" borderId="0" xfId="0" applyNumberFormat="1" applyFont="1" applyFill="1" applyBorder="1" applyAlignment="1">
      <alignment horizontal="left" vertical="center"/>
    </xf>
    <xf numFmtId="0" fontId="7" fillId="16" borderId="0" xfId="0" applyFont="1" applyFill="1" applyBorder="1" applyProtection="1">
      <protection hidden="1"/>
    </xf>
    <xf numFmtId="2" fontId="13" fillId="16" borderId="0" xfId="0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7" fillId="16" borderId="0" xfId="0" applyNumberFormat="1" applyFont="1" applyFill="1" applyBorder="1" applyAlignment="1">
      <alignment horizontal="left" vertical="center"/>
    </xf>
    <xf numFmtId="4" fontId="49" fillId="0" borderId="0" xfId="0" applyNumberFormat="1" applyFont="1" applyFill="1" applyBorder="1"/>
    <xf numFmtId="4" fontId="49" fillId="0" borderId="16" xfId="0" applyNumberFormat="1" applyFont="1" applyFill="1" applyBorder="1"/>
    <xf numFmtId="4" fontId="49" fillId="0" borderId="24" xfId="0" applyNumberFormat="1" applyFont="1" applyFill="1" applyBorder="1"/>
    <xf numFmtId="4" fontId="7" fillId="0" borderId="84" xfId="0" applyNumberFormat="1" applyFont="1" applyFill="1" applyBorder="1"/>
    <xf numFmtId="4" fontId="7" fillId="0" borderId="85" xfId="0" applyNumberFormat="1" applyFont="1" applyFill="1" applyBorder="1"/>
    <xf numFmtId="4" fontId="7" fillId="0" borderId="86" xfId="0" applyNumberFormat="1" applyFont="1" applyFill="1" applyBorder="1"/>
    <xf numFmtId="0" fontId="7" fillId="0" borderId="0" xfId="0" applyFont="1" applyBorder="1" applyAlignment="1" applyProtection="1">
      <alignment horizontal="center"/>
      <protection hidden="1"/>
    </xf>
    <xf numFmtId="0" fontId="7" fillId="0" borderId="54" xfId="0" applyFont="1" applyFill="1" applyBorder="1" applyAlignment="1" applyProtection="1">
      <alignment horizontal="center"/>
      <protection hidden="1"/>
    </xf>
    <xf numFmtId="0" fontId="7" fillId="0" borderId="55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 wrapText="1"/>
      <protection hidden="1"/>
    </xf>
    <xf numFmtId="49" fontId="6" fillId="0" borderId="15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Protection="1">
      <protection hidden="1"/>
    </xf>
    <xf numFmtId="49" fontId="6" fillId="0" borderId="16" xfId="0" applyNumberFormat="1" applyFont="1" applyFill="1" applyBorder="1" applyProtection="1">
      <protection hidden="1"/>
    </xf>
    <xf numFmtId="49" fontId="6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Fill="1" applyBorder="1" applyProtection="1">
      <protection hidden="1"/>
    </xf>
    <xf numFmtId="49" fontId="6" fillId="0" borderId="24" xfId="0" applyNumberFormat="1" applyFont="1" applyFill="1" applyBorder="1" applyProtection="1">
      <protection hidden="1"/>
    </xf>
    <xf numFmtId="49" fontId="7" fillId="0" borderId="49" xfId="0" applyNumberFormat="1" applyFont="1" applyFill="1" applyBorder="1" applyAlignment="1" applyProtection="1">
      <alignment horizontal="left"/>
      <protection hidden="1"/>
    </xf>
    <xf numFmtId="49" fontId="6" fillId="0" borderId="24" xfId="0" applyNumberFormat="1" applyFont="1" applyBorder="1" applyAlignment="1">
      <alignment horizontal="left" vertical="center"/>
    </xf>
    <xf numFmtId="49" fontId="6" fillId="0" borderId="15" xfId="0" applyNumberFormat="1" applyFont="1" applyBorder="1" applyProtection="1">
      <protection hidden="1"/>
    </xf>
    <xf numFmtId="49" fontId="7" fillId="0" borderId="51" xfId="0" applyNumberFormat="1" applyFont="1" applyFill="1" applyBorder="1" applyAlignment="1" applyProtection="1">
      <alignment horizontal="left"/>
      <protection hidden="1"/>
    </xf>
    <xf numFmtId="49" fontId="6" fillId="0" borderId="1" xfId="0" applyNumberFormat="1" applyFont="1" applyBorder="1" applyAlignment="1">
      <alignment horizontal="left" vertical="center"/>
    </xf>
    <xf numFmtId="49" fontId="6" fillId="0" borderId="16" xfId="0" applyNumberFormat="1" applyFont="1" applyFill="1" applyBorder="1" applyAlignment="1" applyProtection="1">
      <alignment horizontal="left"/>
      <protection hidden="1"/>
    </xf>
    <xf numFmtId="49" fontId="6" fillId="0" borderId="24" xfId="0" applyNumberFormat="1" applyFont="1" applyFill="1" applyBorder="1" applyAlignment="1" applyProtection="1">
      <alignment horizontal="left"/>
      <protection hidden="1"/>
    </xf>
    <xf numFmtId="49" fontId="6" fillId="0" borderId="0" xfId="0" applyNumberFormat="1" applyFont="1" applyFill="1" applyBorder="1" applyAlignment="1" applyProtection="1">
      <alignment horizontal="left"/>
      <protection hidden="1"/>
    </xf>
    <xf numFmtId="49" fontId="6" fillId="4" borderId="18" xfId="0" applyNumberFormat="1" applyFont="1" applyFill="1" applyBorder="1" applyAlignment="1">
      <alignment horizontal="left"/>
    </xf>
    <xf numFmtId="49" fontId="7" fillId="0" borderId="87" xfId="0" applyNumberFormat="1" applyFont="1" applyFill="1" applyBorder="1" applyAlignment="1" applyProtection="1">
      <alignment horizontal="left"/>
      <protection hidden="1"/>
    </xf>
    <xf numFmtId="49" fontId="7" fillId="0" borderId="77" xfId="0" applyNumberFormat="1" applyFont="1" applyFill="1" applyBorder="1" applyAlignment="1" applyProtection="1">
      <alignment horizontal="left"/>
      <protection hidden="1"/>
    </xf>
    <xf numFmtId="49" fontId="6" fillId="0" borderId="15" xfId="0" applyNumberFormat="1" applyFont="1" applyFill="1" applyBorder="1" applyAlignment="1" applyProtection="1">
      <alignment horizontal="left"/>
      <protection hidden="1"/>
    </xf>
    <xf numFmtId="49" fontId="7" fillId="0" borderId="88" xfId="0" applyNumberFormat="1" applyFont="1" applyFill="1" applyBorder="1" applyAlignment="1" applyProtection="1">
      <alignment horizontal="left"/>
      <protection hidden="1"/>
    </xf>
    <xf numFmtId="49" fontId="7" fillId="0" borderId="48" xfId="0" applyNumberFormat="1" applyFont="1" applyFill="1" applyBorder="1" applyAlignment="1" applyProtection="1">
      <alignment horizontal="left"/>
      <protection hidden="1"/>
    </xf>
    <xf numFmtId="49" fontId="6" fillId="0" borderId="95" xfId="0" applyNumberFormat="1" applyFont="1" applyFill="1" applyBorder="1" applyAlignment="1" applyProtection="1">
      <alignment horizontal="left"/>
      <protection hidden="1"/>
    </xf>
    <xf numFmtId="49" fontId="7" fillId="6" borderId="90" xfId="0" applyNumberFormat="1" applyFont="1" applyFill="1" applyBorder="1" applyProtection="1">
      <protection hidden="1"/>
    </xf>
    <xf numFmtId="49" fontId="7" fillId="6" borderId="92" xfId="0" applyNumberFormat="1" applyFont="1" applyFill="1" applyBorder="1" applyProtection="1">
      <protection hidden="1"/>
    </xf>
    <xf numFmtId="49" fontId="6" fillId="0" borderId="9" xfId="0" applyNumberFormat="1" applyFont="1" applyFill="1" applyBorder="1" applyAlignment="1" applyProtection="1">
      <alignment horizontal="left"/>
      <protection hidden="1"/>
    </xf>
    <xf numFmtId="49" fontId="6" fillId="0" borderId="24" xfId="0" applyNumberFormat="1" applyFont="1" applyBorder="1" applyProtection="1">
      <protection hidden="1"/>
    </xf>
    <xf numFmtId="49" fontId="6" fillId="0" borderId="0" xfId="0" applyNumberFormat="1" applyFont="1" applyBorder="1" applyProtection="1">
      <protection hidden="1"/>
    </xf>
    <xf numFmtId="49" fontId="6" fillId="0" borderId="16" xfId="0" applyNumberFormat="1" applyFont="1" applyBorder="1" applyProtection="1">
      <protection hidden="1"/>
    </xf>
    <xf numFmtId="49" fontId="7" fillId="6" borderId="24" xfId="0" applyNumberFormat="1" applyFont="1" applyFill="1" applyBorder="1" applyProtection="1">
      <protection hidden="1"/>
    </xf>
    <xf numFmtId="49" fontId="7" fillId="0" borderId="24" xfId="0" applyNumberFormat="1" applyFont="1" applyFill="1" applyBorder="1" applyAlignment="1" applyProtection="1">
      <alignment horizontal="left"/>
      <protection hidden="1"/>
    </xf>
    <xf numFmtId="49" fontId="7" fillId="0" borderId="0" xfId="0" applyNumberFormat="1" applyFont="1" applyFill="1" applyBorder="1" applyAlignment="1" applyProtection="1">
      <alignment horizontal="left"/>
      <protection hidden="1"/>
    </xf>
    <xf numFmtId="49" fontId="7" fillId="16" borderId="24" xfId="0" applyNumberFormat="1" applyFont="1" applyFill="1" applyBorder="1" applyProtection="1">
      <protection hidden="1"/>
    </xf>
    <xf numFmtId="49" fontId="7" fillId="0" borderId="0" xfId="0" applyNumberFormat="1" applyFont="1" applyBorder="1"/>
    <xf numFmtId="49" fontId="7" fillId="16" borderId="0" xfId="0" applyNumberFormat="1" applyFont="1" applyFill="1" applyBorder="1" applyProtection="1">
      <protection hidden="1"/>
    </xf>
    <xf numFmtId="49" fontId="7" fillId="0" borderId="0" xfId="0" applyNumberFormat="1" applyFont="1" applyFill="1" applyBorder="1"/>
    <xf numFmtId="49" fontId="6" fillId="0" borderId="17" xfId="0" applyNumberFormat="1" applyFont="1" applyFill="1" applyBorder="1" applyAlignment="1" applyProtection="1">
      <alignment horizontal="left"/>
      <protection hidden="1"/>
    </xf>
    <xf numFmtId="49" fontId="6" fillId="0" borderId="9" xfId="0" applyNumberFormat="1" applyFont="1" applyFill="1" applyBorder="1" applyAlignment="1">
      <alignment horizontal="left"/>
    </xf>
    <xf numFmtId="49" fontId="6" fillId="4" borderId="7" xfId="0" applyNumberFormat="1" applyFont="1" applyFill="1" applyBorder="1" applyAlignment="1">
      <alignment horizontal="left"/>
    </xf>
    <xf numFmtId="49" fontId="6" fillId="0" borderId="0" xfId="0" applyNumberFormat="1" applyFont="1" applyAlignment="1" applyProtection="1">
      <alignment horizontal="left"/>
      <protection hidden="1"/>
    </xf>
    <xf numFmtId="49" fontId="6" fillId="0" borderId="89" xfId="0" applyNumberFormat="1" applyFont="1" applyFill="1" applyBorder="1" applyAlignment="1" applyProtection="1">
      <alignment horizontal="left"/>
      <protection hidden="1"/>
    </xf>
    <xf numFmtId="49" fontId="6" fillId="0" borderId="91" xfId="0" applyNumberFormat="1" applyFont="1" applyFill="1" applyBorder="1" applyAlignment="1" applyProtection="1">
      <alignment horizontal="left"/>
      <protection hidden="1"/>
    </xf>
    <xf numFmtId="49" fontId="7" fillId="0" borderId="24" xfId="0" applyNumberFormat="1" applyFont="1" applyBorder="1" applyAlignment="1" applyProtection="1">
      <protection hidden="1"/>
    </xf>
    <xf numFmtId="49" fontId="7" fillId="0" borderId="15" xfId="0" applyNumberFormat="1" applyFont="1" applyBorder="1"/>
    <xf numFmtId="49" fontId="7" fillId="0" borderId="16" xfId="0" applyNumberFormat="1" applyFont="1" applyBorder="1" applyAlignment="1" applyProtection="1">
      <protection hidden="1"/>
    </xf>
    <xf numFmtId="49" fontId="7" fillId="0" borderId="16" xfId="0" applyNumberFormat="1" applyFont="1" applyBorder="1"/>
    <xf numFmtId="49" fontId="7" fillId="0" borderId="0" xfId="0" applyNumberFormat="1" applyFont="1" applyProtection="1">
      <protection hidden="1"/>
    </xf>
    <xf numFmtId="49" fontId="7" fillId="0" borderId="15" xfId="0" applyNumberFormat="1" applyFont="1" applyFill="1" applyBorder="1"/>
    <xf numFmtId="49" fontId="7" fillId="0" borderId="16" xfId="0" applyNumberFormat="1" applyFont="1" applyFill="1" applyBorder="1" applyAlignment="1" applyProtection="1">
      <alignment horizontal="left"/>
      <protection hidden="1"/>
    </xf>
    <xf numFmtId="49" fontId="7" fillId="0" borderId="24" xfId="0" applyNumberFormat="1" applyFont="1" applyBorder="1"/>
    <xf numFmtId="49" fontId="7" fillId="0" borderId="16" xfId="0" applyNumberFormat="1" applyFont="1" applyFill="1" applyBorder="1"/>
    <xf numFmtId="49" fontId="18" fillId="0" borderId="25" xfId="0" applyNumberFormat="1" applyFont="1" applyFill="1" applyBorder="1" applyProtection="1">
      <protection hidden="1"/>
    </xf>
    <xf numFmtId="49" fontId="6" fillId="0" borderId="93" xfId="0" applyNumberFormat="1" applyFont="1" applyFill="1" applyBorder="1" applyAlignment="1" applyProtection="1">
      <alignment horizontal="left"/>
      <protection hidden="1"/>
    </xf>
    <xf numFmtId="49" fontId="7" fillId="6" borderId="96" xfId="0" applyNumberFormat="1" applyFont="1" applyFill="1" applyBorder="1" applyProtection="1">
      <protection hidden="1"/>
    </xf>
    <xf numFmtId="49" fontId="6" fillId="0" borderId="89" xfId="0" applyNumberFormat="1" applyFont="1" applyBorder="1" applyProtection="1">
      <protection hidden="1"/>
    </xf>
    <xf numFmtId="49" fontId="6" fillId="0" borderId="91" xfId="0" applyNumberFormat="1" applyFont="1" applyBorder="1" applyProtection="1">
      <protection hidden="1"/>
    </xf>
    <xf numFmtId="49" fontId="6" fillId="0" borderId="16" xfId="0" applyNumberFormat="1" applyFont="1" applyBorder="1" applyAlignment="1" applyProtection="1">
      <protection hidden="1"/>
    </xf>
    <xf numFmtId="49" fontId="7" fillId="0" borderId="15" xfId="0" applyNumberFormat="1" applyFont="1" applyBorder="1" applyAlignment="1" applyProtection="1">
      <protection hidden="1"/>
    </xf>
    <xf numFmtId="49" fontId="50" fillId="0" borderId="15" xfId="0" applyNumberFormat="1" applyFont="1" applyFill="1" applyBorder="1" applyAlignment="1">
      <alignment horizontal="left"/>
    </xf>
    <xf numFmtId="4" fontId="49" fillId="0" borderId="15" xfId="0" applyNumberFormat="1" applyFont="1" applyFill="1" applyBorder="1"/>
    <xf numFmtId="0" fontId="50" fillId="0" borderId="24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49" fontId="50" fillId="0" borderId="0" xfId="0" applyNumberFormat="1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4" fontId="49" fillId="0" borderId="47" xfId="0" applyNumberFormat="1" applyFont="1" applyFill="1" applyBorder="1"/>
    <xf numFmtId="49" fontId="50" fillId="0" borderId="24" xfId="0" applyNumberFormat="1" applyFont="1" applyFill="1" applyBorder="1" applyAlignment="1">
      <alignment horizontal="left"/>
    </xf>
    <xf numFmtId="4" fontId="49" fillId="0" borderId="72" xfId="0" applyNumberFormat="1" applyFont="1" applyFill="1" applyBorder="1"/>
    <xf numFmtId="4" fontId="49" fillId="0" borderId="70" xfId="0" applyNumberFormat="1" applyFont="1" applyFill="1" applyBorder="1"/>
    <xf numFmtId="49" fontId="50" fillId="0" borderId="16" xfId="0" applyNumberFormat="1" applyFont="1" applyFill="1" applyBorder="1" applyAlignment="1">
      <alignment horizontal="left"/>
    </xf>
    <xf numFmtId="4" fontId="49" fillId="0" borderId="71" xfId="0" applyNumberFormat="1" applyFont="1" applyFill="1" applyBorder="1"/>
    <xf numFmtId="4" fontId="49" fillId="0" borderId="68" xfId="0" applyNumberFormat="1" applyFont="1" applyFill="1" applyBorder="1"/>
    <xf numFmtId="0" fontId="7" fillId="19" borderId="0" xfId="0" applyFont="1" applyFill="1" applyBorder="1" applyProtection="1">
      <protection hidden="1"/>
    </xf>
    <xf numFmtId="0" fontId="6" fillId="19" borderId="16" xfId="0" applyFont="1" applyFill="1" applyBorder="1" applyAlignment="1" applyProtection="1">
      <alignment horizontal="left"/>
      <protection hidden="1"/>
    </xf>
    <xf numFmtId="0" fontId="7" fillId="19" borderId="15" xfId="0" applyFont="1" applyFill="1" applyBorder="1" applyProtection="1">
      <protection hidden="1"/>
    </xf>
    <xf numFmtId="49" fontId="7" fillId="19" borderId="15" xfId="0" applyNumberFormat="1" applyFont="1" applyFill="1" applyBorder="1" applyProtection="1">
      <protection hidden="1"/>
    </xf>
    <xf numFmtId="0" fontId="7" fillId="19" borderId="15" xfId="0" applyFont="1" applyFill="1" applyBorder="1" applyAlignment="1" applyProtection="1">
      <alignment horizontal="center"/>
      <protection hidden="1"/>
    </xf>
    <xf numFmtId="0" fontId="7" fillId="19" borderId="0" xfId="0" applyFont="1" applyFill="1" applyProtection="1">
      <protection hidden="1"/>
    </xf>
    <xf numFmtId="0" fontId="45" fillId="12" borderId="15" xfId="0" applyFont="1" applyFill="1" applyBorder="1" applyAlignment="1" applyProtection="1">
      <alignment horizontal="right"/>
      <protection hidden="1"/>
    </xf>
    <xf numFmtId="0" fontId="6" fillId="19" borderId="0" xfId="0" applyFont="1" applyFill="1" applyBorder="1" applyAlignment="1" applyProtection="1">
      <alignment horizontal="left"/>
      <protection hidden="1"/>
    </xf>
    <xf numFmtId="49" fontId="7" fillId="19" borderId="0" xfId="0" applyNumberFormat="1" applyFont="1" applyFill="1" applyBorder="1" applyProtection="1">
      <protection hidden="1"/>
    </xf>
    <xf numFmtId="0" fontId="7" fillId="0" borderId="24" xfId="0" applyFont="1" applyBorder="1" applyProtection="1"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left"/>
      <protection hidden="1"/>
    </xf>
    <xf numFmtId="49" fontId="7" fillId="6" borderId="0" xfId="0" applyNumberFormat="1" applyFont="1" applyFill="1" applyBorder="1" applyAlignment="1" applyProtection="1">
      <alignment horizontal="left"/>
      <protection hidden="1"/>
    </xf>
    <xf numFmtId="0" fontId="7" fillId="6" borderId="24" xfId="0" applyFont="1" applyFill="1" applyBorder="1" applyAlignment="1" applyProtection="1">
      <alignment horizontal="left"/>
      <protection hidden="1"/>
    </xf>
    <xf numFmtId="0" fontId="7" fillId="15" borderId="24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7" fillId="0" borderId="15" xfId="0" applyFont="1" applyFill="1" applyBorder="1" applyProtection="1">
      <protection hidden="1"/>
    </xf>
    <xf numFmtId="0" fontId="7" fillId="0" borderId="0" xfId="0" applyFont="1" applyFill="1"/>
    <xf numFmtId="49" fontId="6" fillId="0" borderId="98" xfId="0" applyNumberFormat="1" applyFont="1" applyFill="1" applyBorder="1" applyAlignment="1">
      <alignment horizontal="left"/>
    </xf>
    <xf numFmtId="4" fontId="7" fillId="0" borderId="99" xfId="0" applyNumberFormat="1" applyFont="1" applyFill="1" applyBorder="1"/>
    <xf numFmtId="49" fontId="7" fillId="0" borderId="1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20" borderId="0" xfId="0" applyFont="1" applyFill="1"/>
    <xf numFmtId="0" fontId="7" fillId="21" borderId="0" xfId="0" applyFont="1" applyFill="1"/>
    <xf numFmtId="0" fontId="6" fillId="21" borderId="0" xfId="0" applyFont="1" applyFill="1" applyAlignment="1">
      <alignment horizontal="center"/>
    </xf>
    <xf numFmtId="0" fontId="6" fillId="21" borderId="0" xfId="0" applyFont="1" applyFill="1" applyBorder="1"/>
    <xf numFmtId="0" fontId="6" fillId="20" borderId="0" xfId="0" applyFont="1" applyFill="1" applyBorder="1"/>
    <xf numFmtId="49" fontId="6" fillId="16" borderId="89" xfId="0" applyNumberFormat="1" applyFont="1" applyFill="1" applyBorder="1" applyAlignment="1" applyProtection="1">
      <alignment horizontal="left"/>
      <protection hidden="1"/>
    </xf>
    <xf numFmtId="0" fontId="7" fillId="16" borderId="90" xfId="0" applyFont="1" applyFill="1" applyBorder="1" applyProtection="1">
      <protection hidden="1"/>
    </xf>
    <xf numFmtId="49" fontId="6" fillId="16" borderId="91" xfId="0" applyNumberFormat="1" applyFont="1" applyFill="1" applyBorder="1" applyAlignment="1" applyProtection="1">
      <alignment horizontal="left"/>
      <protection hidden="1"/>
    </xf>
    <xf numFmtId="49" fontId="7" fillId="16" borderId="16" xfId="0" applyNumberFormat="1" applyFont="1" applyFill="1" applyBorder="1" applyProtection="1">
      <protection hidden="1"/>
    </xf>
    <xf numFmtId="0" fontId="7" fillId="16" borderId="92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left"/>
      <protection hidden="1"/>
    </xf>
    <xf numFmtId="0" fontId="37" fillId="0" borderId="24" xfId="0" applyFont="1" applyFill="1" applyBorder="1" applyAlignment="1" applyProtection="1">
      <alignment horizontal="left"/>
      <protection locked="0" hidden="1"/>
    </xf>
    <xf numFmtId="0" fontId="37" fillId="0" borderId="34" xfId="0" applyFont="1" applyFill="1" applyBorder="1" applyAlignment="1" applyProtection="1">
      <alignment horizontal="left"/>
      <protection locked="0" hidden="1"/>
    </xf>
    <xf numFmtId="0" fontId="3" fillId="0" borderId="16" xfId="0" applyFont="1" applyBorder="1" applyAlignment="1" applyProtection="1">
      <alignment horizontal="center"/>
      <protection hidden="1"/>
    </xf>
    <xf numFmtId="0" fontId="37" fillId="0" borderId="21" xfId="0" applyFont="1" applyFill="1" applyBorder="1" applyAlignment="1" applyProtection="1">
      <alignment horizontal="left"/>
      <protection locked="0" hidden="1"/>
    </xf>
    <xf numFmtId="0" fontId="37" fillId="0" borderId="15" xfId="0" applyFont="1" applyFill="1" applyBorder="1" applyAlignment="1" applyProtection="1">
      <alignment horizontal="left"/>
      <protection locked="0" hidden="1"/>
    </xf>
    <xf numFmtId="0" fontId="6" fillId="0" borderId="1" xfId="0" applyFont="1" applyBorder="1" applyAlignment="1" applyProtection="1">
      <alignment horizontal="center"/>
      <protection hidden="1"/>
    </xf>
    <xf numFmtId="0" fontId="37" fillId="0" borderId="16" xfId="0" applyFont="1" applyFill="1" applyBorder="1" applyAlignment="1" applyProtection="1">
      <alignment horizontal="left"/>
      <protection locked="0" hidden="1"/>
    </xf>
    <xf numFmtId="0" fontId="37" fillId="0" borderId="33" xfId="0" applyFont="1" applyFill="1" applyBorder="1" applyAlignment="1" applyProtection="1">
      <alignment horizontal="left"/>
      <protection locked="0" hidden="1"/>
    </xf>
    <xf numFmtId="0" fontId="37" fillId="0" borderId="35" xfId="0" applyFont="1" applyFill="1" applyBorder="1" applyAlignment="1" applyProtection="1">
      <alignment horizontal="left"/>
      <protection locked="0" hidden="1"/>
    </xf>
    <xf numFmtId="0" fontId="2" fillId="5" borderId="3" xfId="0" applyFont="1" applyFill="1" applyBorder="1" applyAlignment="1" applyProtection="1">
      <alignment horizontal="center" wrapText="1"/>
      <protection hidden="1"/>
    </xf>
    <xf numFmtId="0" fontId="2" fillId="5" borderId="4" xfId="0" applyFont="1" applyFill="1" applyBorder="1" applyAlignment="1" applyProtection="1">
      <alignment horizontal="center" wrapText="1"/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37" fillId="0" borderId="26" xfId="0" applyFont="1" applyFill="1" applyBorder="1" applyAlignment="1" applyProtection="1">
      <alignment horizontal="left"/>
      <protection locked="0" hidden="1"/>
    </xf>
    <xf numFmtId="0" fontId="37" fillId="0" borderId="44" xfId="0" applyFont="1" applyFill="1" applyBorder="1" applyAlignment="1" applyProtection="1">
      <alignment horizontal="left"/>
      <protection locked="0" hidden="1"/>
    </xf>
    <xf numFmtId="14" fontId="2" fillId="0" borderId="16" xfId="0" applyNumberFormat="1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left" wrapText="1"/>
      <protection hidden="1"/>
    </xf>
    <xf numFmtId="0" fontId="2" fillId="5" borderId="4" xfId="0" applyFont="1" applyFill="1" applyBorder="1" applyAlignment="1" applyProtection="1">
      <alignment horizontal="left" wrapText="1"/>
      <protection hidden="1"/>
    </xf>
    <xf numFmtId="0" fontId="2" fillId="2" borderId="3" xfId="0" applyFont="1" applyFill="1" applyBorder="1" applyAlignment="1" applyProtection="1">
      <alignment horizontal="left" wrapText="1" indent="1"/>
      <protection hidden="1"/>
    </xf>
    <xf numFmtId="0" fontId="2" fillId="2" borderId="4" xfId="0" applyFont="1" applyFill="1" applyBorder="1" applyAlignment="1" applyProtection="1">
      <alignment horizontal="left" wrapText="1" indent="1"/>
      <protection hidden="1"/>
    </xf>
    <xf numFmtId="0" fontId="2" fillId="3" borderId="4" xfId="0" applyFont="1" applyFill="1" applyBorder="1" applyAlignment="1" applyProtection="1">
      <alignment horizontal="left" wrapText="1" indent="2"/>
      <protection hidden="1"/>
    </xf>
    <xf numFmtId="0" fontId="2" fillId="3" borderId="5" xfId="0" applyFont="1" applyFill="1" applyBorder="1" applyAlignment="1" applyProtection="1">
      <alignment horizontal="left" wrapText="1" indent="2"/>
      <protection hidden="1"/>
    </xf>
    <xf numFmtId="168" fontId="2" fillId="2" borderId="1" xfId="0" applyNumberFormat="1" applyFont="1" applyFill="1" applyBorder="1" applyAlignment="1" applyProtection="1">
      <alignment horizontal="left" wrapText="1"/>
      <protection hidden="1"/>
    </xf>
    <xf numFmtId="49" fontId="3" fillId="0" borderId="16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24" xfId="0" applyFont="1" applyBorder="1" applyAlignment="1" applyProtection="1">
      <alignment horizontal="left" vertical="center" wrapText="1" indent="4"/>
      <protection hidden="1"/>
    </xf>
    <xf numFmtId="40" fontId="17" fillId="0" borderId="0" xfId="0" applyNumberFormat="1" applyFont="1" applyFill="1" applyBorder="1" applyAlignment="1" applyProtection="1">
      <alignment horizontal="right" vertical="center" wrapText="1"/>
      <protection hidden="1"/>
    </xf>
    <xf numFmtId="9" fontId="2" fillId="0" borderId="0" xfId="4" applyFont="1" applyBorder="1" applyAlignment="1" applyProtection="1">
      <alignment horizontal="right" vertical="center" wrapText="1"/>
      <protection locked="0" hidden="1"/>
    </xf>
    <xf numFmtId="0" fontId="2" fillId="0" borderId="0" xfId="0" applyFont="1" applyBorder="1" applyAlignment="1" applyProtection="1">
      <alignment horizontal="left" vertical="center" wrapText="1" indent="4"/>
      <protection hidden="1"/>
    </xf>
    <xf numFmtId="49" fontId="3" fillId="0" borderId="15" xfId="0" applyNumberFormat="1" applyFont="1" applyBorder="1" applyAlignment="1" applyProtection="1">
      <alignment horizontal="left" vertical="center" wrapText="1" indent="1"/>
      <protection locked="0" hidden="1"/>
    </xf>
    <xf numFmtId="0" fontId="2" fillId="3" borderId="3" xfId="0" applyFont="1" applyFill="1" applyBorder="1" applyAlignment="1" applyProtection="1">
      <alignment horizontal="left" wrapText="1" indent="1"/>
      <protection hidden="1"/>
    </xf>
    <xf numFmtId="0" fontId="2" fillId="3" borderId="4" xfId="0" applyFont="1" applyFill="1" applyBorder="1" applyAlignment="1" applyProtection="1">
      <alignment horizontal="left" wrapText="1" indent="1"/>
      <protection hidden="1"/>
    </xf>
    <xf numFmtId="40" fontId="2" fillId="0" borderId="0" xfId="0" applyNumberFormat="1" applyFont="1" applyBorder="1" applyAlignment="1" applyProtection="1">
      <alignment horizontal="right" vertical="center" wrapText="1"/>
      <protection hidden="1"/>
    </xf>
    <xf numFmtId="0" fontId="21" fillId="0" borderId="0" xfId="0" applyFont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40" fontId="20" fillId="0" borderId="1" xfId="0" applyNumberFormat="1" applyFont="1" applyBorder="1" applyAlignment="1" applyProtection="1">
      <alignment horizontal="right"/>
      <protection hidden="1"/>
    </xf>
    <xf numFmtId="14" fontId="2" fillId="0" borderId="15" xfId="0" applyNumberFormat="1" applyFont="1" applyBorder="1" applyAlignment="1" applyProtection="1">
      <alignment horizontal="left" vertical="center" wrapText="1"/>
      <protection hidden="1"/>
    </xf>
    <xf numFmtId="0" fontId="17" fillId="0" borderId="15" xfId="0" applyNumberFormat="1" applyFont="1" applyBorder="1" applyAlignment="1" applyProtection="1">
      <alignment horizontal="left" wrapText="1"/>
      <protection hidden="1"/>
    </xf>
    <xf numFmtId="0" fontId="30" fillId="2" borderId="1" xfId="0" applyFont="1" applyFill="1" applyBorder="1" applyAlignment="1" applyProtection="1">
      <alignment horizontal="left" wrapText="1"/>
      <protection hidden="1"/>
    </xf>
    <xf numFmtId="164" fontId="30" fillId="2" borderId="1" xfId="0" applyNumberFormat="1" applyFont="1" applyFill="1" applyBorder="1" applyAlignment="1" applyProtection="1">
      <alignment horizontal="left" wrapText="1" indent="1"/>
      <protection hidden="1"/>
    </xf>
    <xf numFmtId="0" fontId="30" fillId="0" borderId="16" xfId="0" applyFont="1" applyBorder="1" applyAlignment="1" applyProtection="1">
      <alignment horizontal="left"/>
      <protection hidden="1"/>
    </xf>
    <xf numFmtId="0" fontId="30" fillId="0" borderId="15" xfId="0" applyFont="1" applyBorder="1" applyAlignment="1" applyProtection="1">
      <alignment horizontal="left"/>
      <protection hidden="1"/>
    </xf>
    <xf numFmtId="9" fontId="30" fillId="0" borderId="16" xfId="0" applyNumberFormat="1" applyFont="1" applyFill="1" applyBorder="1" applyAlignment="1" applyProtection="1">
      <alignment horizontal="left"/>
      <protection hidden="1"/>
    </xf>
    <xf numFmtId="0" fontId="29" fillId="0" borderId="15" xfId="0" applyFont="1" applyFill="1" applyBorder="1" applyAlignment="1" applyProtection="1">
      <alignment horizontal="left" wrapText="1"/>
      <protection hidden="1"/>
    </xf>
    <xf numFmtId="167" fontId="29" fillId="0" borderId="15" xfId="0" applyNumberFormat="1" applyFont="1" applyFill="1" applyBorder="1" applyAlignment="1" applyProtection="1">
      <alignment horizontal="left" wrapText="1"/>
      <protection hidden="1"/>
    </xf>
    <xf numFmtId="14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51" fillId="22" borderId="0" xfId="0" applyFont="1" applyFill="1" applyAlignment="1">
      <alignment horizontal="center" vertical="center"/>
    </xf>
    <xf numFmtId="0" fontId="51" fillId="23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51" fillId="24" borderId="0" xfId="0" applyFont="1" applyFill="1" applyAlignment="1">
      <alignment horizontal="center" vertical="center"/>
    </xf>
    <xf numFmtId="0" fontId="51" fillId="19" borderId="0" xfId="0" applyFont="1" applyFill="1" applyAlignment="1">
      <alignment horizontal="center" vertical="center"/>
    </xf>
    <xf numFmtId="22" fontId="6" fillId="0" borderId="25" xfId="0" applyNumberFormat="1" applyFont="1" applyFill="1" applyBorder="1" applyAlignment="1" applyProtection="1">
      <alignment horizontal="center"/>
      <protection hidden="1"/>
    </xf>
    <xf numFmtId="0" fontId="6" fillId="0" borderId="25" xfId="0" applyFont="1" applyFill="1" applyBorder="1" applyAlignment="1" applyProtection="1">
      <alignment horizontal="center"/>
      <protection hidden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Процентный" xfId="4" builtinId="5"/>
    <cellStyle name="Процентный 2" xfId="5"/>
  </cellStyles>
  <dxfs count="4329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</xdr:row>
      <xdr:rowOff>7620</xdr:rowOff>
    </xdr:from>
    <xdr:to>
      <xdr:col>4</xdr:col>
      <xdr:colOff>525780</xdr:colOff>
      <xdr:row>5</xdr:row>
      <xdr:rowOff>144780</xdr:rowOff>
    </xdr:to>
    <xdr:pic>
      <xdr:nvPicPr>
        <xdr:cNvPr id="1025" name="Picture 383" descr="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827"/>
        <a:stretch>
          <a:fillRect/>
        </a:stretch>
      </xdr:blipFill>
      <xdr:spPr bwMode="auto">
        <a:xfrm>
          <a:off x="91440" y="228600"/>
          <a:ext cx="19659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38100</xdr:rowOff>
    </xdr:from>
    <xdr:to>
      <xdr:col>2</xdr:col>
      <xdr:colOff>1684020</xdr:colOff>
      <xdr:row>3</xdr:row>
      <xdr:rowOff>99060</xdr:rowOff>
    </xdr:to>
    <xdr:pic>
      <xdr:nvPicPr>
        <xdr:cNvPr id="2049" name="Picture 12" descr="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827"/>
        <a:stretch>
          <a:fillRect/>
        </a:stretch>
      </xdr:blipFill>
      <xdr:spPr bwMode="auto">
        <a:xfrm>
          <a:off x="68580" y="38100"/>
          <a:ext cx="18135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560987</xdr:colOff>
      <xdr:row>6</xdr:row>
      <xdr:rowOff>32529</xdr:rowOff>
    </xdr:from>
    <xdr:to>
      <xdr:col>6</xdr:col>
      <xdr:colOff>162229</xdr:colOff>
      <xdr:row>8</xdr:row>
      <xdr:rowOff>78182</xdr:rowOff>
    </xdr:to>
    <xdr:cxnSp macro="">
      <xdr:nvCxnSpPr>
        <xdr:cNvPr id="22" name="Соединительная линия уступом 21"/>
        <xdr:cNvCxnSpPr/>
      </xdr:nvCxnSpPr>
      <xdr:spPr>
        <a:xfrm rot="16200000" flipH="1">
          <a:off x="2696305" y="844246"/>
          <a:ext cx="336862" cy="218378"/>
        </a:xfrm>
        <a:prstGeom prst="bentConnector3">
          <a:avLst>
            <a:gd name="adj1" fmla="val 100167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382517</xdr:colOff>
      <xdr:row>6</xdr:row>
      <xdr:rowOff>33319</xdr:rowOff>
    </xdr:from>
    <xdr:to>
      <xdr:col>6</xdr:col>
      <xdr:colOff>153200</xdr:colOff>
      <xdr:row>13</xdr:row>
      <xdr:rowOff>76022</xdr:rowOff>
    </xdr:to>
    <xdr:cxnSp macro="">
      <xdr:nvCxnSpPr>
        <xdr:cNvPr id="33" name="Соединительная линия уступом 32"/>
        <xdr:cNvCxnSpPr/>
      </xdr:nvCxnSpPr>
      <xdr:spPr>
        <a:xfrm rot="16200000" flipH="1">
          <a:off x="2245861" y="1124630"/>
          <a:ext cx="1048448" cy="370776"/>
        </a:xfrm>
        <a:prstGeom prst="bentConnector3">
          <a:avLst>
            <a:gd name="adj1" fmla="val 100294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277143</xdr:colOff>
      <xdr:row>6</xdr:row>
      <xdr:rowOff>32531</xdr:rowOff>
    </xdr:from>
    <xdr:to>
      <xdr:col>6</xdr:col>
      <xdr:colOff>174406</xdr:colOff>
      <xdr:row>18</xdr:row>
      <xdr:rowOff>81399</xdr:rowOff>
    </xdr:to>
    <xdr:cxnSp macro="">
      <xdr:nvCxnSpPr>
        <xdr:cNvPr id="39" name="Соединительная линия уступом 38"/>
        <xdr:cNvCxnSpPr/>
      </xdr:nvCxnSpPr>
      <xdr:spPr>
        <a:xfrm rot="16200000" flipH="1">
          <a:off x="1847158" y="1417171"/>
          <a:ext cx="1769054" cy="504724"/>
        </a:xfrm>
        <a:prstGeom prst="bentConnector3">
          <a:avLst>
            <a:gd name="adj1" fmla="val 99996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104879</xdr:colOff>
      <xdr:row>6</xdr:row>
      <xdr:rowOff>32530</xdr:rowOff>
    </xdr:from>
    <xdr:to>
      <xdr:col>6</xdr:col>
      <xdr:colOff>71718</xdr:colOff>
      <xdr:row>48</xdr:row>
      <xdr:rowOff>0</xdr:rowOff>
    </xdr:to>
    <xdr:cxnSp macro="">
      <xdr:nvCxnSpPr>
        <xdr:cNvPr id="40" name="Соединительная линия уступом 39"/>
        <xdr:cNvCxnSpPr/>
      </xdr:nvCxnSpPr>
      <xdr:spPr>
        <a:xfrm rot="16200000" flipH="1">
          <a:off x="73187" y="3210834"/>
          <a:ext cx="5175964" cy="594368"/>
        </a:xfrm>
        <a:prstGeom prst="bentConnector3">
          <a:avLst>
            <a:gd name="adj1" fmla="val 100054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564256</xdr:colOff>
      <xdr:row>6</xdr:row>
      <xdr:rowOff>32531</xdr:rowOff>
    </xdr:from>
    <xdr:to>
      <xdr:col>6</xdr:col>
      <xdr:colOff>161364</xdr:colOff>
      <xdr:row>56</xdr:row>
      <xdr:rowOff>116544</xdr:rowOff>
    </xdr:to>
    <xdr:cxnSp macro="">
      <xdr:nvCxnSpPr>
        <xdr:cNvPr id="41" name="Соединительная линия уступом 40"/>
        <xdr:cNvCxnSpPr/>
      </xdr:nvCxnSpPr>
      <xdr:spPr>
        <a:xfrm rot="16200000" flipH="1">
          <a:off x="-526361" y="3642230"/>
          <a:ext cx="6296554" cy="852167"/>
        </a:xfrm>
        <a:prstGeom prst="bentConnector3">
          <a:avLst>
            <a:gd name="adj1" fmla="val 99974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403149</xdr:colOff>
      <xdr:row>6</xdr:row>
      <xdr:rowOff>32532</xdr:rowOff>
    </xdr:from>
    <xdr:to>
      <xdr:col>6</xdr:col>
      <xdr:colOff>170329</xdr:colOff>
      <xdr:row>61</xdr:row>
      <xdr:rowOff>98612</xdr:rowOff>
    </xdr:to>
    <xdr:cxnSp macro="">
      <xdr:nvCxnSpPr>
        <xdr:cNvPr id="42" name="Соединительная линия уступом 41"/>
        <xdr:cNvCxnSpPr/>
      </xdr:nvCxnSpPr>
      <xdr:spPr>
        <a:xfrm rot="16200000" flipH="1">
          <a:off x="-907230" y="3861993"/>
          <a:ext cx="6906150" cy="1022239"/>
        </a:xfrm>
        <a:prstGeom prst="bentConnector3">
          <a:avLst>
            <a:gd name="adj1" fmla="val 99846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562348</xdr:colOff>
      <xdr:row>6</xdr:row>
      <xdr:rowOff>32534</xdr:rowOff>
    </xdr:from>
    <xdr:to>
      <xdr:col>6</xdr:col>
      <xdr:colOff>161365</xdr:colOff>
      <xdr:row>80</xdr:row>
      <xdr:rowOff>89650</xdr:rowOff>
    </xdr:to>
    <xdr:cxnSp macro="">
      <xdr:nvCxnSpPr>
        <xdr:cNvPr id="43" name="Соединительная линия уступом 42"/>
        <xdr:cNvCxnSpPr/>
      </xdr:nvCxnSpPr>
      <xdr:spPr>
        <a:xfrm rot="16200000" flipH="1">
          <a:off x="-2647466" y="4506372"/>
          <a:ext cx="9281798" cy="2109134"/>
        </a:xfrm>
        <a:prstGeom prst="bentConnector3">
          <a:avLst>
            <a:gd name="adj1" fmla="val 99934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104881</xdr:colOff>
      <xdr:row>6</xdr:row>
      <xdr:rowOff>32532</xdr:rowOff>
    </xdr:from>
    <xdr:to>
      <xdr:col>6</xdr:col>
      <xdr:colOff>161365</xdr:colOff>
      <xdr:row>83</xdr:row>
      <xdr:rowOff>125505</xdr:rowOff>
    </xdr:to>
    <xdr:cxnSp macro="">
      <xdr:nvCxnSpPr>
        <xdr:cNvPr id="44" name="Соединительная линия уступом 43"/>
        <xdr:cNvCxnSpPr/>
      </xdr:nvCxnSpPr>
      <xdr:spPr>
        <a:xfrm rot="16200000" flipH="1">
          <a:off x="-3082387" y="4483824"/>
          <a:ext cx="9694173" cy="2566601"/>
        </a:xfrm>
        <a:prstGeom prst="bentConnector3">
          <a:avLst>
            <a:gd name="adj1" fmla="val 99937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223264</xdr:colOff>
      <xdr:row>6</xdr:row>
      <xdr:rowOff>32535</xdr:rowOff>
    </xdr:from>
    <xdr:to>
      <xdr:col>6</xdr:col>
      <xdr:colOff>143438</xdr:colOff>
      <xdr:row>64</xdr:row>
      <xdr:rowOff>98615</xdr:rowOff>
    </xdr:to>
    <xdr:cxnSp macro="">
      <xdr:nvCxnSpPr>
        <xdr:cNvPr id="67" name="Соединительная линия уступом 66"/>
        <xdr:cNvCxnSpPr/>
      </xdr:nvCxnSpPr>
      <xdr:spPr>
        <a:xfrm rot="16200000" flipH="1">
          <a:off x="-1198877" y="3973758"/>
          <a:ext cx="7282668" cy="1175233"/>
        </a:xfrm>
        <a:prstGeom prst="bentConnector3">
          <a:avLst>
            <a:gd name="adj1" fmla="val 99977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10991</xdr:colOff>
      <xdr:row>6</xdr:row>
      <xdr:rowOff>32535</xdr:rowOff>
    </xdr:from>
    <xdr:to>
      <xdr:col>6</xdr:col>
      <xdr:colOff>98612</xdr:colOff>
      <xdr:row>69</xdr:row>
      <xdr:rowOff>116541</xdr:rowOff>
    </xdr:to>
    <xdr:cxnSp macro="">
      <xdr:nvCxnSpPr>
        <xdr:cNvPr id="69" name="Соединительная линия уступом 68"/>
        <xdr:cNvCxnSpPr/>
      </xdr:nvCxnSpPr>
      <xdr:spPr>
        <a:xfrm rot="16200000" flipH="1">
          <a:off x="-1650155" y="4212763"/>
          <a:ext cx="7928124" cy="1342680"/>
        </a:xfrm>
        <a:prstGeom prst="bentConnector3">
          <a:avLst>
            <a:gd name="adj1" fmla="val 100092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353349</xdr:colOff>
      <xdr:row>6</xdr:row>
      <xdr:rowOff>32534</xdr:rowOff>
    </xdr:from>
    <xdr:to>
      <xdr:col>6</xdr:col>
      <xdr:colOff>143437</xdr:colOff>
      <xdr:row>77</xdr:row>
      <xdr:rowOff>89646</xdr:rowOff>
    </xdr:to>
    <xdr:cxnSp macro="">
      <xdr:nvCxnSpPr>
        <xdr:cNvPr id="70" name="Соединительная линия уступом 69"/>
        <xdr:cNvCxnSpPr/>
      </xdr:nvCxnSpPr>
      <xdr:spPr>
        <a:xfrm rot="16200000" flipH="1">
          <a:off x="-2258905" y="4536341"/>
          <a:ext cx="8905277" cy="1672676"/>
        </a:xfrm>
        <a:prstGeom prst="bentConnector3">
          <a:avLst>
            <a:gd name="adj1" fmla="val 99931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251460</xdr:colOff>
      <xdr:row>0</xdr:row>
      <xdr:rowOff>83820</xdr:rowOff>
    </xdr:from>
    <xdr:to>
      <xdr:col>23</xdr:col>
      <xdr:colOff>556260</xdr:colOff>
      <xdr:row>5</xdr:row>
      <xdr:rowOff>121920</xdr:rowOff>
    </xdr:to>
    <xdr:pic>
      <xdr:nvPicPr>
        <xdr:cNvPr id="3084" name="Picture 12" descr="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827"/>
        <a:stretch>
          <a:fillRect/>
        </a:stretch>
      </xdr:blipFill>
      <xdr:spPr bwMode="auto">
        <a:xfrm>
          <a:off x="10675620" y="83820"/>
          <a:ext cx="27203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200942</xdr:colOff>
      <xdr:row>6</xdr:row>
      <xdr:rowOff>32530</xdr:rowOff>
    </xdr:from>
    <xdr:to>
      <xdr:col>6</xdr:col>
      <xdr:colOff>150542</xdr:colOff>
      <xdr:row>8</xdr:row>
      <xdr:rowOff>77962</xdr:rowOff>
    </xdr:to>
    <xdr:cxnSp macro="">
      <xdr:nvCxnSpPr>
        <xdr:cNvPr id="2" name="Соединительная линия уступом 1"/>
        <xdr:cNvCxnSpPr/>
      </xdr:nvCxnSpPr>
      <xdr:spPr>
        <a:xfrm>
          <a:off x="2393597" y="937405"/>
          <a:ext cx="568678" cy="243695"/>
        </a:xfrm>
        <a:prstGeom prst="bentConnector3">
          <a:avLst>
            <a:gd name="adj1" fmla="val -248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41523</xdr:colOff>
      <xdr:row>6</xdr:row>
      <xdr:rowOff>33319</xdr:rowOff>
    </xdr:from>
    <xdr:to>
      <xdr:col>6</xdr:col>
      <xdr:colOff>133351</xdr:colOff>
      <xdr:row>13</xdr:row>
      <xdr:rowOff>80075</xdr:rowOff>
    </xdr:to>
    <xdr:cxnSp macro="">
      <xdr:nvCxnSpPr>
        <xdr:cNvPr id="3" name="Соединительная линия уступом 2"/>
        <xdr:cNvCxnSpPr/>
      </xdr:nvCxnSpPr>
      <xdr:spPr>
        <a:xfrm rot="16200000" flipH="1">
          <a:off x="2109109" y="1070883"/>
          <a:ext cx="966805" cy="701428"/>
        </a:xfrm>
        <a:prstGeom prst="bentConnector3">
          <a:avLst>
            <a:gd name="adj1" fmla="val 100245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458116</xdr:colOff>
      <xdr:row>6</xdr:row>
      <xdr:rowOff>32532</xdr:rowOff>
    </xdr:from>
    <xdr:to>
      <xdr:col>6</xdr:col>
      <xdr:colOff>182879</xdr:colOff>
      <xdr:row>29</xdr:row>
      <xdr:rowOff>121920</xdr:rowOff>
    </xdr:to>
    <xdr:cxnSp macro="">
      <xdr:nvCxnSpPr>
        <xdr:cNvPr id="4" name="Соединительная линия уступом 3"/>
        <xdr:cNvCxnSpPr/>
      </xdr:nvCxnSpPr>
      <xdr:spPr>
        <a:xfrm rot="16200000" flipH="1">
          <a:off x="1075904" y="1929344"/>
          <a:ext cx="3000228" cy="974443"/>
        </a:xfrm>
        <a:prstGeom prst="bentConnector3">
          <a:avLst>
            <a:gd name="adj1" fmla="val 100034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160126</xdr:colOff>
      <xdr:row>6</xdr:row>
      <xdr:rowOff>32529</xdr:rowOff>
    </xdr:from>
    <xdr:to>
      <xdr:col>6</xdr:col>
      <xdr:colOff>144784</xdr:colOff>
      <xdr:row>36</xdr:row>
      <xdr:rowOff>7622</xdr:rowOff>
    </xdr:to>
    <xdr:cxnSp macro="">
      <xdr:nvCxnSpPr>
        <xdr:cNvPr id="5" name="Соединительная линия уступом 4"/>
        <xdr:cNvCxnSpPr/>
      </xdr:nvCxnSpPr>
      <xdr:spPr>
        <a:xfrm rot="16200000" flipH="1">
          <a:off x="511618" y="2195637"/>
          <a:ext cx="3792713" cy="1234338"/>
        </a:xfrm>
        <a:prstGeom prst="bentConnector3">
          <a:avLst>
            <a:gd name="adj1" fmla="val 100228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600452</xdr:colOff>
      <xdr:row>6</xdr:row>
      <xdr:rowOff>32531</xdr:rowOff>
    </xdr:from>
    <xdr:to>
      <xdr:col>6</xdr:col>
      <xdr:colOff>167644</xdr:colOff>
      <xdr:row>39</xdr:row>
      <xdr:rowOff>114302</xdr:rowOff>
    </xdr:to>
    <xdr:cxnSp macro="">
      <xdr:nvCxnSpPr>
        <xdr:cNvPr id="6" name="Соединительная линия уступом 5"/>
        <xdr:cNvCxnSpPr/>
      </xdr:nvCxnSpPr>
      <xdr:spPr>
        <a:xfrm rot="16200000" flipH="1">
          <a:off x="183142" y="2339601"/>
          <a:ext cx="4288011" cy="1441712"/>
        </a:xfrm>
        <a:prstGeom prst="bentConnector3">
          <a:avLst>
            <a:gd name="adj1" fmla="val 99935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90728</xdr:colOff>
      <xdr:row>6</xdr:row>
      <xdr:rowOff>32532</xdr:rowOff>
    </xdr:from>
    <xdr:to>
      <xdr:col>6</xdr:col>
      <xdr:colOff>144779</xdr:colOff>
      <xdr:row>51</xdr:row>
      <xdr:rowOff>106680</xdr:rowOff>
    </xdr:to>
    <xdr:cxnSp macro="">
      <xdr:nvCxnSpPr>
        <xdr:cNvPr id="7" name="Соединительная линия уступом 6"/>
        <xdr:cNvCxnSpPr/>
      </xdr:nvCxnSpPr>
      <xdr:spPr>
        <a:xfrm rot="16200000" flipH="1">
          <a:off x="-856580" y="2869600"/>
          <a:ext cx="5834868" cy="1928571"/>
        </a:xfrm>
        <a:prstGeom prst="bentConnector3">
          <a:avLst>
            <a:gd name="adj1" fmla="val 100018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251460</xdr:colOff>
      <xdr:row>0</xdr:row>
      <xdr:rowOff>83820</xdr:rowOff>
    </xdr:from>
    <xdr:to>
      <xdr:col>23</xdr:col>
      <xdr:colOff>556260</xdr:colOff>
      <xdr:row>5</xdr:row>
      <xdr:rowOff>121920</xdr:rowOff>
    </xdr:to>
    <xdr:pic>
      <xdr:nvPicPr>
        <xdr:cNvPr id="4103" name="Picture 12" descr="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827"/>
        <a:stretch>
          <a:fillRect/>
        </a:stretch>
      </xdr:blipFill>
      <xdr:spPr bwMode="auto">
        <a:xfrm>
          <a:off x="10675620" y="83820"/>
          <a:ext cx="27203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288571</xdr:colOff>
      <xdr:row>6</xdr:row>
      <xdr:rowOff>32533</xdr:rowOff>
    </xdr:from>
    <xdr:to>
      <xdr:col>6</xdr:col>
      <xdr:colOff>121922</xdr:colOff>
      <xdr:row>33</xdr:row>
      <xdr:rowOff>7623</xdr:rowOff>
    </xdr:to>
    <xdr:cxnSp macro="">
      <xdr:nvCxnSpPr>
        <xdr:cNvPr id="20" name="Соединительная линия уступом 19"/>
        <xdr:cNvCxnSpPr/>
      </xdr:nvCxnSpPr>
      <xdr:spPr>
        <a:xfrm rot="16200000" flipH="1">
          <a:off x="758722" y="2076982"/>
          <a:ext cx="3404090" cy="1083031"/>
        </a:xfrm>
        <a:prstGeom prst="bentConnector3">
          <a:avLst>
            <a:gd name="adj1" fmla="val 100142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200942</xdr:colOff>
      <xdr:row>6</xdr:row>
      <xdr:rowOff>32530</xdr:rowOff>
    </xdr:from>
    <xdr:to>
      <xdr:col>6</xdr:col>
      <xdr:colOff>150542</xdr:colOff>
      <xdr:row>8</xdr:row>
      <xdr:rowOff>77962</xdr:rowOff>
    </xdr:to>
    <xdr:cxnSp macro="">
      <xdr:nvCxnSpPr>
        <xdr:cNvPr id="2" name="Соединительная линия уступом 1"/>
        <xdr:cNvCxnSpPr/>
      </xdr:nvCxnSpPr>
      <xdr:spPr>
        <a:xfrm>
          <a:off x="2393597" y="937405"/>
          <a:ext cx="568678" cy="243695"/>
        </a:xfrm>
        <a:prstGeom prst="bentConnector3">
          <a:avLst>
            <a:gd name="adj1" fmla="val -248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41524</xdr:colOff>
      <xdr:row>6</xdr:row>
      <xdr:rowOff>33318</xdr:rowOff>
    </xdr:from>
    <xdr:to>
      <xdr:col>6</xdr:col>
      <xdr:colOff>104776</xdr:colOff>
      <xdr:row>17</xdr:row>
      <xdr:rowOff>80054</xdr:rowOff>
    </xdr:to>
    <xdr:cxnSp macro="">
      <xdr:nvCxnSpPr>
        <xdr:cNvPr id="3" name="Соединительная линия уступом 2"/>
        <xdr:cNvCxnSpPr/>
      </xdr:nvCxnSpPr>
      <xdr:spPr>
        <a:xfrm rot="16200000" flipH="1">
          <a:off x="1809070" y="1370922"/>
          <a:ext cx="1538309" cy="672852"/>
        </a:xfrm>
        <a:prstGeom prst="bentConnector3">
          <a:avLst>
            <a:gd name="adj1" fmla="val 100154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410493</xdr:colOff>
      <xdr:row>6</xdr:row>
      <xdr:rowOff>32531</xdr:rowOff>
    </xdr:from>
    <xdr:to>
      <xdr:col>6</xdr:col>
      <xdr:colOff>104755</xdr:colOff>
      <xdr:row>20</xdr:row>
      <xdr:rowOff>89548</xdr:rowOff>
    </xdr:to>
    <xdr:cxnSp macro="">
      <xdr:nvCxnSpPr>
        <xdr:cNvPr id="4" name="Соединительная линия уступом 3"/>
        <xdr:cNvCxnSpPr/>
      </xdr:nvCxnSpPr>
      <xdr:spPr>
        <a:xfrm rot="16200000" flipH="1">
          <a:off x="1470240" y="1470239"/>
          <a:ext cx="1977243" cy="911578"/>
        </a:xfrm>
        <a:prstGeom prst="bentConnector3">
          <a:avLst>
            <a:gd name="adj1" fmla="val 100100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147062</xdr:colOff>
      <xdr:row>6</xdr:row>
      <xdr:rowOff>32531</xdr:rowOff>
    </xdr:from>
    <xdr:to>
      <xdr:col>6</xdr:col>
      <xdr:colOff>76204</xdr:colOff>
      <xdr:row>26</xdr:row>
      <xdr:rowOff>89544</xdr:rowOff>
    </xdr:to>
    <xdr:cxnSp macro="">
      <xdr:nvCxnSpPr>
        <xdr:cNvPr id="6" name="Соединительная линия уступом 5"/>
        <xdr:cNvCxnSpPr/>
      </xdr:nvCxnSpPr>
      <xdr:spPr>
        <a:xfrm rot="16200000" flipH="1">
          <a:off x="589861" y="1475682"/>
          <a:ext cx="2834493" cy="1757942"/>
        </a:xfrm>
        <a:prstGeom prst="bentConnector3">
          <a:avLst>
            <a:gd name="adj1" fmla="val 100070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251460</xdr:colOff>
      <xdr:row>0</xdr:row>
      <xdr:rowOff>83820</xdr:rowOff>
    </xdr:from>
    <xdr:to>
      <xdr:col>23</xdr:col>
      <xdr:colOff>556260</xdr:colOff>
      <xdr:row>5</xdr:row>
      <xdr:rowOff>121920</xdr:rowOff>
    </xdr:to>
    <xdr:pic>
      <xdr:nvPicPr>
        <xdr:cNvPr id="6149" name="Picture 12" descr="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827"/>
        <a:stretch>
          <a:fillRect/>
        </a:stretch>
      </xdr:blipFill>
      <xdr:spPr bwMode="auto">
        <a:xfrm>
          <a:off x="10675620" y="83820"/>
          <a:ext cx="27203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98073</xdr:colOff>
      <xdr:row>6</xdr:row>
      <xdr:rowOff>32532</xdr:rowOff>
    </xdr:from>
    <xdr:to>
      <xdr:col>6</xdr:col>
      <xdr:colOff>95251</xdr:colOff>
      <xdr:row>23</xdr:row>
      <xdr:rowOff>89545</xdr:rowOff>
    </xdr:to>
    <xdr:cxnSp macro="">
      <xdr:nvCxnSpPr>
        <xdr:cNvPr id="9" name="Соединительная линия уступом 8"/>
        <xdr:cNvCxnSpPr/>
      </xdr:nvCxnSpPr>
      <xdr:spPr>
        <a:xfrm rot="16200000" flipH="1">
          <a:off x="1094003" y="1532152"/>
          <a:ext cx="2405867" cy="1216378"/>
        </a:xfrm>
        <a:prstGeom prst="bentConnector3">
          <a:avLst>
            <a:gd name="adj1" fmla="val 99884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79022</xdr:colOff>
      <xdr:row>6</xdr:row>
      <xdr:rowOff>32530</xdr:rowOff>
    </xdr:from>
    <xdr:to>
      <xdr:col>6</xdr:col>
      <xdr:colOff>171543</xdr:colOff>
      <xdr:row>8</xdr:row>
      <xdr:rowOff>80217</xdr:rowOff>
    </xdr:to>
    <xdr:cxnSp macro="">
      <xdr:nvCxnSpPr>
        <xdr:cNvPr id="2" name="Соединительная линия уступом 1"/>
        <xdr:cNvCxnSpPr/>
      </xdr:nvCxnSpPr>
      <xdr:spPr>
        <a:xfrm>
          <a:off x="2288822" y="937405"/>
          <a:ext cx="692503" cy="253220"/>
        </a:xfrm>
        <a:prstGeom prst="bentConnector3">
          <a:avLst>
            <a:gd name="adj1" fmla="val -892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496819</xdr:colOff>
      <xdr:row>6</xdr:row>
      <xdr:rowOff>33318</xdr:rowOff>
    </xdr:from>
    <xdr:to>
      <xdr:col>6</xdr:col>
      <xdr:colOff>171496</xdr:colOff>
      <xdr:row>11</xdr:row>
      <xdr:rowOff>59048</xdr:rowOff>
    </xdr:to>
    <xdr:cxnSp macro="">
      <xdr:nvCxnSpPr>
        <xdr:cNvPr id="3" name="Соединительная линия уступом 2"/>
        <xdr:cNvCxnSpPr/>
      </xdr:nvCxnSpPr>
      <xdr:spPr>
        <a:xfrm>
          <a:off x="2089399" y="938193"/>
          <a:ext cx="901454" cy="652485"/>
        </a:xfrm>
        <a:prstGeom prst="bentConnector3">
          <a:avLst>
            <a:gd name="adj1" fmla="val -718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221898</xdr:colOff>
      <xdr:row>6</xdr:row>
      <xdr:rowOff>32531</xdr:rowOff>
    </xdr:from>
    <xdr:to>
      <xdr:col>6</xdr:col>
      <xdr:colOff>188603</xdr:colOff>
      <xdr:row>14</xdr:row>
      <xdr:rowOff>78075</xdr:rowOff>
    </xdr:to>
    <xdr:cxnSp macro="">
      <xdr:nvCxnSpPr>
        <xdr:cNvPr id="4" name="Соединительная линия уступом 3"/>
        <xdr:cNvCxnSpPr/>
      </xdr:nvCxnSpPr>
      <xdr:spPr>
        <a:xfrm>
          <a:off x="1812573" y="937406"/>
          <a:ext cx="1187805" cy="1100947"/>
        </a:xfrm>
        <a:prstGeom prst="bentConnector3">
          <a:avLst>
            <a:gd name="adj1" fmla="val -1322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289936</xdr:colOff>
      <xdr:row>6</xdr:row>
      <xdr:rowOff>32531</xdr:rowOff>
    </xdr:from>
    <xdr:to>
      <xdr:col>6</xdr:col>
      <xdr:colOff>104750</xdr:colOff>
      <xdr:row>31</xdr:row>
      <xdr:rowOff>89546</xdr:rowOff>
    </xdr:to>
    <xdr:cxnSp macro="">
      <xdr:nvCxnSpPr>
        <xdr:cNvPr id="5" name="Соединительная линия уступом 4"/>
        <xdr:cNvCxnSpPr/>
      </xdr:nvCxnSpPr>
      <xdr:spPr>
        <a:xfrm rot="16200000" flipH="1">
          <a:off x="323157" y="1894785"/>
          <a:ext cx="3548872" cy="1634113"/>
        </a:xfrm>
        <a:prstGeom prst="bentConnector3">
          <a:avLst>
            <a:gd name="adj1" fmla="val 99922"/>
          </a:avLst>
        </a:prstGeom>
        <a:ln w="12700">
          <a:solidFill>
            <a:sysClr val="windowText" lastClr="000000"/>
          </a:solidFill>
          <a:headEnd type="oval" w="sm" len="sm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251460</xdr:colOff>
      <xdr:row>0</xdr:row>
      <xdr:rowOff>83820</xdr:rowOff>
    </xdr:from>
    <xdr:to>
      <xdr:col>23</xdr:col>
      <xdr:colOff>556260</xdr:colOff>
      <xdr:row>5</xdr:row>
      <xdr:rowOff>121920</xdr:rowOff>
    </xdr:to>
    <xdr:pic>
      <xdr:nvPicPr>
        <xdr:cNvPr id="5125" name="Picture 12" descr="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827"/>
        <a:stretch>
          <a:fillRect/>
        </a:stretch>
      </xdr:blipFill>
      <xdr:spPr bwMode="auto">
        <a:xfrm>
          <a:off x="10675620" y="83820"/>
          <a:ext cx="27203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1"/>
    <pageSetUpPr fitToPage="1"/>
  </sheetPr>
  <dimension ref="A1:DM99"/>
  <sheetViews>
    <sheetView showGridLines="0" tabSelected="1" zoomScale="85" zoomScaleNormal="85" zoomScaleSheetLayoutView="8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S23" sqref="S23"/>
    </sheetView>
  </sheetViews>
  <sheetFormatPr defaultColWidth="9.109375" defaultRowHeight="13.2"/>
  <cols>
    <col min="1" max="1" width="0.88671875" style="1" customWidth="1"/>
    <col min="2" max="2" width="3.109375" style="1" customWidth="1"/>
    <col min="3" max="3" width="13.6640625" style="1" customWidth="1"/>
    <col min="4" max="4" width="4.6640625" style="1" customWidth="1"/>
    <col min="5" max="6" width="8.6640625" style="1" customWidth="1"/>
    <col min="7" max="7" width="6.6640625" style="1" customWidth="1"/>
    <col min="8" max="8" width="7.44140625" style="1" customWidth="1"/>
    <col min="9" max="9" width="11.6640625" style="1" customWidth="1"/>
    <col min="10" max="10" width="7.109375" style="1" customWidth="1"/>
    <col min="11" max="11" width="9.109375" style="1"/>
    <col min="12" max="12" width="15.77734375" style="1" customWidth="1"/>
    <col min="13" max="13" width="7.33203125" style="1" customWidth="1"/>
    <col min="14" max="14" width="6.6640625" style="1" customWidth="1"/>
    <col min="15" max="15" width="8.6640625" style="1" customWidth="1"/>
    <col min="16" max="16" width="4.6640625" style="1" customWidth="1"/>
    <col min="17" max="17" width="6.6640625" style="1" customWidth="1"/>
    <col min="18" max="18" width="4.6640625" style="1" customWidth="1"/>
    <col min="19" max="19" width="12.6640625" style="1" customWidth="1"/>
    <col min="20" max="20" width="9.6640625" style="1" customWidth="1"/>
    <col min="21" max="21" width="12.6640625" style="1" customWidth="1"/>
    <col min="22" max="22" width="9.109375" style="1" hidden="1" customWidth="1"/>
    <col min="23" max="24" width="7" style="1" hidden="1" customWidth="1"/>
    <col min="25" max="25" width="8.88671875" style="1" hidden="1" customWidth="1"/>
    <col min="26" max="27" width="9.109375" style="1" hidden="1" customWidth="1"/>
    <col min="28" max="28" width="4.109375" style="1" hidden="1" customWidth="1"/>
    <col min="29" max="29" width="9.109375" style="1" hidden="1" customWidth="1"/>
    <col min="30" max="33" width="3.6640625" style="1" hidden="1" customWidth="1"/>
    <col min="34" max="34" width="1.6640625" style="1" hidden="1" customWidth="1"/>
    <col min="35" max="38" width="3.6640625" style="1" hidden="1" customWidth="1"/>
    <col min="39" max="39" width="1.6640625" style="1" hidden="1" customWidth="1"/>
    <col min="40" max="43" width="3.6640625" style="1" hidden="1" customWidth="1"/>
    <col min="44" max="44" width="1.6640625" style="1" hidden="1" customWidth="1"/>
    <col min="45" max="48" width="3.6640625" style="1" hidden="1" customWidth="1"/>
    <col min="49" max="49" width="1.6640625" style="1" hidden="1" customWidth="1"/>
    <col min="50" max="53" width="3.6640625" style="1" hidden="1" customWidth="1"/>
    <col min="54" max="54" width="1.6640625" style="1" hidden="1" customWidth="1"/>
    <col min="55" max="58" width="3.6640625" style="1" hidden="1" customWidth="1"/>
    <col min="59" max="59" width="1.6640625" style="1" hidden="1" customWidth="1"/>
    <col min="60" max="63" width="3.6640625" style="1" hidden="1" customWidth="1"/>
    <col min="64" max="64" width="1.6640625" style="1" hidden="1" customWidth="1"/>
    <col min="65" max="68" width="3.6640625" style="1" hidden="1" customWidth="1"/>
    <col min="69" max="69" width="1.6640625" style="1" hidden="1" customWidth="1"/>
    <col min="70" max="70" width="32.44140625" style="1" hidden="1" customWidth="1"/>
    <col min="71" max="73" width="3.6640625" style="1" hidden="1" customWidth="1"/>
    <col min="74" max="74" width="1.6640625" style="1" hidden="1" customWidth="1"/>
    <col min="75" max="78" width="3.6640625" style="1" hidden="1" customWidth="1"/>
    <col min="79" max="79" width="1.6640625" style="1" hidden="1" customWidth="1"/>
    <col min="80" max="80" width="13.44140625" style="1" hidden="1" customWidth="1"/>
    <col min="81" max="83" width="3.6640625" style="1" hidden="1" customWidth="1"/>
    <col min="84" max="84" width="1.6640625" style="1" hidden="1" customWidth="1"/>
    <col min="85" max="88" width="3.6640625" style="1" hidden="1" customWidth="1"/>
    <col min="89" max="89" width="1.6640625" style="1" hidden="1" customWidth="1"/>
    <col min="90" max="93" width="3.6640625" style="1" hidden="1" customWidth="1"/>
    <col min="94" max="94" width="1.6640625" style="1" hidden="1" customWidth="1"/>
    <col min="95" max="98" width="3.6640625" style="1" hidden="1" customWidth="1"/>
    <col min="99" max="108" width="5.6640625" style="1" hidden="1" customWidth="1"/>
    <col min="109" max="109" width="6.6640625" style="1" hidden="1" customWidth="1"/>
    <col min="110" max="110" width="2.6640625" style="1" hidden="1" customWidth="1"/>
    <col min="111" max="115" width="5.6640625" style="1" hidden="1" customWidth="1"/>
    <col min="116" max="116" width="6.6640625" style="1" hidden="1" customWidth="1"/>
    <col min="117" max="117" width="9.109375" style="1" hidden="1" customWidth="1"/>
    <col min="118" max="16384" width="9.109375" style="1"/>
  </cols>
  <sheetData>
    <row r="1" spans="1:116" ht="5.0999999999999996" customHeight="1">
      <c r="L1" s="2"/>
      <c r="M1" s="2"/>
      <c r="N1" s="2"/>
      <c r="O1" s="2"/>
      <c r="P1" s="2"/>
      <c r="Q1" s="2"/>
      <c r="R1" s="2"/>
      <c r="S1" s="2"/>
      <c r="T1" s="2"/>
    </row>
    <row r="2" spans="1:116" ht="12.75" customHeight="1">
      <c r="B2" s="874" t="s">
        <v>6510</v>
      </c>
      <c r="C2" s="874"/>
      <c r="D2" s="874"/>
      <c r="E2" s="127" t="s">
        <v>5468</v>
      </c>
      <c r="G2" s="875" t="s">
        <v>5385</v>
      </c>
      <c r="H2" s="875"/>
      <c r="I2" s="875"/>
      <c r="J2" s="875"/>
      <c r="K2" s="38"/>
      <c r="L2" s="4"/>
      <c r="M2" s="4"/>
      <c r="N2" s="697" t="s">
        <v>5386</v>
      </c>
      <c r="O2" s="863">
        <v>45213</v>
      </c>
      <c r="P2" s="863"/>
      <c r="Q2" s="863"/>
      <c r="R2" s="863"/>
      <c r="S2" s="110" t="s">
        <v>5389</v>
      </c>
      <c r="T2" s="877">
        <f>T4-T6</f>
        <v>0</v>
      </c>
      <c r="U2" s="877"/>
      <c r="X2" s="124" t="s">
        <v>74</v>
      </c>
    </row>
    <row r="3" spans="1:116" ht="5.0999999999999996" customHeight="1">
      <c r="B3" s="1" t="s">
        <v>2072</v>
      </c>
      <c r="C3" s="2"/>
      <c r="R3" s="2"/>
      <c r="S3" s="2"/>
    </row>
    <row r="4" spans="1:116" ht="12.75" customHeight="1">
      <c r="B4" s="3"/>
      <c r="C4" s="3"/>
      <c r="D4" s="3"/>
      <c r="G4" s="876" t="s">
        <v>5387</v>
      </c>
      <c r="H4" s="876"/>
      <c r="I4" s="864"/>
      <c r="J4" s="864"/>
      <c r="K4" s="864"/>
      <c r="L4" s="864"/>
      <c r="M4" s="864"/>
      <c r="N4" s="864"/>
      <c r="O4" s="865"/>
      <c r="P4" s="865"/>
      <c r="Q4" s="865"/>
      <c r="R4" s="864"/>
      <c r="S4" s="90" t="s">
        <v>5390</v>
      </c>
      <c r="T4" s="867">
        <f>ORDER!AU114</f>
        <v>0</v>
      </c>
      <c r="U4" s="867"/>
      <c r="X4" s="125" t="s">
        <v>5483</v>
      </c>
    </row>
    <row r="5" spans="1:116" ht="12.75" customHeight="1">
      <c r="B5" s="5"/>
      <c r="C5" s="3"/>
      <c r="D5" s="3"/>
      <c r="G5" s="876" t="s">
        <v>5420</v>
      </c>
      <c r="H5" s="876"/>
      <c r="I5" s="870"/>
      <c r="J5" s="870"/>
      <c r="K5" s="870"/>
      <c r="L5" s="866" t="s">
        <v>5421</v>
      </c>
      <c r="M5" s="866"/>
      <c r="N5" s="122" t="s">
        <v>5483</v>
      </c>
      <c r="O5" s="879" t="str">
        <f>IF(N5="ні","ціна без ПДВ","ціна з ПДВ 20%")</f>
        <v>ціна з ПДВ 20%</v>
      </c>
      <c r="P5" s="879"/>
      <c r="Q5" s="879"/>
      <c r="R5" s="244"/>
      <c r="S5" s="91" t="s">
        <v>5391</v>
      </c>
      <c r="T5" s="868"/>
      <c r="U5" s="868"/>
      <c r="X5" s="126" t="s">
        <v>5484</v>
      </c>
    </row>
    <row r="6" spans="1:116" ht="12.75" customHeight="1">
      <c r="B6" s="5"/>
      <c r="C6" s="3"/>
      <c r="D6" s="3"/>
      <c r="G6" s="876" t="s">
        <v>96</v>
      </c>
      <c r="H6" s="876"/>
      <c r="I6" s="870"/>
      <c r="J6" s="870"/>
      <c r="K6" s="870"/>
      <c r="L6" s="869" t="s">
        <v>5388</v>
      </c>
      <c r="M6" s="869"/>
      <c r="N6" s="123">
        <v>1</v>
      </c>
      <c r="O6" s="878" t="s">
        <v>75</v>
      </c>
      <c r="P6" s="878"/>
      <c r="Q6" s="878"/>
      <c r="R6" s="245"/>
      <c r="S6" s="92" t="s">
        <v>5392</v>
      </c>
      <c r="T6" s="873">
        <f>X95</f>
        <v>0</v>
      </c>
      <c r="U6" s="873"/>
    </row>
    <row r="7" spans="1:116" ht="5.0999999999999996" customHeight="1" thickBot="1"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7"/>
      <c r="T7" s="7"/>
      <c r="U7" s="6"/>
    </row>
    <row r="8" spans="1:116" ht="5.0999999999999996" customHeight="1"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9"/>
      <c r="T8" s="9"/>
      <c r="U8" s="8"/>
    </row>
    <row r="9" spans="1:116">
      <c r="B9" s="677" t="s">
        <v>5384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12" t="s">
        <v>5393</v>
      </c>
      <c r="AB9" s="34" t="str">
        <f>AD9</f>
        <v>СВЕРКА</v>
      </c>
      <c r="AD9" s="34" t="str">
        <f>"СВЕРКА"</f>
        <v>СВЕРКА</v>
      </c>
      <c r="CV9" s="217" t="s">
        <v>847</v>
      </c>
      <c r="DG9" s="217" t="s">
        <v>848</v>
      </c>
      <c r="DH9" s="217"/>
    </row>
    <row r="10" spans="1:116" ht="16.5" customHeight="1">
      <c r="B10" s="71" t="s">
        <v>480</v>
      </c>
      <c r="C10" s="735" t="s">
        <v>5395</v>
      </c>
      <c r="D10" s="37" t="s">
        <v>551</v>
      </c>
      <c r="E10" s="36" t="s">
        <v>5394</v>
      </c>
      <c r="F10" s="51" t="s">
        <v>319</v>
      </c>
      <c r="G10" s="52" t="s">
        <v>339</v>
      </c>
      <c r="H10" s="10" t="s">
        <v>559</v>
      </c>
      <c r="I10" s="12" t="s">
        <v>5396</v>
      </c>
      <c r="J10" s="65" t="s">
        <v>5397</v>
      </c>
      <c r="K10" s="66" t="s">
        <v>5398</v>
      </c>
      <c r="L10" s="10" t="s">
        <v>5399</v>
      </c>
      <c r="M10" s="11" t="s">
        <v>5400</v>
      </c>
      <c r="N10" s="12" t="s">
        <v>5401</v>
      </c>
      <c r="O10" s="37" t="s">
        <v>837</v>
      </c>
      <c r="P10" s="37" t="s">
        <v>319</v>
      </c>
      <c r="Q10" s="37" t="s">
        <v>5402</v>
      </c>
      <c r="R10" s="87" t="s">
        <v>5403</v>
      </c>
      <c r="S10" s="71" t="s">
        <v>5404</v>
      </c>
      <c r="T10" s="84" t="s">
        <v>5405</v>
      </c>
      <c r="U10" s="50" t="s">
        <v>5406</v>
      </c>
      <c r="Y10" s="213" t="s">
        <v>682</v>
      </c>
      <c r="Z10" s="214" t="s">
        <v>838</v>
      </c>
      <c r="AD10" s="847" t="str">
        <f>D10</f>
        <v>мод</v>
      </c>
      <c r="AE10" s="847"/>
      <c r="AF10" s="847"/>
      <c r="AG10" s="847"/>
      <c r="AI10" s="847" t="str">
        <f>E10</f>
        <v xml:space="preserve">
викон.</v>
      </c>
      <c r="AJ10" s="847"/>
      <c r="AK10" s="847"/>
      <c r="AL10" s="847"/>
      <c r="AN10" s="847" t="str">
        <f>F10</f>
        <v>тип</v>
      </c>
      <c r="AO10" s="847"/>
      <c r="AP10" s="847"/>
      <c r="AQ10" s="847"/>
      <c r="AS10" s="847" t="str">
        <f>G10</f>
        <v>ширина</v>
      </c>
      <c r="AT10" s="847"/>
      <c r="AU10" s="847"/>
      <c r="AV10" s="847"/>
      <c r="AX10" s="847" t="str">
        <f>H10</f>
        <v>декор</v>
      </c>
      <c r="AY10" s="847"/>
      <c r="AZ10" s="847"/>
      <c r="BA10" s="847"/>
      <c r="BC10" s="847" t="str">
        <f>I10</f>
        <v xml:space="preserve">
колір</v>
      </c>
      <c r="BD10" s="847"/>
      <c r="BE10" s="847"/>
      <c r="BF10" s="847"/>
      <c r="BH10" s="847" t="str">
        <f>J10</f>
        <v>заповн.</v>
      </c>
      <c r="BI10" s="847"/>
      <c r="BJ10" s="847"/>
      <c r="BK10" s="847"/>
      <c r="BM10" s="847" t="str">
        <f>K10</f>
        <v>скло</v>
      </c>
      <c r="BN10" s="847"/>
      <c r="BO10" s="847"/>
      <c r="BP10" s="847"/>
      <c r="BR10" s="847" t="str">
        <f>L10</f>
        <v>фурнітура</v>
      </c>
      <c r="BS10" s="847"/>
      <c r="BT10" s="847"/>
      <c r="BU10" s="847"/>
      <c r="BW10" s="847" t="str">
        <f>M10</f>
        <v>вент.від</v>
      </c>
      <c r="BX10" s="847"/>
      <c r="BY10" s="847"/>
      <c r="BZ10" s="847"/>
      <c r="CB10" s="847" t="str">
        <f>N10</f>
        <v>завіса</v>
      </c>
      <c r="CC10" s="847"/>
      <c r="CD10" s="847"/>
      <c r="CE10" s="847"/>
      <c r="CG10" s="847" t="str">
        <f>O10</f>
        <v>коробка</v>
      </c>
      <c r="CH10" s="847"/>
      <c r="CI10" s="847"/>
      <c r="CJ10" s="847"/>
      <c r="CK10" s="226"/>
      <c r="CL10" s="847" t="str">
        <f>P10</f>
        <v>тип</v>
      </c>
      <c r="CM10" s="847"/>
      <c r="CN10" s="847"/>
      <c r="CO10" s="847"/>
      <c r="CP10" s="226"/>
      <c r="CQ10" s="847" t="str">
        <f>Q10</f>
        <v>лиштва</v>
      </c>
      <c r="CR10" s="847"/>
      <c r="CS10" s="847"/>
      <c r="CT10" s="847"/>
      <c r="CV10" s="218" t="s">
        <v>465</v>
      </c>
      <c r="CW10" s="218" t="s">
        <v>551</v>
      </c>
      <c r="CX10" s="218" t="s">
        <v>851</v>
      </c>
      <c r="CY10" s="218" t="s">
        <v>319</v>
      </c>
      <c r="CZ10" s="218" t="s">
        <v>852</v>
      </c>
      <c r="DA10" s="218" t="s">
        <v>872</v>
      </c>
      <c r="DB10" s="218" t="s">
        <v>463</v>
      </c>
      <c r="DC10" s="218" t="s">
        <v>544</v>
      </c>
      <c r="DD10" s="218" t="s">
        <v>835</v>
      </c>
      <c r="DE10" s="169" t="s">
        <v>849</v>
      </c>
      <c r="DG10" s="218" t="s">
        <v>850</v>
      </c>
      <c r="DH10" s="218" t="s">
        <v>319</v>
      </c>
      <c r="DI10" s="218" t="s">
        <v>852</v>
      </c>
      <c r="DJ10" s="218" t="s">
        <v>872</v>
      </c>
      <c r="DK10" s="218" t="s">
        <v>463</v>
      </c>
      <c r="DL10" s="169" t="s">
        <v>849</v>
      </c>
    </row>
    <row r="11" spans="1:116">
      <c r="A11" s="24" t="str">
        <f>CONCATENATE(C11,".",D11)</f>
        <v>.</v>
      </c>
      <c r="B11" s="184">
        <v>1</v>
      </c>
      <c r="C11" s="438"/>
      <c r="D11" s="439"/>
      <c r="E11" s="440"/>
      <c r="F11" s="438"/>
      <c r="G11" s="441"/>
      <c r="H11" s="438"/>
      <c r="I11" s="440"/>
      <c r="J11" s="438"/>
      <c r="K11" s="440"/>
      <c r="L11" s="438"/>
      <c r="M11" s="442"/>
      <c r="N11" s="443"/>
      <c r="O11" s="456"/>
      <c r="P11" s="444"/>
      <c r="Q11" s="457"/>
      <c r="R11" s="199"/>
      <c r="S11" s="176"/>
      <c r="T11" s="194" t="str">
        <f t="shared" ref="T11:T25" si="0">IF(OR(W11="",W11="0"),"",W11)</f>
        <v/>
      </c>
      <c r="U11" s="203" t="str">
        <f t="shared" ref="U11:U25" si="1">IF(R11="","",IF(NOT(AC11=0),"Ошибка в строке",""))</f>
        <v/>
      </c>
      <c r="W11" s="131" t="str">
        <f>IF(OR(ISNA(X11),NOT(AC11=0)),"0",X11)</f>
        <v>0</v>
      </c>
      <c r="X11" s="128" t="str">
        <f>IF(OR(R11="",R11=0),"",SUM(ORDER!H9:H11))</f>
        <v/>
      </c>
      <c r="Y11" s="64" t="str">
        <f>CONCATENATE(C11,".",E11,".",F11)</f>
        <v>..</v>
      </c>
      <c r="Z11" s="64" t="str">
        <f>CONCATENATE(C11,".",E11,".",F11)</f>
        <v>..</v>
      </c>
      <c r="AB11" s="34">
        <f>AG11+AL11+AQ11+AV11+BA11+BF11+BK11+BP11+BU11+BZ11+CE11+CJ11+CO11+CT11</f>
        <v>1</v>
      </c>
      <c r="AC11" s="72">
        <f>14-AB11</f>
        <v>13</v>
      </c>
      <c r="AD11" s="63" t="str">
        <f>CONCATENATE(C11,".",D11)</f>
        <v>.</v>
      </c>
      <c r="AE11" s="64" t="e">
        <f>VLOOKUP(AD11,Лист1!$AW:$AW,1,0)</f>
        <v>#N/A</v>
      </c>
      <c r="AF11" s="53" t="e">
        <f>IF(AD11=AE11,1,0)</f>
        <v>#N/A</v>
      </c>
      <c r="AG11" s="35" t="str">
        <f>IF(ISNA(AF11),"0",AF11)</f>
        <v>0</v>
      </c>
      <c r="AI11" s="63" t="str">
        <f>CONCATENATE(C11,".",D11,".",E11)</f>
        <v>..</v>
      </c>
      <c r="AJ11" s="64" t="e">
        <f>VLOOKUP(AI11,Лист1!$BA:$BA,1,0)</f>
        <v>#N/A</v>
      </c>
      <c r="AK11" s="53" t="e">
        <f>IF(AI11=AJ11,1,0)</f>
        <v>#N/A</v>
      </c>
      <c r="AL11" s="35" t="str">
        <f>IF(ISNA(AK11),"0",AK11)</f>
        <v>0</v>
      </c>
      <c r="AN11" s="63" t="str">
        <f>CONCATENATE(E11,".",F11,)</f>
        <v>.</v>
      </c>
      <c r="AO11" s="64" t="e">
        <f>VLOOKUP(AN11,Лист1!$BE:$BE,1,0)</f>
        <v>#N/A</v>
      </c>
      <c r="AP11" s="53" t="e">
        <f>IF(AN11=AO11,1,0)</f>
        <v>#N/A</v>
      </c>
      <c r="AQ11" s="35" t="str">
        <f>IF(ISNA(AP11),"0",AP11)</f>
        <v>0</v>
      </c>
      <c r="AS11" s="63" t="str">
        <f>CONCATENATE(F11,".",G11,)</f>
        <v>.</v>
      </c>
      <c r="AT11" s="64" t="e">
        <f>VLOOKUP(AS11,Лист1!$BI:$BI,1,0)</f>
        <v>#N/A</v>
      </c>
      <c r="AU11" s="53" t="e">
        <f>IF(AS11=AT11,1,0)</f>
        <v>#N/A</v>
      </c>
      <c r="AV11" s="35" t="str">
        <f>IF(ISNA(AU11),"0",AU11)</f>
        <v>0</v>
      </c>
      <c r="AX11" s="63" t="str">
        <f>CONCATENATE(C11,".",H11,)</f>
        <v>.</v>
      </c>
      <c r="AY11" s="64" t="e">
        <f>VLOOKUP(AX11,Лист1!$BM:$BM,1,0)</f>
        <v>#N/A</v>
      </c>
      <c r="AZ11" s="53" t="e">
        <f>IF(AX11=AY11,1,0)</f>
        <v>#N/A</v>
      </c>
      <c r="BA11" s="35" t="str">
        <f>IF(ISNA(AZ11),"0",AZ11)</f>
        <v>0</v>
      </c>
      <c r="BC11" s="63" t="str">
        <f>CONCATENATE(H11,".",I11,)</f>
        <v>.</v>
      </c>
      <c r="BD11" s="64" t="str">
        <f>VLOOKUP(BC11,Лист1!$BQ:$BQ,1,0)</f>
        <v>.</v>
      </c>
      <c r="BE11" s="53">
        <f>IF(BC11=BD11,1,0)</f>
        <v>1</v>
      </c>
      <c r="BF11" s="35">
        <f>IF(ISNA(BE11),"0",BE11)</f>
        <v>1</v>
      </c>
      <c r="BH11" s="63" t="str">
        <f>CONCATENATE(C11,".",D11,".",J11)</f>
        <v>..</v>
      </c>
      <c r="BI11" s="64" t="e">
        <f>VLOOKUP(BH11,Лист1!$BU:$BU,1,0)</f>
        <v>#N/A</v>
      </c>
      <c r="BJ11" s="53" t="e">
        <f>IF(BH11=BI11,1,0)</f>
        <v>#N/A</v>
      </c>
      <c r="BK11" s="35" t="str">
        <f>IF(ISNA(BJ11),"0",BJ11)</f>
        <v>0</v>
      </c>
      <c r="BM11" s="63" t="str">
        <f>CONCATENATE(C11,".",D11,".",K11)</f>
        <v>..</v>
      </c>
      <c r="BN11" s="64" t="e">
        <f>VLOOKUP(BM11,Лист1!$BY:$BY,1,0)</f>
        <v>#N/A</v>
      </c>
      <c r="BO11" s="53" t="e">
        <f>IF(BM11=BN11,1,0)</f>
        <v>#N/A</v>
      </c>
      <c r="BP11" s="35" t="str">
        <f>IF(ISNA(BO11),"0",BO11)</f>
        <v>0</v>
      </c>
      <c r="BR11" s="63" t="str">
        <f>CONCATENATE(C11,".",E11,".",F11,".",L11)</f>
        <v>...</v>
      </c>
      <c r="BS11" s="64" t="e">
        <f>VLOOKUP(BR11,Лист1!$CC:$CC,1,0)</f>
        <v>#N/A</v>
      </c>
      <c r="BT11" s="53" t="e">
        <f>IF(BR11=BS11,1,0)</f>
        <v>#N/A</v>
      </c>
      <c r="BU11" s="35" t="str">
        <f>IF(ISNA(BT11),"0",BT11)</f>
        <v>0</v>
      </c>
      <c r="BW11" s="63" t="str">
        <f>CONCATENATE(C11,".",E11,".",F11,".",M11)</f>
        <v>...</v>
      </c>
      <c r="BX11" s="64" t="e">
        <f>VLOOKUP(BW11,Лист1!$CG:$CG,1,0)</f>
        <v>#N/A</v>
      </c>
      <c r="BY11" s="53" t="e">
        <f>IF(BW11=BX11,1,0)</f>
        <v>#N/A</v>
      </c>
      <c r="BZ11" s="35" t="str">
        <f>IF(ISNA(BY11),"0",BY11)</f>
        <v>0</v>
      </c>
      <c r="CB11" s="63" t="str">
        <f>CONCATENATE(L11,".",N11)</f>
        <v>.</v>
      </c>
      <c r="CC11" s="64" t="e">
        <f>VLOOKUP(CB11,Лист1!$CK:$CK,1,0)</f>
        <v>#N/A</v>
      </c>
      <c r="CD11" s="53" t="e">
        <f>IF(CB11=CC11,1,0)</f>
        <v>#N/A</v>
      </c>
      <c r="CE11" s="35" t="str">
        <f>IF(ISNA(CD11),"0",CD11)</f>
        <v>0</v>
      </c>
      <c r="CG11" s="63" t="str">
        <f>CONCATENATE(C11,".",E11,".",F11,".",O11)</f>
        <v>...</v>
      </c>
      <c r="CH11" s="64" t="e">
        <f>VLOOKUP(CG11,Лист1!$CO:$CO,1,0)</f>
        <v>#N/A</v>
      </c>
      <c r="CI11" s="53" t="e">
        <f>IF(CG11=CH11,1,0)</f>
        <v>#N/A</v>
      </c>
      <c r="CJ11" s="35" t="str">
        <f>IF(ISNA(CI11),"0",CI11)</f>
        <v>0</v>
      </c>
      <c r="CL11" s="63" t="str">
        <f>CONCATENATE(O11,".",P11)</f>
        <v>.</v>
      </c>
      <c r="CM11" s="64" t="e">
        <f>VLOOKUP(CL11,Лист1!$CS:$CS,1,0)</f>
        <v>#N/A</v>
      </c>
      <c r="CN11" s="53" t="e">
        <f>IF(CL11=CM11,1,0)</f>
        <v>#N/A</v>
      </c>
      <c r="CO11" s="35" t="str">
        <f>IF(ISNA(CN11),"0",CN11)</f>
        <v>0</v>
      </c>
      <c r="CQ11" s="63" t="str">
        <f>CONCATENATE(O11,".",Q11)</f>
        <v>.</v>
      </c>
      <c r="CR11" s="64" t="e">
        <f>VLOOKUP(CQ11,Лист1!$CW:$CW,1,0)</f>
        <v>#N/A</v>
      </c>
      <c r="CS11" s="53" t="e">
        <f>IF(CQ11=CR11,1,0)</f>
        <v>#N/A</v>
      </c>
      <c r="CT11" s="35" t="str">
        <f>IF(ISNA(CS11),"0",CS11)</f>
        <v>0</v>
      </c>
      <c r="CV11" s="64" t="e">
        <f>VLOOKUP(O11,Лист1!$CY:$DA,2,0)</f>
        <v>#N/A</v>
      </c>
      <c r="CW11" s="221">
        <f>P11</f>
        <v>0</v>
      </c>
      <c r="CX11" s="64" t="e">
        <f>VLOOKUP(E11,Лист1!$CY:$DA,2,0)</f>
        <v>#N/A</v>
      </c>
      <c r="CY11" s="64" t="e">
        <f>VLOOKUP(G11,Лист1!$CY$76:$DA$87,2,0)</f>
        <v>#N/A</v>
      </c>
      <c r="CZ11" s="64" t="e">
        <f>VLOOKUP(G11,Лист1!$CY:$DA,2,0)</f>
        <v>#N/A</v>
      </c>
      <c r="DA11" s="64" t="e">
        <f>VLOOKUP(H11,Лист1!$CY:$DA,2,0)</f>
        <v>#N/A</v>
      </c>
      <c r="DB11" s="64">
        <f>I11</f>
        <v>0</v>
      </c>
      <c r="DC11" s="64" t="e">
        <f>VLOOKUP(L11,Лист1!$CY:$DA,2,0)</f>
        <v>#N/A</v>
      </c>
      <c r="DD11" s="64" t="e">
        <f>VLOOKUP(CONCATENATE(L11,".",N11),Лист1!$CY:$DA,2,0)</f>
        <v>#N/A</v>
      </c>
      <c r="DE11" s="229" t="str">
        <f>IF(R11="","",IF(OR(C11="ДП Добор",C11="ДП Гласфорд",C11="ДП Добор-ЛАДА"),"",R11))</f>
        <v/>
      </c>
      <c r="DG11" s="64" t="e">
        <f>VLOOKUP(Q11,Лист1!$CY:$DA,2,0)</f>
        <v>#N/A</v>
      </c>
      <c r="DH11" s="64" t="e">
        <f>VLOOKUP(G11,Лист1!$CY$76:$DA$87,3,0)</f>
        <v>#N/A</v>
      </c>
      <c r="DI11" s="64" t="e">
        <f>VLOOKUP(CONCATENATE(O11,".",CZ11),Лист1!$CY:$DA,2,0)</f>
        <v>#N/A</v>
      </c>
      <c r="DJ11" s="64" t="e">
        <f>VLOOKUP(H11,Лист1!$CY:$DA,2,0)</f>
        <v>#N/A</v>
      </c>
      <c r="DK11" s="64">
        <f>I11</f>
        <v>0</v>
      </c>
      <c r="DL11" s="229" t="str">
        <f>IF(R11="","",VLOOKUP(Q11,Лист1!$CY:$DA,3,0)*R11)</f>
        <v/>
      </c>
    </row>
    <row r="12" spans="1:116">
      <c r="A12" s="24" t="str">
        <f t="shared" ref="A12:A25" si="2">CONCATENATE(C12,".",D12)</f>
        <v>.</v>
      </c>
      <c r="B12" s="79">
        <v>2</v>
      </c>
      <c r="C12" s="438"/>
      <c r="D12" s="439"/>
      <c r="E12" s="440"/>
      <c r="F12" s="438"/>
      <c r="G12" s="441"/>
      <c r="H12" s="438"/>
      <c r="I12" s="440"/>
      <c r="J12" s="438"/>
      <c r="K12" s="440"/>
      <c r="L12" s="438"/>
      <c r="M12" s="442"/>
      <c r="N12" s="443"/>
      <c r="O12" s="456"/>
      <c r="P12" s="444"/>
      <c r="Q12" s="457"/>
      <c r="R12" s="199"/>
      <c r="S12" s="176"/>
      <c r="T12" s="194" t="str">
        <f t="shared" si="0"/>
        <v/>
      </c>
      <c r="U12" s="202" t="str">
        <f t="shared" si="1"/>
        <v/>
      </c>
      <c r="W12" s="131" t="str">
        <f t="shared" ref="W12:W25" si="3">IF(OR(ISNA(X12),NOT(AC12=0)),"0",X12)</f>
        <v>0</v>
      </c>
      <c r="X12" s="128" t="str">
        <f>IF(OR(R12="",R12=0),"",SUM(ORDER!H12:H14))</f>
        <v/>
      </c>
      <c r="Y12" s="64" t="str">
        <f t="shared" ref="Y12:Y25" si="4">CONCATENATE(C12,".",E12,".",F12)</f>
        <v>..</v>
      </c>
      <c r="Z12" s="64" t="str">
        <f>CONCATENATE(C12,".",E12,".",F12)</f>
        <v>..</v>
      </c>
      <c r="AB12" s="34">
        <f t="shared" ref="AB12:AB25" si="5">AG12+AL12+AQ12+AV12+BA12+BF12+BK12+BP12+BU12+BZ12+CE12+CJ12+CO12+CT12</f>
        <v>1</v>
      </c>
      <c r="AC12" s="72">
        <f t="shared" ref="AC12:AC25" si="6">14-AB12</f>
        <v>13</v>
      </c>
      <c r="AD12" s="63" t="str">
        <f t="shared" ref="AD12:AD25" si="7">CONCATENATE(C12,".",D12)</f>
        <v>.</v>
      </c>
      <c r="AE12" s="64" t="e">
        <f>VLOOKUP(AD12,Лист1!$AW:$AW,1,0)</f>
        <v>#N/A</v>
      </c>
      <c r="AF12" s="53" t="e">
        <f t="shared" ref="AF12:AF25" si="8">IF(AD12=AE12,1,0)</f>
        <v>#N/A</v>
      </c>
      <c r="AG12" s="35" t="str">
        <f t="shared" ref="AG12:AG25" si="9">IF(ISNA(AF12),"0",AF12)</f>
        <v>0</v>
      </c>
      <c r="AI12" s="63" t="str">
        <f t="shared" ref="AI12:AI25" si="10">CONCATENATE(C12,".",D12,".",E12)</f>
        <v>..</v>
      </c>
      <c r="AJ12" s="64" t="e">
        <f>VLOOKUP(AI12,Лист1!$BA:$BA,1,0)</f>
        <v>#N/A</v>
      </c>
      <c r="AK12" s="53" t="e">
        <f t="shared" ref="AK12:AK25" si="11">IF(AI12=AJ12,1,0)</f>
        <v>#N/A</v>
      </c>
      <c r="AL12" s="35" t="str">
        <f t="shared" ref="AL12:AL25" si="12">IF(ISNA(AK12),"0",AK12)</f>
        <v>0</v>
      </c>
      <c r="AN12" s="63" t="str">
        <f t="shared" ref="AN12:AN25" si="13">CONCATENATE(E12,".",F12,)</f>
        <v>.</v>
      </c>
      <c r="AO12" s="64" t="e">
        <f>VLOOKUP(AN12,Лист1!$BE:$BE,1,0)</f>
        <v>#N/A</v>
      </c>
      <c r="AP12" s="53" t="e">
        <f t="shared" ref="AP12:AP25" si="14">IF(AN12=AO12,1,0)</f>
        <v>#N/A</v>
      </c>
      <c r="AQ12" s="35" t="str">
        <f t="shared" ref="AQ12:AQ25" si="15">IF(ISNA(AP12),"0",AP12)</f>
        <v>0</v>
      </c>
      <c r="AS12" s="63" t="str">
        <f t="shared" ref="AS12:AS25" si="16">CONCATENATE(F12,".",G12,)</f>
        <v>.</v>
      </c>
      <c r="AT12" s="64" t="e">
        <f>VLOOKUP(AS12,Лист1!$BI:$BI,1,0)</f>
        <v>#N/A</v>
      </c>
      <c r="AU12" s="53" t="e">
        <f t="shared" ref="AU12:AU25" si="17">IF(AS12=AT12,1,0)</f>
        <v>#N/A</v>
      </c>
      <c r="AV12" s="35" t="str">
        <f t="shared" ref="AV12:AV25" si="18">IF(ISNA(AU12),"0",AU12)</f>
        <v>0</v>
      </c>
      <c r="AX12" s="63" t="str">
        <f t="shared" ref="AX12:AX25" si="19">CONCATENATE(C12,".",H12,)</f>
        <v>.</v>
      </c>
      <c r="AY12" s="64" t="e">
        <f>VLOOKUP(AX12,Лист1!$BM:$BM,1,0)</f>
        <v>#N/A</v>
      </c>
      <c r="AZ12" s="53" t="e">
        <f t="shared" ref="AZ12:AZ25" si="20">IF(AX12=AY12,1,0)</f>
        <v>#N/A</v>
      </c>
      <c r="BA12" s="35" t="str">
        <f t="shared" ref="BA12:BA25" si="21">IF(ISNA(AZ12),"0",AZ12)</f>
        <v>0</v>
      </c>
      <c r="BC12" s="63" t="str">
        <f t="shared" ref="BC12:BC25" si="22">CONCATENATE(H12,".",I12,)</f>
        <v>.</v>
      </c>
      <c r="BD12" s="64" t="str">
        <f>VLOOKUP(BC12,Лист1!$BQ:$BQ,1,0)</f>
        <v>.</v>
      </c>
      <c r="BE12" s="53">
        <f t="shared" ref="BE12:BE25" si="23">IF(BC12=BD12,1,0)</f>
        <v>1</v>
      </c>
      <c r="BF12" s="35">
        <f t="shared" ref="BF12:BF25" si="24">IF(ISNA(BE12),"0",BE12)</f>
        <v>1</v>
      </c>
      <c r="BH12" s="63" t="str">
        <f t="shared" ref="BH12:BH25" si="25">CONCATENATE(C12,".",D12,".",J12)</f>
        <v>..</v>
      </c>
      <c r="BI12" s="64" t="e">
        <f>VLOOKUP(BH12,Лист1!$BU:$BU,1,0)</f>
        <v>#N/A</v>
      </c>
      <c r="BJ12" s="53" t="e">
        <f t="shared" ref="BJ12:BJ25" si="26">IF(BH12=BI12,1,0)</f>
        <v>#N/A</v>
      </c>
      <c r="BK12" s="35" t="str">
        <f t="shared" ref="BK12:BK25" si="27">IF(ISNA(BJ12),"0",BJ12)</f>
        <v>0</v>
      </c>
      <c r="BM12" s="63" t="str">
        <f t="shared" ref="BM12:BM25" si="28">CONCATENATE(C12,".",D12,".",K12)</f>
        <v>..</v>
      </c>
      <c r="BN12" s="64" t="e">
        <f>VLOOKUP(BM12,Лист1!$BY:$BY,1,0)</f>
        <v>#N/A</v>
      </c>
      <c r="BO12" s="53" t="e">
        <f t="shared" ref="BO12:BO25" si="29">IF(BM12=BN12,1,0)</f>
        <v>#N/A</v>
      </c>
      <c r="BP12" s="35" t="str">
        <f t="shared" ref="BP12:BP25" si="30">IF(ISNA(BO12),"0",BO12)</f>
        <v>0</v>
      </c>
      <c r="BR12" s="63" t="str">
        <f t="shared" ref="BR12:BR25" si="31">CONCATENATE(C12,".",E12,".",F12,".",L12)</f>
        <v>...</v>
      </c>
      <c r="BS12" s="64" t="e">
        <f>VLOOKUP(BR12,Лист1!$CC:$CC,1,0)</f>
        <v>#N/A</v>
      </c>
      <c r="BT12" s="53" t="e">
        <f t="shared" ref="BT12:BT25" si="32">IF(BR12=BS12,1,0)</f>
        <v>#N/A</v>
      </c>
      <c r="BU12" s="35" t="str">
        <f t="shared" ref="BU12:BU25" si="33">IF(ISNA(BT12),"0",BT12)</f>
        <v>0</v>
      </c>
      <c r="BW12" s="63" t="str">
        <f>CONCATENATE(C12,".",E12,".",F12,".",M12)</f>
        <v>...</v>
      </c>
      <c r="BX12" s="64" t="e">
        <f>VLOOKUP(BW12,Лист1!$CG:$CG,1,0)</f>
        <v>#N/A</v>
      </c>
      <c r="BY12" s="53" t="e">
        <f t="shared" ref="BY12:BY25" si="34">IF(BW12=BX12,1,0)</f>
        <v>#N/A</v>
      </c>
      <c r="BZ12" s="35" t="str">
        <f t="shared" ref="BZ12:BZ25" si="35">IF(ISNA(BY12),"0",BY12)</f>
        <v>0</v>
      </c>
      <c r="CB12" s="63" t="str">
        <f t="shared" ref="CB12:CB25" si="36">CONCATENATE(L12,".",N12)</f>
        <v>.</v>
      </c>
      <c r="CC12" s="64" t="e">
        <f>VLOOKUP(CB12,Лист1!$CK:$CK,1,0)</f>
        <v>#N/A</v>
      </c>
      <c r="CD12" s="53" t="e">
        <f t="shared" ref="CD12:CD25" si="37">IF(CB12=CC12,1,0)</f>
        <v>#N/A</v>
      </c>
      <c r="CE12" s="35" t="str">
        <f t="shared" ref="CE12:CE25" si="38">IF(ISNA(CD12),"0",CD12)</f>
        <v>0</v>
      </c>
      <c r="CG12" s="63" t="str">
        <f t="shared" ref="CG12:CG25" si="39">CONCATENATE(C12,".",E12,".",F12,".",O12)</f>
        <v>...</v>
      </c>
      <c r="CH12" s="64" t="e">
        <f>VLOOKUP(CG12,Лист1!$CO:$CO,1,0)</f>
        <v>#N/A</v>
      </c>
      <c r="CI12" s="53" t="e">
        <f t="shared" ref="CI12:CI25" si="40">IF(CG12=CH12,1,0)</f>
        <v>#N/A</v>
      </c>
      <c r="CJ12" s="35" t="str">
        <f t="shared" ref="CJ12:CJ25" si="41">IF(ISNA(CI12),"0",CI12)</f>
        <v>0</v>
      </c>
      <c r="CL12" s="63" t="str">
        <f t="shared" ref="CL12:CL25" si="42">CONCATENATE(O12,".",P12)</f>
        <v>.</v>
      </c>
      <c r="CM12" s="64" t="e">
        <f>VLOOKUP(CL12,Лист1!$CS:$CS,1,0)</f>
        <v>#N/A</v>
      </c>
      <c r="CN12" s="53" t="e">
        <f t="shared" ref="CN12:CN25" si="43">IF(CL12=CM12,1,0)</f>
        <v>#N/A</v>
      </c>
      <c r="CO12" s="35" t="str">
        <f t="shared" ref="CO12:CO25" si="44">IF(ISNA(CN12),"0",CN12)</f>
        <v>0</v>
      </c>
      <c r="CQ12" s="63" t="str">
        <f t="shared" ref="CQ12:CQ25" si="45">CONCATENATE(O12,".",Q12)</f>
        <v>.</v>
      </c>
      <c r="CR12" s="64" t="e">
        <f>VLOOKUP(CQ12,Лист1!$CW:$CW,1,0)</f>
        <v>#N/A</v>
      </c>
      <c r="CS12" s="53" t="e">
        <f t="shared" ref="CS12:CS25" si="46">IF(CQ12=CR12,1,0)</f>
        <v>#N/A</v>
      </c>
      <c r="CT12" s="35" t="str">
        <f t="shared" ref="CT12:CT25" si="47">IF(ISNA(CS12),"0",CS12)</f>
        <v>0</v>
      </c>
      <c r="CV12" s="64" t="e">
        <f>VLOOKUP(O12,Лист1!$CY:$DA,2,0)</f>
        <v>#N/A</v>
      </c>
      <c r="CW12" s="221">
        <f t="shared" ref="CW12:CW25" si="48">P12</f>
        <v>0</v>
      </c>
      <c r="CX12" s="64" t="e">
        <f>VLOOKUP(E12,Лист1!$CY:$DA,2,0)</f>
        <v>#N/A</v>
      </c>
      <c r="CY12" s="64" t="e">
        <f>VLOOKUP(G12,Лист1!$CY$76:$DA$87,2,0)</f>
        <v>#N/A</v>
      </c>
      <c r="CZ12" s="64" t="e">
        <f>VLOOKUP(G12,Лист1!$CY:$DA,2,0)</f>
        <v>#N/A</v>
      </c>
      <c r="DA12" s="64" t="e">
        <f>VLOOKUP(H12,Лист1!$CY:$DA,2,0)</f>
        <v>#N/A</v>
      </c>
      <c r="DB12" s="64">
        <f t="shared" ref="DB12:DB25" si="49">I12</f>
        <v>0</v>
      </c>
      <c r="DC12" s="64" t="e">
        <f>VLOOKUP(L12,Лист1!$CY:$DA,2,0)</f>
        <v>#N/A</v>
      </c>
      <c r="DD12" s="64" t="e">
        <f>VLOOKUP(CONCATENATE(L12,".",N12),Лист1!$CY:$DA,2,0)</f>
        <v>#N/A</v>
      </c>
      <c r="DE12" s="229" t="str">
        <f t="shared" ref="DE12:DE25" si="50">IF(R12="","",IF(OR(C12="ДП Добор",C12="ДП Гласфорд",C12="ДП Добор-ЛАДА"),"",R12))</f>
        <v/>
      </c>
      <c r="DG12" s="64" t="e">
        <f>VLOOKUP(Q12,Лист1!$CY:$DA,2,0)</f>
        <v>#N/A</v>
      </c>
      <c r="DH12" s="64" t="e">
        <f>VLOOKUP(G12,Лист1!$CY$76:$DA$87,3,0)</f>
        <v>#N/A</v>
      </c>
      <c r="DI12" s="64" t="e">
        <f>VLOOKUP(CONCATENATE(O12,".",CZ12),Лист1!$CY:$DA,2,0)</f>
        <v>#N/A</v>
      </c>
      <c r="DJ12" s="64" t="e">
        <f>VLOOKUP(H12,Лист1!$CY:$DA,2,0)</f>
        <v>#N/A</v>
      </c>
      <c r="DK12" s="64">
        <f t="shared" ref="DK12:DK25" si="51">I12</f>
        <v>0</v>
      </c>
      <c r="DL12" s="229" t="str">
        <f>IF(R12="","",VLOOKUP(Q12,Лист1!$CY:$DA,3,0)*R12)</f>
        <v/>
      </c>
    </row>
    <row r="13" spans="1:116">
      <c r="A13" s="24" t="str">
        <f t="shared" si="2"/>
        <v>.</v>
      </c>
      <c r="B13" s="79">
        <v>3</v>
      </c>
      <c r="C13" s="438"/>
      <c r="D13" s="439"/>
      <c r="E13" s="440"/>
      <c r="F13" s="438"/>
      <c r="G13" s="441"/>
      <c r="H13" s="438"/>
      <c r="I13" s="440"/>
      <c r="J13" s="438"/>
      <c r="K13" s="440"/>
      <c r="L13" s="438"/>
      <c r="M13" s="442"/>
      <c r="N13" s="443"/>
      <c r="O13" s="456"/>
      <c r="P13" s="444"/>
      <c r="Q13" s="457"/>
      <c r="R13" s="199"/>
      <c r="S13" s="176"/>
      <c r="T13" s="194" t="str">
        <f t="shared" si="0"/>
        <v/>
      </c>
      <c r="U13" s="202" t="str">
        <f t="shared" si="1"/>
        <v/>
      </c>
      <c r="W13" s="131" t="str">
        <f t="shared" si="3"/>
        <v>0</v>
      </c>
      <c r="X13" s="128" t="str">
        <f>IF(OR(R13="",R13=0),"",SUM(ORDER!H15:H17))</f>
        <v/>
      </c>
      <c r="Y13" s="64" t="str">
        <f t="shared" si="4"/>
        <v>..</v>
      </c>
      <c r="Z13" s="64" t="str">
        <f>CONCATENATE(C13,".",E13,".",F13)</f>
        <v>..</v>
      </c>
      <c r="AB13" s="34">
        <f t="shared" si="5"/>
        <v>1</v>
      </c>
      <c r="AC13" s="72">
        <f t="shared" si="6"/>
        <v>13</v>
      </c>
      <c r="AD13" s="63" t="str">
        <f>CONCATENATE(C13,".",D13)</f>
        <v>.</v>
      </c>
      <c r="AE13" s="64" t="e">
        <f>VLOOKUP(AD13,Лист1!$AW:$AW,1,0)</f>
        <v>#N/A</v>
      </c>
      <c r="AF13" s="53" t="e">
        <f t="shared" si="8"/>
        <v>#N/A</v>
      </c>
      <c r="AG13" s="35" t="str">
        <f t="shared" si="9"/>
        <v>0</v>
      </c>
      <c r="AI13" s="63" t="str">
        <f t="shared" si="10"/>
        <v>..</v>
      </c>
      <c r="AJ13" s="64" t="e">
        <f>VLOOKUP(AI13,Лист1!$BA:$BA,1,0)</f>
        <v>#N/A</v>
      </c>
      <c r="AK13" s="53" t="e">
        <f t="shared" si="11"/>
        <v>#N/A</v>
      </c>
      <c r="AL13" s="35" t="str">
        <f t="shared" si="12"/>
        <v>0</v>
      </c>
      <c r="AN13" s="63" t="str">
        <f t="shared" si="13"/>
        <v>.</v>
      </c>
      <c r="AO13" s="64" t="e">
        <f>VLOOKUP(AN13,Лист1!$BE:$BE,1,0)</f>
        <v>#N/A</v>
      </c>
      <c r="AP13" s="53" t="e">
        <f t="shared" si="14"/>
        <v>#N/A</v>
      </c>
      <c r="AQ13" s="35" t="str">
        <f t="shared" si="15"/>
        <v>0</v>
      </c>
      <c r="AS13" s="63" t="str">
        <f t="shared" si="16"/>
        <v>.</v>
      </c>
      <c r="AT13" s="64" t="e">
        <f>VLOOKUP(AS13,Лист1!$BI:$BI,1,0)</f>
        <v>#N/A</v>
      </c>
      <c r="AU13" s="53" t="e">
        <f t="shared" si="17"/>
        <v>#N/A</v>
      </c>
      <c r="AV13" s="35" t="str">
        <f t="shared" si="18"/>
        <v>0</v>
      </c>
      <c r="AX13" s="63" t="str">
        <f t="shared" si="19"/>
        <v>.</v>
      </c>
      <c r="AY13" s="64" t="e">
        <f>VLOOKUP(AX13,Лист1!$BM:$BM,1,0)</f>
        <v>#N/A</v>
      </c>
      <c r="AZ13" s="53" t="e">
        <f t="shared" si="20"/>
        <v>#N/A</v>
      </c>
      <c r="BA13" s="35" t="str">
        <f t="shared" si="21"/>
        <v>0</v>
      </c>
      <c r="BC13" s="63" t="str">
        <f t="shared" si="22"/>
        <v>.</v>
      </c>
      <c r="BD13" s="64" t="str">
        <f>VLOOKUP(BC13,Лист1!$BQ:$BQ,1,0)</f>
        <v>.</v>
      </c>
      <c r="BE13" s="53">
        <f t="shared" si="23"/>
        <v>1</v>
      </c>
      <c r="BF13" s="35">
        <f t="shared" si="24"/>
        <v>1</v>
      </c>
      <c r="BH13" s="63" t="str">
        <f t="shared" si="25"/>
        <v>..</v>
      </c>
      <c r="BI13" s="64" t="e">
        <f>VLOOKUP(BH13,Лист1!$BU:$BU,1,0)</f>
        <v>#N/A</v>
      </c>
      <c r="BJ13" s="53" t="e">
        <f t="shared" si="26"/>
        <v>#N/A</v>
      </c>
      <c r="BK13" s="35" t="str">
        <f t="shared" si="27"/>
        <v>0</v>
      </c>
      <c r="BM13" s="63" t="str">
        <f t="shared" si="28"/>
        <v>..</v>
      </c>
      <c r="BN13" s="64" t="e">
        <f>VLOOKUP(BM13,Лист1!$BY:$BY,1,0)</f>
        <v>#N/A</v>
      </c>
      <c r="BO13" s="53" t="e">
        <f t="shared" si="29"/>
        <v>#N/A</v>
      </c>
      <c r="BP13" s="35" t="str">
        <f t="shared" si="30"/>
        <v>0</v>
      </c>
      <c r="BR13" s="63" t="str">
        <f t="shared" si="31"/>
        <v>...</v>
      </c>
      <c r="BS13" s="64" t="e">
        <f>VLOOKUP(BR13,Лист1!$CC:$CC,1,0)</f>
        <v>#N/A</v>
      </c>
      <c r="BT13" s="53" t="e">
        <f t="shared" si="32"/>
        <v>#N/A</v>
      </c>
      <c r="BU13" s="35" t="str">
        <f t="shared" si="33"/>
        <v>0</v>
      </c>
      <c r="BW13" s="63" t="str">
        <f>CONCATENATE(C13,".",E13,".",F13,".",M13)</f>
        <v>...</v>
      </c>
      <c r="BX13" s="492" t="e">
        <f>VLOOKUP(BW13,Лист1!$CG:$CG,1,0)</f>
        <v>#N/A</v>
      </c>
      <c r="BY13" s="53" t="e">
        <f t="shared" si="34"/>
        <v>#N/A</v>
      </c>
      <c r="BZ13" s="35" t="str">
        <f t="shared" si="35"/>
        <v>0</v>
      </c>
      <c r="CB13" s="63" t="str">
        <f t="shared" si="36"/>
        <v>.</v>
      </c>
      <c r="CC13" s="64" t="e">
        <f>VLOOKUP(CB13,Лист1!$CK:$CK,1,0)</f>
        <v>#N/A</v>
      </c>
      <c r="CD13" s="53" t="e">
        <f t="shared" si="37"/>
        <v>#N/A</v>
      </c>
      <c r="CE13" s="35" t="str">
        <f t="shared" si="38"/>
        <v>0</v>
      </c>
      <c r="CG13" s="63" t="str">
        <f t="shared" si="39"/>
        <v>...</v>
      </c>
      <c r="CH13" s="64" t="e">
        <f>VLOOKUP(CG13,Лист1!$CO:$CO,1,0)</f>
        <v>#N/A</v>
      </c>
      <c r="CI13" s="53" t="e">
        <f t="shared" si="40"/>
        <v>#N/A</v>
      </c>
      <c r="CJ13" s="35" t="str">
        <f t="shared" si="41"/>
        <v>0</v>
      </c>
      <c r="CL13" s="63" t="str">
        <f t="shared" si="42"/>
        <v>.</v>
      </c>
      <c r="CM13" s="64" t="e">
        <f>VLOOKUP(CL13,Лист1!$CS:$CS,1,0)</f>
        <v>#N/A</v>
      </c>
      <c r="CN13" s="53" t="e">
        <f t="shared" si="43"/>
        <v>#N/A</v>
      </c>
      <c r="CO13" s="35" t="str">
        <f t="shared" si="44"/>
        <v>0</v>
      </c>
      <c r="CQ13" s="63" t="str">
        <f t="shared" si="45"/>
        <v>.</v>
      </c>
      <c r="CR13" s="64" t="e">
        <f>VLOOKUP(CQ13,Лист1!$CW:$CW,1,0)</f>
        <v>#N/A</v>
      </c>
      <c r="CS13" s="53" t="e">
        <f t="shared" si="46"/>
        <v>#N/A</v>
      </c>
      <c r="CT13" s="35" t="str">
        <f t="shared" si="47"/>
        <v>0</v>
      </c>
      <c r="CV13" s="64" t="e">
        <f>VLOOKUP(O13,Лист1!$CY:$DA,2,0)</f>
        <v>#N/A</v>
      </c>
      <c r="CW13" s="221">
        <f>P13</f>
        <v>0</v>
      </c>
      <c r="CX13" s="64" t="e">
        <f>VLOOKUP(E13,Лист1!$CY:$DA,2,0)</f>
        <v>#N/A</v>
      </c>
      <c r="CY13" s="64" t="e">
        <f>VLOOKUP(G13,Лист1!$CY$76:$DA$87,2,0)</f>
        <v>#N/A</v>
      </c>
      <c r="CZ13" s="64" t="e">
        <f>VLOOKUP(G13,Лист1!$CY:$DA,2,0)</f>
        <v>#N/A</v>
      </c>
      <c r="DA13" s="64" t="e">
        <f>VLOOKUP(H13,Лист1!$CY:$DA,2,0)</f>
        <v>#N/A</v>
      </c>
      <c r="DB13" s="64">
        <f t="shared" si="49"/>
        <v>0</v>
      </c>
      <c r="DC13" s="64" t="e">
        <f>VLOOKUP(L13,Лист1!$CY:$DA,2,0)</f>
        <v>#N/A</v>
      </c>
      <c r="DD13" s="64" t="e">
        <f>VLOOKUP(CONCATENATE(L13,".",N13),Лист1!$CY:$DA,2,0)</f>
        <v>#N/A</v>
      </c>
      <c r="DE13" s="229" t="str">
        <f t="shared" si="50"/>
        <v/>
      </c>
      <c r="DG13" s="64" t="e">
        <f>VLOOKUP(Q13,Лист1!$CY:$DA,2,0)</f>
        <v>#N/A</v>
      </c>
      <c r="DH13" s="64" t="e">
        <f>VLOOKUP(G13,Лист1!$CY$76:$DA$87,3,0)</f>
        <v>#N/A</v>
      </c>
      <c r="DI13" s="64" t="e">
        <f>VLOOKUP(CONCATENATE(O13,".",CZ13),Лист1!$CY:$DA,2,0)</f>
        <v>#N/A</v>
      </c>
      <c r="DJ13" s="64" t="e">
        <f>VLOOKUP(H13,Лист1!$CY:$DA,2,0)</f>
        <v>#N/A</v>
      </c>
      <c r="DK13" s="64">
        <f t="shared" si="51"/>
        <v>0</v>
      </c>
      <c r="DL13" s="229" t="str">
        <f>IF(R13="","",VLOOKUP(Q13,Лист1!$CY:$DA,3,0)*R13)</f>
        <v/>
      </c>
    </row>
    <row r="14" spans="1:116">
      <c r="A14" s="24" t="str">
        <f t="shared" si="2"/>
        <v>.</v>
      </c>
      <c r="B14" s="80">
        <v>4</v>
      </c>
      <c r="C14" s="438"/>
      <c r="D14" s="439"/>
      <c r="E14" s="440"/>
      <c r="F14" s="438"/>
      <c r="G14" s="441"/>
      <c r="H14" s="438"/>
      <c r="I14" s="440"/>
      <c r="J14" s="438"/>
      <c r="K14" s="440"/>
      <c r="L14" s="438"/>
      <c r="M14" s="442"/>
      <c r="N14" s="443"/>
      <c r="O14" s="456"/>
      <c r="P14" s="444"/>
      <c r="Q14" s="457"/>
      <c r="R14" s="199"/>
      <c r="S14" s="113"/>
      <c r="T14" s="194" t="str">
        <f t="shared" si="0"/>
        <v/>
      </c>
      <c r="U14" s="202" t="str">
        <f t="shared" si="1"/>
        <v/>
      </c>
      <c r="W14" s="131" t="str">
        <f t="shared" si="3"/>
        <v>0</v>
      </c>
      <c r="X14" s="128" t="str">
        <f>IF(OR(R14="",R14=0),"",SUM(ORDER!H18:H20))</f>
        <v/>
      </c>
      <c r="Y14" s="64" t="str">
        <f t="shared" si="4"/>
        <v>..</v>
      </c>
      <c r="Z14" s="64" t="str">
        <f>CONCATENATE(C14,".",E14,".",F14)</f>
        <v>..</v>
      </c>
      <c r="AB14" s="34">
        <f t="shared" si="5"/>
        <v>1</v>
      </c>
      <c r="AC14" s="72">
        <f t="shared" si="6"/>
        <v>13</v>
      </c>
      <c r="AD14" s="63" t="str">
        <f t="shared" si="7"/>
        <v>.</v>
      </c>
      <c r="AE14" s="64" t="e">
        <f>VLOOKUP(AD14,Лист1!$AW:$AW,1,0)</f>
        <v>#N/A</v>
      </c>
      <c r="AF14" s="53" t="e">
        <f t="shared" si="8"/>
        <v>#N/A</v>
      </c>
      <c r="AG14" s="35" t="str">
        <f t="shared" si="9"/>
        <v>0</v>
      </c>
      <c r="AI14" s="63" t="str">
        <f t="shared" si="10"/>
        <v>..</v>
      </c>
      <c r="AJ14" s="64" t="e">
        <f>VLOOKUP(AI14,Лист1!$BA:$BA,1,0)</f>
        <v>#N/A</v>
      </c>
      <c r="AK14" s="53" t="e">
        <f t="shared" si="11"/>
        <v>#N/A</v>
      </c>
      <c r="AL14" s="35" t="str">
        <f t="shared" si="12"/>
        <v>0</v>
      </c>
      <c r="AN14" s="63" t="str">
        <f t="shared" si="13"/>
        <v>.</v>
      </c>
      <c r="AO14" s="64" t="e">
        <f>VLOOKUP(AN14,Лист1!$BE:$BE,1,0)</f>
        <v>#N/A</v>
      </c>
      <c r="AP14" s="53" t="e">
        <f t="shared" si="14"/>
        <v>#N/A</v>
      </c>
      <c r="AQ14" s="35" t="str">
        <f t="shared" si="15"/>
        <v>0</v>
      </c>
      <c r="AS14" s="63" t="str">
        <f t="shared" si="16"/>
        <v>.</v>
      </c>
      <c r="AT14" s="64" t="e">
        <f>VLOOKUP(AS14,Лист1!$BI:$BI,1,0)</f>
        <v>#N/A</v>
      </c>
      <c r="AU14" s="53" t="e">
        <f t="shared" si="17"/>
        <v>#N/A</v>
      </c>
      <c r="AV14" s="35" t="str">
        <f t="shared" si="18"/>
        <v>0</v>
      </c>
      <c r="AX14" s="63" t="str">
        <f t="shared" si="19"/>
        <v>.</v>
      </c>
      <c r="AY14" s="64" t="e">
        <f>VLOOKUP(AX14,Лист1!$BM:$BM,1,0)</f>
        <v>#N/A</v>
      </c>
      <c r="AZ14" s="53" t="e">
        <f t="shared" si="20"/>
        <v>#N/A</v>
      </c>
      <c r="BA14" s="35" t="str">
        <f t="shared" si="21"/>
        <v>0</v>
      </c>
      <c r="BC14" s="63" t="str">
        <f t="shared" si="22"/>
        <v>.</v>
      </c>
      <c r="BD14" s="64" t="str">
        <f>VLOOKUP(BC14,Лист1!$BQ:$BQ,1,0)</f>
        <v>.</v>
      </c>
      <c r="BE14" s="53">
        <f t="shared" si="23"/>
        <v>1</v>
      </c>
      <c r="BF14" s="35">
        <f t="shared" si="24"/>
        <v>1</v>
      </c>
      <c r="BH14" s="63" t="str">
        <f t="shared" si="25"/>
        <v>..</v>
      </c>
      <c r="BI14" s="64" t="e">
        <f>VLOOKUP(BH14,Лист1!$BU:$BU,1,0)</f>
        <v>#N/A</v>
      </c>
      <c r="BJ14" s="53" t="e">
        <f t="shared" si="26"/>
        <v>#N/A</v>
      </c>
      <c r="BK14" s="35" t="str">
        <f t="shared" si="27"/>
        <v>0</v>
      </c>
      <c r="BM14" s="63" t="str">
        <f t="shared" si="28"/>
        <v>..</v>
      </c>
      <c r="BN14" s="64" t="e">
        <f>VLOOKUP(BM14,Лист1!$BY:$BY,1,0)</f>
        <v>#N/A</v>
      </c>
      <c r="BO14" s="53" t="e">
        <f t="shared" si="29"/>
        <v>#N/A</v>
      </c>
      <c r="BP14" s="35" t="str">
        <f t="shared" si="30"/>
        <v>0</v>
      </c>
      <c r="BR14" s="63" t="str">
        <f t="shared" si="31"/>
        <v>...</v>
      </c>
      <c r="BS14" s="64" t="e">
        <f>VLOOKUP(BR14,Лист1!$CC:$CC,1,0)</f>
        <v>#N/A</v>
      </c>
      <c r="BT14" s="53" t="e">
        <f t="shared" si="32"/>
        <v>#N/A</v>
      </c>
      <c r="BU14" s="35" t="str">
        <f t="shared" si="33"/>
        <v>0</v>
      </c>
      <c r="BW14" s="63" t="str">
        <f t="shared" ref="BW14:BW25" si="52">CONCATENATE(C14,".",E14,".",F14,".",M14)</f>
        <v>...</v>
      </c>
      <c r="BX14" s="64" t="e">
        <f>VLOOKUP(BW14,Лист1!$CG:$CG,1,0)</f>
        <v>#N/A</v>
      </c>
      <c r="BY14" s="53" t="e">
        <f t="shared" si="34"/>
        <v>#N/A</v>
      </c>
      <c r="BZ14" s="35" t="str">
        <f t="shared" si="35"/>
        <v>0</v>
      </c>
      <c r="CB14" s="63" t="str">
        <f t="shared" si="36"/>
        <v>.</v>
      </c>
      <c r="CC14" s="64" t="e">
        <f>VLOOKUP(CB14,Лист1!$CK:$CK,1,0)</f>
        <v>#N/A</v>
      </c>
      <c r="CD14" s="53" t="e">
        <f t="shared" si="37"/>
        <v>#N/A</v>
      </c>
      <c r="CE14" s="35" t="str">
        <f t="shared" si="38"/>
        <v>0</v>
      </c>
      <c r="CG14" s="63" t="str">
        <f t="shared" si="39"/>
        <v>...</v>
      </c>
      <c r="CH14" s="64" t="e">
        <f>VLOOKUP(CG14,Лист1!$CO:$CO,1,0)</f>
        <v>#N/A</v>
      </c>
      <c r="CI14" s="53" t="e">
        <f t="shared" si="40"/>
        <v>#N/A</v>
      </c>
      <c r="CJ14" s="35" t="str">
        <f t="shared" si="41"/>
        <v>0</v>
      </c>
      <c r="CL14" s="63" t="str">
        <f t="shared" si="42"/>
        <v>.</v>
      </c>
      <c r="CM14" s="64" t="e">
        <f>VLOOKUP(CL14,Лист1!$CS:$CS,1,0)</f>
        <v>#N/A</v>
      </c>
      <c r="CN14" s="53" t="e">
        <f t="shared" si="43"/>
        <v>#N/A</v>
      </c>
      <c r="CO14" s="35" t="str">
        <f t="shared" si="44"/>
        <v>0</v>
      </c>
      <c r="CQ14" s="63" t="str">
        <f t="shared" si="45"/>
        <v>.</v>
      </c>
      <c r="CR14" s="64" t="e">
        <f>VLOOKUP(CQ14,Лист1!$CW:$CW,1,0)</f>
        <v>#N/A</v>
      </c>
      <c r="CS14" s="53" t="e">
        <f t="shared" si="46"/>
        <v>#N/A</v>
      </c>
      <c r="CT14" s="35" t="str">
        <f t="shared" si="47"/>
        <v>0</v>
      </c>
      <c r="CV14" s="64" t="e">
        <f>VLOOKUP(O14,Лист1!$CY:$DA,2,0)</f>
        <v>#N/A</v>
      </c>
      <c r="CW14" s="221">
        <f t="shared" si="48"/>
        <v>0</v>
      </c>
      <c r="CX14" s="64" t="e">
        <f>VLOOKUP(E14,Лист1!$CY:$DA,2,0)</f>
        <v>#N/A</v>
      </c>
      <c r="CY14" s="64" t="e">
        <f>VLOOKUP(G14,Лист1!$CY$76:$DA$87,2,0)</f>
        <v>#N/A</v>
      </c>
      <c r="CZ14" s="64" t="e">
        <f>VLOOKUP(G14,Лист1!$CY:$DA,2,0)</f>
        <v>#N/A</v>
      </c>
      <c r="DA14" s="64" t="e">
        <f>VLOOKUP(H14,Лист1!$CY:$DA,2,0)</f>
        <v>#N/A</v>
      </c>
      <c r="DB14" s="64">
        <f t="shared" si="49"/>
        <v>0</v>
      </c>
      <c r="DC14" s="64" t="e">
        <f>VLOOKUP(L14,Лист1!$CY:$DA,2,0)</f>
        <v>#N/A</v>
      </c>
      <c r="DD14" s="64" t="e">
        <f>VLOOKUP(CONCATENATE(L14,".",N14),Лист1!$CY:$DA,2,0)</f>
        <v>#N/A</v>
      </c>
      <c r="DE14" s="229" t="str">
        <f t="shared" si="50"/>
        <v/>
      </c>
      <c r="DG14" s="64" t="e">
        <f>VLOOKUP(Q14,Лист1!$CY:$DA,2,0)</f>
        <v>#N/A</v>
      </c>
      <c r="DH14" s="64" t="e">
        <f>VLOOKUP(G14,Лист1!$CY$76:$DA$87,3,0)</f>
        <v>#N/A</v>
      </c>
      <c r="DI14" s="64" t="e">
        <f>VLOOKUP(CONCATENATE(O14,".",CZ14),Лист1!$CY:$DA,2,0)</f>
        <v>#N/A</v>
      </c>
      <c r="DJ14" s="64" t="e">
        <f>VLOOKUP(H14,Лист1!$CY:$DA,2,0)</f>
        <v>#N/A</v>
      </c>
      <c r="DK14" s="64">
        <f t="shared" si="51"/>
        <v>0</v>
      </c>
      <c r="DL14" s="229" t="str">
        <f>IF(R14="","",VLOOKUP(Q14,Лист1!$CY:$DA,3,0)*R14)</f>
        <v/>
      </c>
    </row>
    <row r="15" spans="1:116">
      <c r="A15" s="24" t="str">
        <f t="shared" si="2"/>
        <v>.</v>
      </c>
      <c r="B15" s="79">
        <v>5</v>
      </c>
      <c r="C15" s="438"/>
      <c r="D15" s="439"/>
      <c r="E15" s="440"/>
      <c r="F15" s="438"/>
      <c r="G15" s="441"/>
      <c r="H15" s="438"/>
      <c r="I15" s="440"/>
      <c r="J15" s="438"/>
      <c r="K15" s="440"/>
      <c r="L15" s="438"/>
      <c r="M15" s="442"/>
      <c r="N15" s="443"/>
      <c r="O15" s="444"/>
      <c r="P15" s="444"/>
      <c r="Q15" s="444"/>
      <c r="R15" s="199"/>
      <c r="S15" s="112"/>
      <c r="T15" s="194" t="str">
        <f t="shared" si="0"/>
        <v/>
      </c>
      <c r="U15" s="202" t="str">
        <f t="shared" si="1"/>
        <v/>
      </c>
      <c r="W15" s="131" t="str">
        <f t="shared" si="3"/>
        <v>0</v>
      </c>
      <c r="X15" s="128" t="str">
        <f>IF(OR(R15="",R15=0),"",SUM(ORDER!H21:H23))</f>
        <v/>
      </c>
      <c r="Y15" s="64" t="str">
        <f t="shared" si="4"/>
        <v>..</v>
      </c>
      <c r="Z15" s="64" t="str">
        <f t="shared" ref="Z15:Z25" si="53">CONCATENATE(C15,".",E15,".",F15)</f>
        <v>..</v>
      </c>
      <c r="AB15" s="34">
        <f t="shared" si="5"/>
        <v>1</v>
      </c>
      <c r="AC15" s="72">
        <f t="shared" si="6"/>
        <v>13</v>
      </c>
      <c r="AD15" s="63" t="str">
        <f t="shared" si="7"/>
        <v>.</v>
      </c>
      <c r="AE15" s="64" t="e">
        <f>VLOOKUP(AD15,Лист1!$AW:$AW,1,0)</f>
        <v>#N/A</v>
      </c>
      <c r="AF15" s="53" t="e">
        <f t="shared" si="8"/>
        <v>#N/A</v>
      </c>
      <c r="AG15" s="35" t="str">
        <f t="shared" si="9"/>
        <v>0</v>
      </c>
      <c r="AI15" s="63" t="str">
        <f t="shared" si="10"/>
        <v>..</v>
      </c>
      <c r="AJ15" s="64" t="e">
        <f>VLOOKUP(AI15,Лист1!$BA:$BA,1,0)</f>
        <v>#N/A</v>
      </c>
      <c r="AK15" s="53" t="e">
        <f t="shared" si="11"/>
        <v>#N/A</v>
      </c>
      <c r="AL15" s="35" t="str">
        <f t="shared" si="12"/>
        <v>0</v>
      </c>
      <c r="AN15" s="63" t="str">
        <f t="shared" si="13"/>
        <v>.</v>
      </c>
      <c r="AO15" s="64" t="e">
        <f>VLOOKUP(AN15,Лист1!$BE:$BE,1,0)</f>
        <v>#N/A</v>
      </c>
      <c r="AP15" s="53" t="e">
        <f t="shared" si="14"/>
        <v>#N/A</v>
      </c>
      <c r="AQ15" s="35" t="str">
        <f t="shared" si="15"/>
        <v>0</v>
      </c>
      <c r="AS15" s="63" t="str">
        <f t="shared" si="16"/>
        <v>.</v>
      </c>
      <c r="AT15" s="64" t="e">
        <f>VLOOKUP(AS15,Лист1!$BI:$BI,1,0)</f>
        <v>#N/A</v>
      </c>
      <c r="AU15" s="53" t="e">
        <f t="shared" si="17"/>
        <v>#N/A</v>
      </c>
      <c r="AV15" s="35" t="str">
        <f t="shared" si="18"/>
        <v>0</v>
      </c>
      <c r="AX15" s="63" t="str">
        <f t="shared" si="19"/>
        <v>.</v>
      </c>
      <c r="AY15" s="64" t="e">
        <f>VLOOKUP(AX15,Лист1!$BM:$BM,1,0)</f>
        <v>#N/A</v>
      </c>
      <c r="AZ15" s="53" t="e">
        <f t="shared" si="20"/>
        <v>#N/A</v>
      </c>
      <c r="BA15" s="35" t="str">
        <f t="shared" si="21"/>
        <v>0</v>
      </c>
      <c r="BC15" s="63" t="str">
        <f t="shared" si="22"/>
        <v>.</v>
      </c>
      <c r="BD15" s="64" t="str">
        <f>VLOOKUP(BC15,Лист1!$BQ:$BQ,1,0)</f>
        <v>.</v>
      </c>
      <c r="BE15" s="53">
        <f t="shared" si="23"/>
        <v>1</v>
      </c>
      <c r="BF15" s="35">
        <f t="shared" si="24"/>
        <v>1</v>
      </c>
      <c r="BH15" s="63" t="str">
        <f t="shared" si="25"/>
        <v>..</v>
      </c>
      <c r="BI15" s="64" t="e">
        <f>VLOOKUP(BH15,Лист1!$BU:$BU,1,0)</f>
        <v>#N/A</v>
      </c>
      <c r="BJ15" s="53" t="e">
        <f t="shared" si="26"/>
        <v>#N/A</v>
      </c>
      <c r="BK15" s="35" t="str">
        <f t="shared" si="27"/>
        <v>0</v>
      </c>
      <c r="BM15" s="63" t="str">
        <f t="shared" si="28"/>
        <v>..</v>
      </c>
      <c r="BN15" s="64" t="e">
        <f>VLOOKUP(BM15,Лист1!$BY:$BY,1,0)</f>
        <v>#N/A</v>
      </c>
      <c r="BO15" s="53" t="e">
        <f t="shared" si="29"/>
        <v>#N/A</v>
      </c>
      <c r="BP15" s="35" t="str">
        <f t="shared" si="30"/>
        <v>0</v>
      </c>
      <c r="BR15" s="63" t="str">
        <f t="shared" si="31"/>
        <v>...</v>
      </c>
      <c r="BS15" s="64" t="e">
        <f>VLOOKUP(BR15,Лист1!$CC:$CC,1,0)</f>
        <v>#N/A</v>
      </c>
      <c r="BT15" s="53" t="e">
        <f t="shared" si="32"/>
        <v>#N/A</v>
      </c>
      <c r="BU15" s="35" t="str">
        <f t="shared" si="33"/>
        <v>0</v>
      </c>
      <c r="BW15" s="63" t="str">
        <f t="shared" si="52"/>
        <v>...</v>
      </c>
      <c r="BX15" s="64" t="e">
        <f>VLOOKUP(BW15,Лист1!$CG:$CG,1,0)</f>
        <v>#N/A</v>
      </c>
      <c r="BY15" s="53" t="e">
        <f t="shared" si="34"/>
        <v>#N/A</v>
      </c>
      <c r="BZ15" s="35" t="str">
        <f t="shared" si="35"/>
        <v>0</v>
      </c>
      <c r="CB15" s="63" t="str">
        <f t="shared" si="36"/>
        <v>.</v>
      </c>
      <c r="CC15" s="64" t="e">
        <f>VLOOKUP(CB15,Лист1!$CK:$CK,1,0)</f>
        <v>#N/A</v>
      </c>
      <c r="CD15" s="53" t="e">
        <f t="shared" si="37"/>
        <v>#N/A</v>
      </c>
      <c r="CE15" s="35" t="str">
        <f t="shared" si="38"/>
        <v>0</v>
      </c>
      <c r="CG15" s="63" t="str">
        <f t="shared" si="39"/>
        <v>...</v>
      </c>
      <c r="CH15" s="64" t="e">
        <f>VLOOKUP(CG15,Лист1!$CO:$CO,1,0)</f>
        <v>#N/A</v>
      </c>
      <c r="CI15" s="53" t="e">
        <f t="shared" si="40"/>
        <v>#N/A</v>
      </c>
      <c r="CJ15" s="35" t="str">
        <f t="shared" si="41"/>
        <v>0</v>
      </c>
      <c r="CL15" s="63" t="str">
        <f t="shared" si="42"/>
        <v>.</v>
      </c>
      <c r="CM15" s="64" t="e">
        <f>VLOOKUP(CL15,Лист1!$CS:$CS,1,0)</f>
        <v>#N/A</v>
      </c>
      <c r="CN15" s="53" t="e">
        <f t="shared" si="43"/>
        <v>#N/A</v>
      </c>
      <c r="CO15" s="35" t="str">
        <f t="shared" si="44"/>
        <v>0</v>
      </c>
      <c r="CQ15" s="63" t="str">
        <f t="shared" si="45"/>
        <v>.</v>
      </c>
      <c r="CR15" s="64" t="e">
        <f>VLOOKUP(CQ15,Лист1!$CW:$CW,1,0)</f>
        <v>#N/A</v>
      </c>
      <c r="CS15" s="53" t="e">
        <f t="shared" si="46"/>
        <v>#N/A</v>
      </c>
      <c r="CT15" s="35" t="str">
        <f t="shared" si="47"/>
        <v>0</v>
      </c>
      <c r="CV15" s="64" t="e">
        <f>VLOOKUP(O15,Лист1!$CY:$DA,2,0)</f>
        <v>#N/A</v>
      </c>
      <c r="CW15" s="221">
        <f t="shared" si="48"/>
        <v>0</v>
      </c>
      <c r="CX15" s="64" t="e">
        <f>VLOOKUP(E15,Лист1!$CY:$DA,2,0)</f>
        <v>#N/A</v>
      </c>
      <c r="CY15" s="64" t="e">
        <f>VLOOKUP(G15,Лист1!$CY$76:$DA$87,2,0)</f>
        <v>#N/A</v>
      </c>
      <c r="CZ15" s="64" t="e">
        <f>VLOOKUP(G15,Лист1!$CY:$DA,2,0)</f>
        <v>#N/A</v>
      </c>
      <c r="DA15" s="64" t="e">
        <f>VLOOKUP(H15,Лист1!$CY:$DA,2,0)</f>
        <v>#N/A</v>
      </c>
      <c r="DB15" s="64">
        <f t="shared" si="49"/>
        <v>0</v>
      </c>
      <c r="DC15" s="64" t="e">
        <f>VLOOKUP(L15,Лист1!$CY:$DA,2,0)</f>
        <v>#N/A</v>
      </c>
      <c r="DD15" s="64" t="e">
        <f>VLOOKUP(CONCATENATE(L15,".",N15),Лист1!$CY:$DA,2,0)</f>
        <v>#N/A</v>
      </c>
      <c r="DE15" s="229" t="str">
        <f t="shared" si="50"/>
        <v/>
      </c>
      <c r="DG15" s="64" t="e">
        <f>VLOOKUP(Q15,Лист1!$CY:$DA,2,0)</f>
        <v>#N/A</v>
      </c>
      <c r="DH15" s="64" t="e">
        <f>VLOOKUP(G15,Лист1!$CY$76:$DA$87,3,0)</f>
        <v>#N/A</v>
      </c>
      <c r="DI15" s="64" t="e">
        <f>VLOOKUP(CONCATENATE(O15,".",CZ15),Лист1!$CY:$DA,2,0)</f>
        <v>#N/A</v>
      </c>
      <c r="DJ15" s="64" t="e">
        <f>VLOOKUP(H15,Лист1!$CY:$DA,2,0)</f>
        <v>#N/A</v>
      </c>
      <c r="DK15" s="64">
        <f t="shared" si="51"/>
        <v>0</v>
      </c>
      <c r="DL15" s="229" t="str">
        <f>IF(R15="","",VLOOKUP(Q15,Лист1!$CY:$DA,3,0)*R15)</f>
        <v/>
      </c>
    </row>
    <row r="16" spans="1:116">
      <c r="A16" s="24" t="str">
        <f t="shared" si="2"/>
        <v>.</v>
      </c>
      <c r="B16" s="79">
        <v>6</v>
      </c>
      <c r="C16" s="438"/>
      <c r="D16" s="439"/>
      <c r="E16" s="440"/>
      <c r="F16" s="438"/>
      <c r="G16" s="441"/>
      <c r="H16" s="438"/>
      <c r="I16" s="440"/>
      <c r="J16" s="438"/>
      <c r="K16" s="440"/>
      <c r="L16" s="438"/>
      <c r="M16" s="442"/>
      <c r="N16" s="443"/>
      <c r="O16" s="444"/>
      <c r="P16" s="444"/>
      <c r="Q16" s="444"/>
      <c r="R16" s="199"/>
      <c r="S16" s="112"/>
      <c r="T16" s="194" t="str">
        <f t="shared" si="0"/>
        <v/>
      </c>
      <c r="U16" s="202" t="str">
        <f t="shared" si="1"/>
        <v/>
      </c>
      <c r="W16" s="131" t="str">
        <f t="shared" si="3"/>
        <v>0</v>
      </c>
      <c r="X16" s="128" t="str">
        <f>IF(OR(R16="",R16=0),"",SUM(ORDER!H24:H26))</f>
        <v/>
      </c>
      <c r="Y16" s="64" t="str">
        <f t="shared" si="4"/>
        <v>..</v>
      </c>
      <c r="Z16" s="64" t="str">
        <f t="shared" si="53"/>
        <v>..</v>
      </c>
      <c r="AB16" s="34">
        <f t="shared" si="5"/>
        <v>1</v>
      </c>
      <c r="AC16" s="72">
        <f t="shared" si="6"/>
        <v>13</v>
      </c>
      <c r="AD16" s="63" t="str">
        <f t="shared" si="7"/>
        <v>.</v>
      </c>
      <c r="AE16" s="64" t="e">
        <f>VLOOKUP(AD16,Лист1!$AW:$AW,1,0)</f>
        <v>#N/A</v>
      </c>
      <c r="AF16" s="53" t="e">
        <f t="shared" si="8"/>
        <v>#N/A</v>
      </c>
      <c r="AG16" s="35" t="str">
        <f t="shared" si="9"/>
        <v>0</v>
      </c>
      <c r="AI16" s="63" t="str">
        <f t="shared" si="10"/>
        <v>..</v>
      </c>
      <c r="AJ16" s="64" t="e">
        <f>VLOOKUP(AI16,Лист1!$BA:$BA,1,0)</f>
        <v>#N/A</v>
      </c>
      <c r="AK16" s="53" t="e">
        <f t="shared" si="11"/>
        <v>#N/A</v>
      </c>
      <c r="AL16" s="35" t="str">
        <f t="shared" si="12"/>
        <v>0</v>
      </c>
      <c r="AN16" s="63" t="str">
        <f t="shared" si="13"/>
        <v>.</v>
      </c>
      <c r="AO16" s="64" t="e">
        <f>VLOOKUP(AN16,Лист1!$BE:$BE,1,0)</f>
        <v>#N/A</v>
      </c>
      <c r="AP16" s="53" t="e">
        <f t="shared" si="14"/>
        <v>#N/A</v>
      </c>
      <c r="AQ16" s="35" t="str">
        <f t="shared" si="15"/>
        <v>0</v>
      </c>
      <c r="AS16" s="63" t="str">
        <f t="shared" si="16"/>
        <v>.</v>
      </c>
      <c r="AT16" s="64" t="e">
        <f>VLOOKUP(AS16,Лист1!$BI:$BI,1,0)</f>
        <v>#N/A</v>
      </c>
      <c r="AU16" s="53" t="e">
        <f t="shared" si="17"/>
        <v>#N/A</v>
      </c>
      <c r="AV16" s="35" t="str">
        <f t="shared" si="18"/>
        <v>0</v>
      </c>
      <c r="AX16" s="63" t="str">
        <f t="shared" si="19"/>
        <v>.</v>
      </c>
      <c r="AY16" s="64" t="e">
        <f>VLOOKUP(AX16,Лист1!$BM:$BM,1,0)</f>
        <v>#N/A</v>
      </c>
      <c r="AZ16" s="53" t="e">
        <f t="shared" si="20"/>
        <v>#N/A</v>
      </c>
      <c r="BA16" s="35" t="str">
        <f t="shared" si="21"/>
        <v>0</v>
      </c>
      <c r="BC16" s="63" t="str">
        <f t="shared" si="22"/>
        <v>.</v>
      </c>
      <c r="BD16" s="64" t="str">
        <f>VLOOKUP(BC16,Лист1!$BQ:$BQ,1,0)</f>
        <v>.</v>
      </c>
      <c r="BE16" s="53">
        <f t="shared" si="23"/>
        <v>1</v>
      </c>
      <c r="BF16" s="35">
        <f t="shared" si="24"/>
        <v>1</v>
      </c>
      <c r="BH16" s="63" t="str">
        <f t="shared" si="25"/>
        <v>..</v>
      </c>
      <c r="BI16" s="64" t="e">
        <f>VLOOKUP(BH16,Лист1!$BU:$BU,1,0)</f>
        <v>#N/A</v>
      </c>
      <c r="BJ16" s="53" t="e">
        <f t="shared" si="26"/>
        <v>#N/A</v>
      </c>
      <c r="BK16" s="35" t="str">
        <f t="shared" si="27"/>
        <v>0</v>
      </c>
      <c r="BM16" s="63" t="str">
        <f t="shared" si="28"/>
        <v>..</v>
      </c>
      <c r="BN16" s="64" t="e">
        <f>VLOOKUP(BM16,Лист1!$BY:$BY,1,0)</f>
        <v>#N/A</v>
      </c>
      <c r="BO16" s="53" t="e">
        <f t="shared" si="29"/>
        <v>#N/A</v>
      </c>
      <c r="BP16" s="35" t="str">
        <f t="shared" si="30"/>
        <v>0</v>
      </c>
      <c r="BR16" s="63" t="str">
        <f t="shared" si="31"/>
        <v>...</v>
      </c>
      <c r="BS16" s="64" t="e">
        <f>VLOOKUP(BR16,Лист1!$CC:$CC,1,0)</f>
        <v>#N/A</v>
      </c>
      <c r="BT16" s="53" t="e">
        <f t="shared" si="32"/>
        <v>#N/A</v>
      </c>
      <c r="BU16" s="35" t="str">
        <f t="shared" si="33"/>
        <v>0</v>
      </c>
      <c r="BW16" s="63" t="str">
        <f t="shared" si="52"/>
        <v>...</v>
      </c>
      <c r="BX16" s="64" t="e">
        <f>VLOOKUP(BW16,Лист1!$CG:$CG,1,0)</f>
        <v>#N/A</v>
      </c>
      <c r="BY16" s="53" t="e">
        <f t="shared" si="34"/>
        <v>#N/A</v>
      </c>
      <c r="BZ16" s="35" t="str">
        <f t="shared" si="35"/>
        <v>0</v>
      </c>
      <c r="CB16" s="63" t="str">
        <f t="shared" si="36"/>
        <v>.</v>
      </c>
      <c r="CC16" s="64" t="e">
        <f>VLOOKUP(CB16,Лист1!$CK:$CK,1,0)</f>
        <v>#N/A</v>
      </c>
      <c r="CD16" s="53" t="e">
        <f t="shared" si="37"/>
        <v>#N/A</v>
      </c>
      <c r="CE16" s="35" t="str">
        <f t="shared" si="38"/>
        <v>0</v>
      </c>
      <c r="CG16" s="63" t="str">
        <f t="shared" si="39"/>
        <v>...</v>
      </c>
      <c r="CH16" s="64" t="e">
        <f>VLOOKUP(CG16,Лист1!$CO:$CO,1,0)</f>
        <v>#N/A</v>
      </c>
      <c r="CI16" s="53" t="e">
        <f t="shared" si="40"/>
        <v>#N/A</v>
      </c>
      <c r="CJ16" s="35" t="str">
        <f t="shared" si="41"/>
        <v>0</v>
      </c>
      <c r="CL16" s="63" t="str">
        <f t="shared" si="42"/>
        <v>.</v>
      </c>
      <c r="CM16" s="64" t="e">
        <f>VLOOKUP(CL16,Лист1!$CS:$CS,1,0)</f>
        <v>#N/A</v>
      </c>
      <c r="CN16" s="53" t="e">
        <f t="shared" si="43"/>
        <v>#N/A</v>
      </c>
      <c r="CO16" s="35" t="str">
        <f t="shared" si="44"/>
        <v>0</v>
      </c>
      <c r="CQ16" s="63" t="str">
        <f t="shared" si="45"/>
        <v>.</v>
      </c>
      <c r="CR16" s="64" t="e">
        <f>VLOOKUP(CQ16,Лист1!$CW:$CW,1,0)</f>
        <v>#N/A</v>
      </c>
      <c r="CS16" s="53" t="e">
        <f t="shared" si="46"/>
        <v>#N/A</v>
      </c>
      <c r="CT16" s="35" t="str">
        <f t="shared" si="47"/>
        <v>0</v>
      </c>
      <c r="CV16" s="64" t="e">
        <f>VLOOKUP(O16,Лист1!$CY:$DA,2,0)</f>
        <v>#N/A</v>
      </c>
      <c r="CW16" s="221">
        <f t="shared" si="48"/>
        <v>0</v>
      </c>
      <c r="CX16" s="64" t="e">
        <f>VLOOKUP(E16,Лист1!$CY:$DA,2,0)</f>
        <v>#N/A</v>
      </c>
      <c r="CY16" s="64" t="e">
        <f>VLOOKUP(G16,Лист1!$CY$76:$DA$87,2,0)</f>
        <v>#N/A</v>
      </c>
      <c r="CZ16" s="64" t="e">
        <f>VLOOKUP(G16,Лист1!$CY:$DA,2,0)</f>
        <v>#N/A</v>
      </c>
      <c r="DA16" s="64" t="e">
        <f>VLOOKUP(H16,Лист1!$CY:$DA,2,0)</f>
        <v>#N/A</v>
      </c>
      <c r="DB16" s="64">
        <f t="shared" si="49"/>
        <v>0</v>
      </c>
      <c r="DC16" s="64" t="e">
        <f>VLOOKUP(L16,Лист1!$CY:$DA,2,0)</f>
        <v>#N/A</v>
      </c>
      <c r="DD16" s="64" t="e">
        <f>VLOOKUP(CONCATENATE(L16,".",N16),Лист1!$CY:$DA,2,0)</f>
        <v>#N/A</v>
      </c>
      <c r="DE16" s="229" t="str">
        <f t="shared" si="50"/>
        <v/>
      </c>
      <c r="DG16" s="64" t="e">
        <f>VLOOKUP(Q16,Лист1!$CY:$DA,2,0)</f>
        <v>#N/A</v>
      </c>
      <c r="DH16" s="64" t="e">
        <f>VLOOKUP(G16,Лист1!$CY$76:$DA$87,3,0)</f>
        <v>#N/A</v>
      </c>
      <c r="DI16" s="64" t="e">
        <f>VLOOKUP(CONCATENATE(O16,".",CZ16),Лист1!$CY:$DA,2,0)</f>
        <v>#N/A</v>
      </c>
      <c r="DJ16" s="64" t="e">
        <f>VLOOKUP(H16,Лист1!$CY:$DA,2,0)</f>
        <v>#N/A</v>
      </c>
      <c r="DK16" s="64">
        <f t="shared" si="51"/>
        <v>0</v>
      </c>
      <c r="DL16" s="229" t="str">
        <f>IF(R16="","",VLOOKUP(Q16,Лист1!$CY:$DA,3,0)*R16)</f>
        <v/>
      </c>
    </row>
    <row r="17" spans="1:116">
      <c r="A17" s="24" t="str">
        <f t="shared" si="2"/>
        <v>.</v>
      </c>
      <c r="B17" s="79">
        <v>7</v>
      </c>
      <c r="C17" s="438"/>
      <c r="D17" s="439"/>
      <c r="E17" s="440"/>
      <c r="F17" s="438"/>
      <c r="G17" s="441"/>
      <c r="H17" s="438"/>
      <c r="I17" s="440"/>
      <c r="J17" s="438"/>
      <c r="K17" s="440"/>
      <c r="L17" s="438"/>
      <c r="M17" s="442"/>
      <c r="N17" s="443"/>
      <c r="O17" s="444"/>
      <c r="P17" s="444"/>
      <c r="Q17" s="444"/>
      <c r="R17" s="199"/>
      <c r="S17" s="112"/>
      <c r="T17" s="194" t="str">
        <f t="shared" si="0"/>
        <v/>
      </c>
      <c r="U17" s="202" t="str">
        <f t="shared" si="1"/>
        <v/>
      </c>
      <c r="W17" s="131" t="str">
        <f t="shared" si="3"/>
        <v>0</v>
      </c>
      <c r="X17" s="128" t="str">
        <f>IF(OR(R17="",R17=0),"",SUM(ORDER!H27:H29))</f>
        <v/>
      </c>
      <c r="Y17" s="64" t="str">
        <f t="shared" si="4"/>
        <v>..</v>
      </c>
      <c r="Z17" s="64" t="str">
        <f t="shared" si="53"/>
        <v>..</v>
      </c>
      <c r="AB17" s="34">
        <f t="shared" si="5"/>
        <v>1</v>
      </c>
      <c r="AC17" s="72">
        <f t="shared" si="6"/>
        <v>13</v>
      </c>
      <c r="AD17" s="63" t="str">
        <f t="shared" si="7"/>
        <v>.</v>
      </c>
      <c r="AE17" s="64" t="e">
        <f>VLOOKUP(AD17,Лист1!$AW:$AW,1,0)</f>
        <v>#N/A</v>
      </c>
      <c r="AF17" s="53" t="e">
        <f t="shared" si="8"/>
        <v>#N/A</v>
      </c>
      <c r="AG17" s="35" t="str">
        <f t="shared" si="9"/>
        <v>0</v>
      </c>
      <c r="AI17" s="63" t="str">
        <f t="shared" si="10"/>
        <v>..</v>
      </c>
      <c r="AJ17" s="64" t="e">
        <f>VLOOKUP(AI17,Лист1!$BA:$BA,1,0)</f>
        <v>#N/A</v>
      </c>
      <c r="AK17" s="53" t="e">
        <f t="shared" si="11"/>
        <v>#N/A</v>
      </c>
      <c r="AL17" s="35" t="str">
        <f t="shared" si="12"/>
        <v>0</v>
      </c>
      <c r="AN17" s="63" t="str">
        <f t="shared" si="13"/>
        <v>.</v>
      </c>
      <c r="AO17" s="64" t="e">
        <f>VLOOKUP(AN17,Лист1!$BE:$BE,1,0)</f>
        <v>#N/A</v>
      </c>
      <c r="AP17" s="53" t="e">
        <f t="shared" si="14"/>
        <v>#N/A</v>
      </c>
      <c r="AQ17" s="35" t="str">
        <f t="shared" si="15"/>
        <v>0</v>
      </c>
      <c r="AS17" s="63" t="str">
        <f t="shared" si="16"/>
        <v>.</v>
      </c>
      <c r="AT17" s="64" t="e">
        <f>VLOOKUP(AS17,Лист1!$BI:$BI,1,0)</f>
        <v>#N/A</v>
      </c>
      <c r="AU17" s="53" t="e">
        <f t="shared" si="17"/>
        <v>#N/A</v>
      </c>
      <c r="AV17" s="35" t="str">
        <f t="shared" si="18"/>
        <v>0</v>
      </c>
      <c r="AX17" s="63" t="str">
        <f t="shared" si="19"/>
        <v>.</v>
      </c>
      <c r="AY17" s="64" t="e">
        <f>VLOOKUP(AX17,Лист1!$BM:$BM,1,0)</f>
        <v>#N/A</v>
      </c>
      <c r="AZ17" s="53" t="e">
        <f t="shared" si="20"/>
        <v>#N/A</v>
      </c>
      <c r="BA17" s="35" t="str">
        <f t="shared" si="21"/>
        <v>0</v>
      </c>
      <c r="BC17" s="63" t="str">
        <f t="shared" si="22"/>
        <v>.</v>
      </c>
      <c r="BD17" s="64" t="str">
        <f>VLOOKUP(BC17,Лист1!$BQ:$BQ,1,0)</f>
        <v>.</v>
      </c>
      <c r="BE17" s="53">
        <f t="shared" si="23"/>
        <v>1</v>
      </c>
      <c r="BF17" s="35">
        <f t="shared" si="24"/>
        <v>1</v>
      </c>
      <c r="BH17" s="63" t="str">
        <f t="shared" si="25"/>
        <v>..</v>
      </c>
      <c r="BI17" s="64" t="e">
        <f>VLOOKUP(BH17,Лист1!$BU:$BU,1,0)</f>
        <v>#N/A</v>
      </c>
      <c r="BJ17" s="53" t="e">
        <f t="shared" si="26"/>
        <v>#N/A</v>
      </c>
      <c r="BK17" s="35" t="str">
        <f t="shared" si="27"/>
        <v>0</v>
      </c>
      <c r="BM17" s="63" t="str">
        <f t="shared" si="28"/>
        <v>..</v>
      </c>
      <c r="BN17" s="64" t="e">
        <f>VLOOKUP(BM17,Лист1!$BY:$BY,1,0)</f>
        <v>#N/A</v>
      </c>
      <c r="BO17" s="53" t="e">
        <f t="shared" si="29"/>
        <v>#N/A</v>
      </c>
      <c r="BP17" s="35" t="str">
        <f t="shared" si="30"/>
        <v>0</v>
      </c>
      <c r="BR17" s="63" t="str">
        <f t="shared" si="31"/>
        <v>...</v>
      </c>
      <c r="BS17" s="64" t="e">
        <f>VLOOKUP(BR17,Лист1!$CC:$CC,1,0)</f>
        <v>#N/A</v>
      </c>
      <c r="BT17" s="53" t="e">
        <f t="shared" si="32"/>
        <v>#N/A</v>
      </c>
      <c r="BU17" s="35" t="str">
        <f t="shared" si="33"/>
        <v>0</v>
      </c>
      <c r="BW17" s="63" t="str">
        <f t="shared" si="52"/>
        <v>...</v>
      </c>
      <c r="BX17" s="64" t="e">
        <f>VLOOKUP(BW17,Лист1!$CG:$CG,1,0)</f>
        <v>#N/A</v>
      </c>
      <c r="BY17" s="53" t="e">
        <f t="shared" si="34"/>
        <v>#N/A</v>
      </c>
      <c r="BZ17" s="35" t="str">
        <f t="shared" si="35"/>
        <v>0</v>
      </c>
      <c r="CB17" s="63" t="str">
        <f t="shared" si="36"/>
        <v>.</v>
      </c>
      <c r="CC17" s="64" t="e">
        <f>VLOOKUP(CB17,Лист1!$CK:$CK,1,0)</f>
        <v>#N/A</v>
      </c>
      <c r="CD17" s="53" t="e">
        <f t="shared" si="37"/>
        <v>#N/A</v>
      </c>
      <c r="CE17" s="35" t="str">
        <f t="shared" si="38"/>
        <v>0</v>
      </c>
      <c r="CG17" s="63" t="str">
        <f t="shared" si="39"/>
        <v>...</v>
      </c>
      <c r="CH17" s="64" t="e">
        <f>VLOOKUP(CG17,Лист1!$CO:$CO,1,0)</f>
        <v>#N/A</v>
      </c>
      <c r="CI17" s="53" t="e">
        <f t="shared" si="40"/>
        <v>#N/A</v>
      </c>
      <c r="CJ17" s="35" t="str">
        <f t="shared" si="41"/>
        <v>0</v>
      </c>
      <c r="CL17" s="63" t="str">
        <f t="shared" si="42"/>
        <v>.</v>
      </c>
      <c r="CM17" s="64" t="e">
        <f>VLOOKUP(CL17,Лист1!$CS:$CS,1,0)</f>
        <v>#N/A</v>
      </c>
      <c r="CN17" s="53" t="e">
        <f t="shared" si="43"/>
        <v>#N/A</v>
      </c>
      <c r="CO17" s="35" t="str">
        <f t="shared" si="44"/>
        <v>0</v>
      </c>
      <c r="CQ17" s="63" t="str">
        <f t="shared" si="45"/>
        <v>.</v>
      </c>
      <c r="CR17" s="64" t="e">
        <f>VLOOKUP(CQ17,Лист1!$CW:$CW,1,0)</f>
        <v>#N/A</v>
      </c>
      <c r="CS17" s="53" t="e">
        <f t="shared" si="46"/>
        <v>#N/A</v>
      </c>
      <c r="CT17" s="35" t="str">
        <f t="shared" si="47"/>
        <v>0</v>
      </c>
      <c r="CV17" s="64" t="e">
        <f>VLOOKUP(O17,Лист1!$CY:$DA,2,0)</f>
        <v>#N/A</v>
      </c>
      <c r="CW17" s="221">
        <f t="shared" si="48"/>
        <v>0</v>
      </c>
      <c r="CX17" s="64" t="e">
        <f>VLOOKUP(E17,Лист1!$CY:$DA,2,0)</f>
        <v>#N/A</v>
      </c>
      <c r="CY17" s="64" t="e">
        <f>VLOOKUP(G17,Лист1!$CY$76:$DA$87,2,0)</f>
        <v>#N/A</v>
      </c>
      <c r="CZ17" s="64" t="e">
        <f>VLOOKUP(G17,Лист1!$CY:$DA,2,0)</f>
        <v>#N/A</v>
      </c>
      <c r="DA17" s="64" t="e">
        <f>VLOOKUP(H17,Лист1!$CY:$DA,2,0)</f>
        <v>#N/A</v>
      </c>
      <c r="DB17" s="64">
        <f t="shared" si="49"/>
        <v>0</v>
      </c>
      <c r="DC17" s="64" t="e">
        <f>VLOOKUP(L17,Лист1!$CY:$DA,2,0)</f>
        <v>#N/A</v>
      </c>
      <c r="DD17" s="64" t="e">
        <f>VLOOKUP(CONCATENATE(L17,".",N17),Лист1!$CY:$DA,2,0)</f>
        <v>#N/A</v>
      </c>
      <c r="DE17" s="229" t="str">
        <f t="shared" si="50"/>
        <v/>
      </c>
      <c r="DG17" s="64" t="e">
        <f>VLOOKUP(Q17,Лист1!$CY:$DA,2,0)</f>
        <v>#N/A</v>
      </c>
      <c r="DH17" s="64" t="e">
        <f>VLOOKUP(G17,Лист1!$CY$76:$DA$87,3,0)</f>
        <v>#N/A</v>
      </c>
      <c r="DI17" s="64" t="e">
        <f>VLOOKUP(CONCATENATE(O17,".",CZ17),Лист1!$CY:$DA,2,0)</f>
        <v>#N/A</v>
      </c>
      <c r="DJ17" s="64" t="e">
        <f>VLOOKUP(H17,Лист1!$CY:$DA,2,0)</f>
        <v>#N/A</v>
      </c>
      <c r="DK17" s="64">
        <f t="shared" si="51"/>
        <v>0</v>
      </c>
      <c r="DL17" s="229" t="str">
        <f>IF(R17="","",VLOOKUP(Q17,Лист1!$CY:$DA,3,0)*R17)</f>
        <v/>
      </c>
    </row>
    <row r="18" spans="1:116">
      <c r="A18" s="24" t="str">
        <f t="shared" si="2"/>
        <v>.</v>
      </c>
      <c r="B18" s="79">
        <v>8</v>
      </c>
      <c r="C18" s="438"/>
      <c r="D18" s="439"/>
      <c r="E18" s="440"/>
      <c r="F18" s="438"/>
      <c r="G18" s="441"/>
      <c r="H18" s="438"/>
      <c r="I18" s="440"/>
      <c r="J18" s="438"/>
      <c r="K18" s="440"/>
      <c r="L18" s="438"/>
      <c r="M18" s="442"/>
      <c r="N18" s="443"/>
      <c r="O18" s="444"/>
      <c r="P18" s="444"/>
      <c r="Q18" s="444"/>
      <c r="R18" s="200"/>
      <c r="S18" s="112"/>
      <c r="T18" s="194" t="str">
        <f t="shared" si="0"/>
        <v/>
      </c>
      <c r="U18" s="202" t="str">
        <f t="shared" si="1"/>
        <v/>
      </c>
      <c r="W18" s="131" t="str">
        <f t="shared" si="3"/>
        <v>0</v>
      </c>
      <c r="X18" s="128" t="str">
        <f>IF(OR(R18="",R18=0),"",SUM(ORDER!H30:H32))</f>
        <v/>
      </c>
      <c r="Y18" s="64" t="str">
        <f t="shared" ref="Y18:Y23" si="54">CONCATENATE(C18,".",E18,".",F18)</f>
        <v>..</v>
      </c>
      <c r="Z18" s="64" t="str">
        <f t="shared" si="53"/>
        <v>..</v>
      </c>
      <c r="AB18" s="34">
        <f t="shared" si="5"/>
        <v>1</v>
      </c>
      <c r="AC18" s="72">
        <f t="shared" si="6"/>
        <v>13</v>
      </c>
      <c r="AD18" s="63" t="str">
        <f t="shared" si="7"/>
        <v>.</v>
      </c>
      <c r="AE18" s="64" t="e">
        <f>VLOOKUP(AD18,Лист1!$AW:$AW,1,0)</f>
        <v>#N/A</v>
      </c>
      <c r="AF18" s="53" t="e">
        <f t="shared" si="8"/>
        <v>#N/A</v>
      </c>
      <c r="AG18" s="35" t="str">
        <f t="shared" si="9"/>
        <v>0</v>
      </c>
      <c r="AI18" s="63" t="str">
        <f t="shared" si="10"/>
        <v>..</v>
      </c>
      <c r="AJ18" s="64" t="e">
        <f>VLOOKUP(AI18,Лист1!$BA:$BA,1,0)</f>
        <v>#N/A</v>
      </c>
      <c r="AK18" s="53" t="e">
        <f t="shared" si="11"/>
        <v>#N/A</v>
      </c>
      <c r="AL18" s="35" t="str">
        <f t="shared" si="12"/>
        <v>0</v>
      </c>
      <c r="AN18" s="63" t="str">
        <f t="shared" si="13"/>
        <v>.</v>
      </c>
      <c r="AO18" s="64" t="e">
        <f>VLOOKUP(AN18,Лист1!$BE:$BE,1,0)</f>
        <v>#N/A</v>
      </c>
      <c r="AP18" s="53" t="e">
        <f t="shared" si="14"/>
        <v>#N/A</v>
      </c>
      <c r="AQ18" s="35" t="str">
        <f t="shared" si="15"/>
        <v>0</v>
      </c>
      <c r="AS18" s="63" t="str">
        <f t="shared" si="16"/>
        <v>.</v>
      </c>
      <c r="AT18" s="64" t="e">
        <f>VLOOKUP(AS18,Лист1!$BI:$BI,1,0)</f>
        <v>#N/A</v>
      </c>
      <c r="AU18" s="53" t="e">
        <f t="shared" si="17"/>
        <v>#N/A</v>
      </c>
      <c r="AV18" s="35" t="str">
        <f t="shared" si="18"/>
        <v>0</v>
      </c>
      <c r="AX18" s="63" t="str">
        <f t="shared" si="19"/>
        <v>.</v>
      </c>
      <c r="AY18" s="64" t="e">
        <f>VLOOKUP(AX18,Лист1!$BM:$BM,1,0)</f>
        <v>#N/A</v>
      </c>
      <c r="AZ18" s="53" t="e">
        <f t="shared" si="20"/>
        <v>#N/A</v>
      </c>
      <c r="BA18" s="35" t="str">
        <f t="shared" si="21"/>
        <v>0</v>
      </c>
      <c r="BC18" s="63" t="str">
        <f t="shared" si="22"/>
        <v>.</v>
      </c>
      <c r="BD18" s="64" t="str">
        <f>VLOOKUP(BC18,Лист1!$BQ:$BQ,1,0)</f>
        <v>.</v>
      </c>
      <c r="BE18" s="53">
        <f t="shared" si="23"/>
        <v>1</v>
      </c>
      <c r="BF18" s="35">
        <f t="shared" si="24"/>
        <v>1</v>
      </c>
      <c r="BH18" s="63" t="str">
        <f t="shared" si="25"/>
        <v>..</v>
      </c>
      <c r="BI18" s="64" t="e">
        <f>VLOOKUP(BH18,Лист1!$BU:$BU,1,0)</f>
        <v>#N/A</v>
      </c>
      <c r="BJ18" s="53" t="e">
        <f t="shared" si="26"/>
        <v>#N/A</v>
      </c>
      <c r="BK18" s="35" t="str">
        <f t="shared" si="27"/>
        <v>0</v>
      </c>
      <c r="BM18" s="63" t="str">
        <f t="shared" si="28"/>
        <v>..</v>
      </c>
      <c r="BN18" s="64" t="e">
        <f>VLOOKUP(BM18,Лист1!$BY:$BY,1,0)</f>
        <v>#N/A</v>
      </c>
      <c r="BO18" s="53" t="e">
        <f t="shared" si="29"/>
        <v>#N/A</v>
      </c>
      <c r="BP18" s="35" t="str">
        <f t="shared" si="30"/>
        <v>0</v>
      </c>
      <c r="BR18" s="63" t="str">
        <f t="shared" si="31"/>
        <v>...</v>
      </c>
      <c r="BS18" s="64" t="e">
        <f>VLOOKUP(BR18,Лист1!$CC:$CC,1,0)</f>
        <v>#N/A</v>
      </c>
      <c r="BT18" s="53" t="e">
        <f t="shared" si="32"/>
        <v>#N/A</v>
      </c>
      <c r="BU18" s="35" t="str">
        <f t="shared" si="33"/>
        <v>0</v>
      </c>
      <c r="BW18" s="63" t="str">
        <f t="shared" si="52"/>
        <v>...</v>
      </c>
      <c r="BX18" s="64" t="e">
        <f>VLOOKUP(BW18,Лист1!$CG:$CG,1,0)</f>
        <v>#N/A</v>
      </c>
      <c r="BY18" s="53" t="e">
        <f t="shared" si="34"/>
        <v>#N/A</v>
      </c>
      <c r="BZ18" s="35" t="str">
        <f t="shared" si="35"/>
        <v>0</v>
      </c>
      <c r="CB18" s="63" t="str">
        <f t="shared" si="36"/>
        <v>.</v>
      </c>
      <c r="CC18" s="64" t="e">
        <f>VLOOKUP(CB18,Лист1!$CK:$CK,1,0)</f>
        <v>#N/A</v>
      </c>
      <c r="CD18" s="53" t="e">
        <f t="shared" si="37"/>
        <v>#N/A</v>
      </c>
      <c r="CE18" s="35" t="str">
        <f t="shared" si="38"/>
        <v>0</v>
      </c>
      <c r="CG18" s="63" t="str">
        <f t="shared" si="39"/>
        <v>...</v>
      </c>
      <c r="CH18" s="64" t="e">
        <f>VLOOKUP(CG18,Лист1!$CO:$CO,1,0)</f>
        <v>#N/A</v>
      </c>
      <c r="CI18" s="53" t="e">
        <f t="shared" si="40"/>
        <v>#N/A</v>
      </c>
      <c r="CJ18" s="35" t="str">
        <f t="shared" si="41"/>
        <v>0</v>
      </c>
      <c r="CL18" s="63" t="str">
        <f t="shared" si="42"/>
        <v>.</v>
      </c>
      <c r="CM18" s="64" t="e">
        <f>VLOOKUP(CL18,Лист1!$CS:$CS,1,0)</f>
        <v>#N/A</v>
      </c>
      <c r="CN18" s="53" t="e">
        <f t="shared" si="43"/>
        <v>#N/A</v>
      </c>
      <c r="CO18" s="35" t="str">
        <f t="shared" si="44"/>
        <v>0</v>
      </c>
      <c r="CQ18" s="63" t="str">
        <f t="shared" si="45"/>
        <v>.</v>
      </c>
      <c r="CR18" s="64" t="e">
        <f>VLOOKUP(CQ18,Лист1!$CW:$CW,1,0)</f>
        <v>#N/A</v>
      </c>
      <c r="CS18" s="53" t="e">
        <f t="shared" si="46"/>
        <v>#N/A</v>
      </c>
      <c r="CT18" s="35" t="str">
        <f t="shared" si="47"/>
        <v>0</v>
      </c>
      <c r="CV18" s="64" t="e">
        <f>VLOOKUP(O18,Лист1!$CY:$DA,2,0)</f>
        <v>#N/A</v>
      </c>
      <c r="CW18" s="221">
        <f t="shared" si="48"/>
        <v>0</v>
      </c>
      <c r="CX18" s="64" t="e">
        <f>VLOOKUP(E18,Лист1!$CY:$DA,2,0)</f>
        <v>#N/A</v>
      </c>
      <c r="CY18" s="64" t="e">
        <f>VLOOKUP(G18,Лист1!$CY$76:$DA$87,2,0)</f>
        <v>#N/A</v>
      </c>
      <c r="CZ18" s="64" t="e">
        <f>VLOOKUP(G18,Лист1!$CY:$DA,2,0)</f>
        <v>#N/A</v>
      </c>
      <c r="DA18" s="64" t="e">
        <f>VLOOKUP(H18,Лист1!$CY:$DA,2,0)</f>
        <v>#N/A</v>
      </c>
      <c r="DB18" s="64">
        <f t="shared" si="49"/>
        <v>0</v>
      </c>
      <c r="DC18" s="64" t="e">
        <f>VLOOKUP(L18,Лист1!$CY:$DA,2,0)</f>
        <v>#N/A</v>
      </c>
      <c r="DD18" s="64" t="e">
        <f>VLOOKUP(CONCATENATE(L18,".",N18),Лист1!$CY:$DA,2,0)</f>
        <v>#N/A</v>
      </c>
      <c r="DE18" s="229" t="str">
        <f t="shared" si="50"/>
        <v/>
      </c>
      <c r="DG18" s="64" t="e">
        <f>VLOOKUP(Q18,Лист1!$CY:$DA,2,0)</f>
        <v>#N/A</v>
      </c>
      <c r="DH18" s="64" t="e">
        <f>VLOOKUP(G18,Лист1!$CY$76:$DA$87,3,0)</f>
        <v>#N/A</v>
      </c>
      <c r="DI18" s="64" t="e">
        <f>VLOOKUP(CONCATENATE(O18,".",CZ18),Лист1!$CY:$DA,2,0)</f>
        <v>#N/A</v>
      </c>
      <c r="DJ18" s="64" t="e">
        <f>VLOOKUP(H18,Лист1!$CY:$DA,2,0)</f>
        <v>#N/A</v>
      </c>
      <c r="DK18" s="64">
        <f t="shared" si="51"/>
        <v>0</v>
      </c>
      <c r="DL18" s="229" t="str">
        <f>IF(R18="","",VLOOKUP(Q18,Лист1!$CY:$DA,3,0)*R18)</f>
        <v/>
      </c>
    </row>
    <row r="19" spans="1:116">
      <c r="A19" s="24" t="str">
        <f>CONCATENATE(C19,".",D19)</f>
        <v>.</v>
      </c>
      <c r="B19" s="79">
        <v>9</v>
      </c>
      <c r="C19" s="438"/>
      <c r="D19" s="439"/>
      <c r="E19" s="440"/>
      <c r="F19" s="438"/>
      <c r="G19" s="441"/>
      <c r="H19" s="438"/>
      <c r="I19" s="440"/>
      <c r="J19" s="438"/>
      <c r="K19" s="440"/>
      <c r="L19" s="438"/>
      <c r="M19" s="442"/>
      <c r="N19" s="443"/>
      <c r="O19" s="444"/>
      <c r="P19" s="444"/>
      <c r="Q19" s="444"/>
      <c r="R19" s="200"/>
      <c r="S19" s="112"/>
      <c r="T19" s="194" t="str">
        <f>IF(OR(W19="",W19="0"),"",W19)</f>
        <v/>
      </c>
      <c r="U19" s="202" t="str">
        <f>IF(R19="","",IF(NOT(AC19=0),"Ошибка в строке",""))</f>
        <v/>
      </c>
      <c r="W19" s="131" t="str">
        <f>IF(OR(ISNA(X19),NOT(AC19=0)),"0",X19)</f>
        <v>0</v>
      </c>
      <c r="X19" s="128" t="str">
        <f>IF(OR(R19="",R19=0),"",SUM(ORDER!H33:H35))</f>
        <v/>
      </c>
      <c r="Y19" s="64" t="str">
        <f t="shared" si="54"/>
        <v>..</v>
      </c>
      <c r="Z19" s="64" t="str">
        <f t="shared" si="53"/>
        <v>..</v>
      </c>
      <c r="AB19" s="34">
        <f>AG19+AL19+AQ19+AV19+BA19+BF19+BK19+BP19+BU19+BZ19+CE19+CJ19+CO19+CT19</f>
        <v>1</v>
      </c>
      <c r="AC19" s="72">
        <f t="shared" si="6"/>
        <v>13</v>
      </c>
      <c r="AD19" s="63" t="str">
        <f>CONCATENATE(C19,".",D19)</f>
        <v>.</v>
      </c>
      <c r="AE19" s="64" t="e">
        <f>VLOOKUP(AD19,Лист1!$AW:$AW,1,0)</f>
        <v>#N/A</v>
      </c>
      <c r="AF19" s="53" t="e">
        <f>IF(AD19=AE19,1,0)</f>
        <v>#N/A</v>
      </c>
      <c r="AG19" s="35" t="str">
        <f t="shared" si="9"/>
        <v>0</v>
      </c>
      <c r="AI19" s="63" t="str">
        <f>CONCATENATE(C19,".",D19,".",E19)</f>
        <v>..</v>
      </c>
      <c r="AJ19" s="64" t="e">
        <f>VLOOKUP(AI19,Лист1!$BA:$BA,1,0)</f>
        <v>#N/A</v>
      </c>
      <c r="AK19" s="53" t="e">
        <f>IF(AI19=AJ19,1,0)</f>
        <v>#N/A</v>
      </c>
      <c r="AL19" s="35" t="str">
        <f t="shared" si="12"/>
        <v>0</v>
      </c>
      <c r="AN19" s="63" t="str">
        <f>CONCATENATE(E19,".",F19,)</f>
        <v>.</v>
      </c>
      <c r="AO19" s="64" t="e">
        <f>VLOOKUP(AN19,Лист1!$BE:$BE,1,0)</f>
        <v>#N/A</v>
      </c>
      <c r="AP19" s="53" t="e">
        <f>IF(AN19=AO19,1,0)</f>
        <v>#N/A</v>
      </c>
      <c r="AQ19" s="35" t="str">
        <f t="shared" si="15"/>
        <v>0</v>
      </c>
      <c r="AS19" s="63" t="str">
        <f>CONCATENATE(F19,".",G19,)</f>
        <v>.</v>
      </c>
      <c r="AT19" s="64" t="e">
        <f>VLOOKUP(AS19,Лист1!$BI:$BI,1,0)</f>
        <v>#N/A</v>
      </c>
      <c r="AU19" s="53" t="e">
        <f>IF(AS19=AT19,1,0)</f>
        <v>#N/A</v>
      </c>
      <c r="AV19" s="35" t="str">
        <f t="shared" si="18"/>
        <v>0</v>
      </c>
      <c r="AX19" s="63" t="str">
        <f>CONCATENATE(C19,".",H19,)</f>
        <v>.</v>
      </c>
      <c r="AY19" s="64" t="e">
        <f>VLOOKUP(AX19,Лист1!$BM:$BM,1,0)</f>
        <v>#N/A</v>
      </c>
      <c r="AZ19" s="53" t="e">
        <f>IF(AX19=AY19,1,0)</f>
        <v>#N/A</v>
      </c>
      <c r="BA19" s="35" t="str">
        <f t="shared" si="21"/>
        <v>0</v>
      </c>
      <c r="BC19" s="63" t="str">
        <f>CONCATENATE(H19,".",I19,)</f>
        <v>.</v>
      </c>
      <c r="BD19" s="64" t="str">
        <f>VLOOKUP(BC19,Лист1!$BQ:$BQ,1,0)</f>
        <v>.</v>
      </c>
      <c r="BE19" s="53">
        <f>IF(BC19=BD19,1,0)</f>
        <v>1</v>
      </c>
      <c r="BF19" s="35">
        <f t="shared" si="24"/>
        <v>1</v>
      </c>
      <c r="BH19" s="63" t="str">
        <f>CONCATENATE(C19,".",D19,".",J19)</f>
        <v>..</v>
      </c>
      <c r="BI19" s="64" t="e">
        <f>VLOOKUP(BH19,Лист1!$BU:$BU,1,0)</f>
        <v>#N/A</v>
      </c>
      <c r="BJ19" s="53" t="e">
        <f>IF(BH19=BI19,1,0)</f>
        <v>#N/A</v>
      </c>
      <c r="BK19" s="35" t="str">
        <f t="shared" si="27"/>
        <v>0</v>
      </c>
      <c r="BM19" s="63" t="str">
        <f>CONCATENATE(C19,".",D19,".",K19)</f>
        <v>..</v>
      </c>
      <c r="BN19" s="64" t="e">
        <f>VLOOKUP(BM19,Лист1!$BY:$BY,1,0)</f>
        <v>#N/A</v>
      </c>
      <c r="BO19" s="53" t="e">
        <f>IF(BM19=BN19,1,0)</f>
        <v>#N/A</v>
      </c>
      <c r="BP19" s="35" t="str">
        <f t="shared" si="30"/>
        <v>0</v>
      </c>
      <c r="BR19" s="63" t="str">
        <f>CONCATENATE(C19,".",E19,".",F19,".",L19)</f>
        <v>...</v>
      </c>
      <c r="BS19" s="64" t="e">
        <f>VLOOKUP(BR19,Лист1!$CC:$CC,1,0)</f>
        <v>#N/A</v>
      </c>
      <c r="BT19" s="53" t="e">
        <f>IF(BR19=BS19,1,0)</f>
        <v>#N/A</v>
      </c>
      <c r="BU19" s="35" t="str">
        <f t="shared" si="33"/>
        <v>0</v>
      </c>
      <c r="BW19" s="63" t="str">
        <f t="shared" si="52"/>
        <v>...</v>
      </c>
      <c r="BX19" s="64" t="e">
        <f>VLOOKUP(BW19,Лист1!$CG:$CG,1,0)</f>
        <v>#N/A</v>
      </c>
      <c r="BY19" s="53" t="e">
        <f>IF(BW19=BX19,1,0)</f>
        <v>#N/A</v>
      </c>
      <c r="BZ19" s="35" t="str">
        <f t="shared" si="35"/>
        <v>0</v>
      </c>
      <c r="CB19" s="63" t="str">
        <f>CONCATENATE(L19,".",N19)</f>
        <v>.</v>
      </c>
      <c r="CC19" s="64" t="e">
        <f>VLOOKUP(CB19,Лист1!$CK:$CK,1,0)</f>
        <v>#N/A</v>
      </c>
      <c r="CD19" s="53" t="e">
        <f>IF(CB19=CC19,1,0)</f>
        <v>#N/A</v>
      </c>
      <c r="CE19" s="35" t="str">
        <f t="shared" si="38"/>
        <v>0</v>
      </c>
      <c r="CG19" s="63" t="str">
        <f t="shared" si="39"/>
        <v>...</v>
      </c>
      <c r="CH19" s="64" t="e">
        <f>VLOOKUP(CG19,Лист1!$CO:$CO,1,0)</f>
        <v>#N/A</v>
      </c>
      <c r="CI19" s="53" t="e">
        <f>IF(CG19=CH19,1,0)</f>
        <v>#N/A</v>
      </c>
      <c r="CJ19" s="35" t="str">
        <f t="shared" si="41"/>
        <v>0</v>
      </c>
      <c r="CL19" s="63" t="str">
        <f>CONCATENATE(O19,".",P19)</f>
        <v>.</v>
      </c>
      <c r="CM19" s="64" t="e">
        <f>VLOOKUP(CL19,Лист1!$CS:$CS,1,0)</f>
        <v>#N/A</v>
      </c>
      <c r="CN19" s="53" t="e">
        <f>IF(CL19=CM19,1,0)</f>
        <v>#N/A</v>
      </c>
      <c r="CO19" s="35" t="str">
        <f t="shared" si="44"/>
        <v>0</v>
      </c>
      <c r="CQ19" s="63" t="str">
        <f>CONCATENATE(O19,".",Q19)</f>
        <v>.</v>
      </c>
      <c r="CR19" s="64" t="e">
        <f>VLOOKUP(CQ19,Лист1!$CW:$CW,1,0)</f>
        <v>#N/A</v>
      </c>
      <c r="CS19" s="53" t="e">
        <f>IF(CQ19=CR19,1,0)</f>
        <v>#N/A</v>
      </c>
      <c r="CT19" s="35" t="str">
        <f t="shared" si="47"/>
        <v>0</v>
      </c>
      <c r="CV19" s="64" t="e">
        <f>VLOOKUP(O19,Лист1!$CY:$DA,2,0)</f>
        <v>#N/A</v>
      </c>
      <c r="CW19" s="221">
        <f>P19</f>
        <v>0</v>
      </c>
      <c r="CX19" s="64" t="e">
        <f>VLOOKUP(E19,Лист1!$CY:$DA,2,0)</f>
        <v>#N/A</v>
      </c>
      <c r="CY19" s="64" t="e">
        <f>VLOOKUP(G19,Лист1!$CY$76:$DA$87,2,0)</f>
        <v>#N/A</v>
      </c>
      <c r="CZ19" s="64" t="e">
        <f>VLOOKUP(G19,Лист1!$CY:$DA,2,0)</f>
        <v>#N/A</v>
      </c>
      <c r="DA19" s="64" t="e">
        <f>VLOOKUP(H19,Лист1!$CY:$DA,2,0)</f>
        <v>#N/A</v>
      </c>
      <c r="DB19" s="64">
        <f>I19</f>
        <v>0</v>
      </c>
      <c r="DC19" s="64" t="e">
        <f>VLOOKUP(L19,Лист1!$CY:$DA,2,0)</f>
        <v>#N/A</v>
      </c>
      <c r="DD19" s="64" t="e">
        <f>VLOOKUP(CONCATENATE(L19,".",N19),Лист1!$CY:$DA,2,0)</f>
        <v>#N/A</v>
      </c>
      <c r="DE19" s="229" t="str">
        <f t="shared" si="50"/>
        <v/>
      </c>
      <c r="DG19" s="64" t="e">
        <f>VLOOKUP(Q19,Лист1!$CY:$DA,2,0)</f>
        <v>#N/A</v>
      </c>
      <c r="DH19" s="64" t="e">
        <f>VLOOKUP(G19,Лист1!$CY$76:$DA$87,3,0)</f>
        <v>#N/A</v>
      </c>
      <c r="DI19" s="64" t="e">
        <f>VLOOKUP(CONCATENATE(O19,".",CZ19),Лист1!$CY:$DA,2,0)</f>
        <v>#N/A</v>
      </c>
      <c r="DJ19" s="64" t="e">
        <f>VLOOKUP(H19,Лист1!$CY:$DA,2,0)</f>
        <v>#N/A</v>
      </c>
      <c r="DK19" s="64">
        <f>I19</f>
        <v>0</v>
      </c>
      <c r="DL19" s="229" t="str">
        <f>IF(R19="","",VLOOKUP(Q19,Лист1!$CY:$DA,3,0)*R19)</f>
        <v/>
      </c>
    </row>
    <row r="20" spans="1:116">
      <c r="A20" s="24" t="str">
        <f t="shared" si="2"/>
        <v>.</v>
      </c>
      <c r="B20" s="79">
        <v>10</v>
      </c>
      <c r="C20" s="438"/>
      <c r="D20" s="439"/>
      <c r="E20" s="440"/>
      <c r="F20" s="438"/>
      <c r="G20" s="441"/>
      <c r="H20" s="438"/>
      <c r="I20" s="440"/>
      <c r="J20" s="438"/>
      <c r="K20" s="440"/>
      <c r="L20" s="438"/>
      <c r="M20" s="442"/>
      <c r="N20" s="443"/>
      <c r="O20" s="444"/>
      <c r="P20" s="444"/>
      <c r="Q20" s="444"/>
      <c r="R20" s="200"/>
      <c r="S20" s="112"/>
      <c r="T20" s="194" t="str">
        <f t="shared" si="0"/>
        <v/>
      </c>
      <c r="U20" s="202" t="str">
        <f t="shared" si="1"/>
        <v/>
      </c>
      <c r="W20" s="131" t="str">
        <f t="shared" si="3"/>
        <v>0</v>
      </c>
      <c r="X20" s="128" t="str">
        <f>IF(OR(R20="",R20=0),"",SUM(ORDER!H36:H38))</f>
        <v/>
      </c>
      <c r="Y20" s="64" t="str">
        <f t="shared" si="54"/>
        <v>..</v>
      </c>
      <c r="Z20" s="64" t="str">
        <f t="shared" si="53"/>
        <v>..</v>
      </c>
      <c r="AB20" s="34">
        <f t="shared" si="5"/>
        <v>1</v>
      </c>
      <c r="AC20" s="72">
        <f t="shared" si="6"/>
        <v>13</v>
      </c>
      <c r="AD20" s="63" t="str">
        <f t="shared" si="7"/>
        <v>.</v>
      </c>
      <c r="AE20" s="64" t="e">
        <f>VLOOKUP(AD20,Лист1!$AW:$AW,1,0)</f>
        <v>#N/A</v>
      </c>
      <c r="AF20" s="53" t="e">
        <f t="shared" si="8"/>
        <v>#N/A</v>
      </c>
      <c r="AG20" s="35" t="str">
        <f t="shared" si="9"/>
        <v>0</v>
      </c>
      <c r="AI20" s="63" t="str">
        <f t="shared" si="10"/>
        <v>..</v>
      </c>
      <c r="AJ20" s="64" t="e">
        <f>VLOOKUP(AI20,Лист1!$BA:$BA,1,0)</f>
        <v>#N/A</v>
      </c>
      <c r="AK20" s="53" t="e">
        <f t="shared" si="11"/>
        <v>#N/A</v>
      </c>
      <c r="AL20" s="35" t="str">
        <f t="shared" si="12"/>
        <v>0</v>
      </c>
      <c r="AN20" s="63" t="str">
        <f t="shared" si="13"/>
        <v>.</v>
      </c>
      <c r="AO20" s="64" t="e">
        <f>VLOOKUP(AN20,Лист1!$BE:$BE,1,0)</f>
        <v>#N/A</v>
      </c>
      <c r="AP20" s="53" t="e">
        <f t="shared" si="14"/>
        <v>#N/A</v>
      </c>
      <c r="AQ20" s="35" t="str">
        <f t="shared" si="15"/>
        <v>0</v>
      </c>
      <c r="AS20" s="63" t="str">
        <f t="shared" si="16"/>
        <v>.</v>
      </c>
      <c r="AT20" s="64" t="e">
        <f>VLOOKUP(AS20,Лист1!$BI:$BI,1,0)</f>
        <v>#N/A</v>
      </c>
      <c r="AU20" s="53" t="e">
        <f t="shared" si="17"/>
        <v>#N/A</v>
      </c>
      <c r="AV20" s="35" t="str">
        <f t="shared" si="18"/>
        <v>0</v>
      </c>
      <c r="AX20" s="63" t="str">
        <f t="shared" si="19"/>
        <v>.</v>
      </c>
      <c r="AY20" s="64" t="e">
        <f>VLOOKUP(AX20,Лист1!$BM:$BM,1,0)</f>
        <v>#N/A</v>
      </c>
      <c r="AZ20" s="53" t="e">
        <f t="shared" si="20"/>
        <v>#N/A</v>
      </c>
      <c r="BA20" s="35" t="str">
        <f t="shared" si="21"/>
        <v>0</v>
      </c>
      <c r="BC20" s="63" t="str">
        <f t="shared" si="22"/>
        <v>.</v>
      </c>
      <c r="BD20" s="64" t="str">
        <f>VLOOKUP(BC20,Лист1!$BQ:$BQ,1,0)</f>
        <v>.</v>
      </c>
      <c r="BE20" s="53">
        <f t="shared" si="23"/>
        <v>1</v>
      </c>
      <c r="BF20" s="35">
        <f t="shared" si="24"/>
        <v>1</v>
      </c>
      <c r="BH20" s="63" t="str">
        <f t="shared" si="25"/>
        <v>..</v>
      </c>
      <c r="BI20" s="64" t="e">
        <f>VLOOKUP(BH20,Лист1!$BU:$BU,1,0)</f>
        <v>#N/A</v>
      </c>
      <c r="BJ20" s="53" t="e">
        <f t="shared" si="26"/>
        <v>#N/A</v>
      </c>
      <c r="BK20" s="35" t="str">
        <f t="shared" si="27"/>
        <v>0</v>
      </c>
      <c r="BM20" s="63" t="str">
        <f t="shared" si="28"/>
        <v>..</v>
      </c>
      <c r="BN20" s="64" t="e">
        <f>VLOOKUP(BM20,Лист1!$BY:$BY,1,0)</f>
        <v>#N/A</v>
      </c>
      <c r="BO20" s="53" t="e">
        <f t="shared" si="29"/>
        <v>#N/A</v>
      </c>
      <c r="BP20" s="35" t="str">
        <f t="shared" si="30"/>
        <v>0</v>
      </c>
      <c r="BR20" s="63" t="str">
        <f t="shared" si="31"/>
        <v>...</v>
      </c>
      <c r="BS20" s="64" t="e">
        <f>VLOOKUP(BR20,Лист1!$CC:$CC,1,0)</f>
        <v>#N/A</v>
      </c>
      <c r="BT20" s="53" t="e">
        <f t="shared" si="32"/>
        <v>#N/A</v>
      </c>
      <c r="BU20" s="35" t="str">
        <f t="shared" si="33"/>
        <v>0</v>
      </c>
      <c r="BW20" s="63" t="str">
        <f t="shared" si="52"/>
        <v>...</v>
      </c>
      <c r="BX20" s="64" t="e">
        <f>VLOOKUP(BW20,Лист1!$CG:$CG,1,0)</f>
        <v>#N/A</v>
      </c>
      <c r="BY20" s="53" t="e">
        <f t="shared" si="34"/>
        <v>#N/A</v>
      </c>
      <c r="BZ20" s="35" t="str">
        <f t="shared" si="35"/>
        <v>0</v>
      </c>
      <c r="CB20" s="63" t="str">
        <f t="shared" si="36"/>
        <v>.</v>
      </c>
      <c r="CC20" s="64" t="e">
        <f>VLOOKUP(CB20,Лист1!$CK:$CK,1,0)</f>
        <v>#N/A</v>
      </c>
      <c r="CD20" s="53" t="e">
        <f t="shared" si="37"/>
        <v>#N/A</v>
      </c>
      <c r="CE20" s="35" t="str">
        <f t="shared" si="38"/>
        <v>0</v>
      </c>
      <c r="CG20" s="63" t="str">
        <f t="shared" si="39"/>
        <v>...</v>
      </c>
      <c r="CH20" s="64" t="e">
        <f>VLOOKUP(CG20,Лист1!$CO:$CO,1,0)</f>
        <v>#N/A</v>
      </c>
      <c r="CI20" s="53" t="e">
        <f t="shared" si="40"/>
        <v>#N/A</v>
      </c>
      <c r="CJ20" s="35" t="str">
        <f t="shared" si="41"/>
        <v>0</v>
      </c>
      <c r="CL20" s="63" t="str">
        <f t="shared" si="42"/>
        <v>.</v>
      </c>
      <c r="CM20" s="64" t="e">
        <f>VLOOKUP(CL20,Лист1!$CS:$CS,1,0)</f>
        <v>#N/A</v>
      </c>
      <c r="CN20" s="53" t="e">
        <f t="shared" si="43"/>
        <v>#N/A</v>
      </c>
      <c r="CO20" s="35" t="str">
        <f t="shared" si="44"/>
        <v>0</v>
      </c>
      <c r="CQ20" s="63" t="str">
        <f t="shared" si="45"/>
        <v>.</v>
      </c>
      <c r="CR20" s="64" t="e">
        <f>VLOOKUP(CQ20,Лист1!$CW:$CW,1,0)</f>
        <v>#N/A</v>
      </c>
      <c r="CS20" s="53" t="e">
        <f t="shared" si="46"/>
        <v>#N/A</v>
      </c>
      <c r="CT20" s="35" t="str">
        <f t="shared" si="47"/>
        <v>0</v>
      </c>
      <c r="CV20" s="64" t="e">
        <f>VLOOKUP(O20,Лист1!$CY:$DA,2,0)</f>
        <v>#N/A</v>
      </c>
      <c r="CW20" s="221">
        <f t="shared" si="48"/>
        <v>0</v>
      </c>
      <c r="CX20" s="64" t="e">
        <f>VLOOKUP(E20,Лист1!$CY:$DA,2,0)</f>
        <v>#N/A</v>
      </c>
      <c r="CY20" s="64" t="e">
        <f>VLOOKUP(G20,Лист1!$CY$76:$DA$87,2,0)</f>
        <v>#N/A</v>
      </c>
      <c r="CZ20" s="64" t="e">
        <f>VLOOKUP(G20,Лист1!$CY:$DA,2,0)</f>
        <v>#N/A</v>
      </c>
      <c r="DA20" s="64" t="e">
        <f>VLOOKUP(H20,Лист1!$CY:$DA,2,0)</f>
        <v>#N/A</v>
      </c>
      <c r="DB20" s="64">
        <f t="shared" si="49"/>
        <v>0</v>
      </c>
      <c r="DC20" s="64" t="e">
        <f>VLOOKUP(L20,Лист1!$CY:$DA,2,0)</f>
        <v>#N/A</v>
      </c>
      <c r="DD20" s="64" t="e">
        <f>VLOOKUP(CONCATENATE(L20,".",N20),Лист1!$CY:$DA,2,0)</f>
        <v>#N/A</v>
      </c>
      <c r="DE20" s="229" t="str">
        <f t="shared" si="50"/>
        <v/>
      </c>
      <c r="DG20" s="64" t="e">
        <f>VLOOKUP(Q20,Лист1!$CY:$DA,2,0)</f>
        <v>#N/A</v>
      </c>
      <c r="DH20" s="64" t="e">
        <f>VLOOKUP(G20,Лист1!$CY$76:$DA$87,3,0)</f>
        <v>#N/A</v>
      </c>
      <c r="DI20" s="64" t="e">
        <f>VLOOKUP(CONCATENATE(O20,".",CZ20),Лист1!$CY:$DA,2,0)</f>
        <v>#N/A</v>
      </c>
      <c r="DJ20" s="64" t="e">
        <f>VLOOKUP(H20,Лист1!$CY:$DA,2,0)</f>
        <v>#N/A</v>
      </c>
      <c r="DK20" s="64">
        <f t="shared" si="51"/>
        <v>0</v>
      </c>
      <c r="DL20" s="229" t="str">
        <f>IF(R20="","",VLOOKUP(Q20,Лист1!$CY:$DA,3,0)*R20)</f>
        <v/>
      </c>
    </row>
    <row r="21" spans="1:116">
      <c r="A21" s="24" t="str">
        <f>CONCATENATE(C21,".",D21)</f>
        <v>.</v>
      </c>
      <c r="B21" s="79">
        <v>11</v>
      </c>
      <c r="C21" s="438"/>
      <c r="D21" s="439"/>
      <c r="E21" s="440"/>
      <c r="F21" s="438"/>
      <c r="G21" s="441"/>
      <c r="H21" s="438"/>
      <c r="I21" s="440"/>
      <c r="J21" s="438"/>
      <c r="K21" s="440"/>
      <c r="L21" s="438"/>
      <c r="M21" s="442"/>
      <c r="N21" s="443"/>
      <c r="O21" s="444"/>
      <c r="P21" s="444"/>
      <c r="Q21" s="444"/>
      <c r="R21" s="200"/>
      <c r="S21" s="112"/>
      <c r="T21" s="194" t="str">
        <f>IF(OR(W21="",W21="0"),"",W21)</f>
        <v/>
      </c>
      <c r="U21" s="202" t="str">
        <f>IF(R21="","",IF(NOT(AC21=0),"Ошибка в строке",""))</f>
        <v/>
      </c>
      <c r="W21" s="131" t="str">
        <f>IF(OR(ISNA(X21),NOT(AC21=0)),"0",X21)</f>
        <v>0</v>
      </c>
      <c r="X21" s="128" t="str">
        <f>IF(OR(R21="",R21=0),"",SUM(ORDER!H39:H41))</f>
        <v/>
      </c>
      <c r="Y21" s="64" t="str">
        <f t="shared" si="54"/>
        <v>..</v>
      </c>
      <c r="Z21" s="64" t="str">
        <f t="shared" si="53"/>
        <v>..</v>
      </c>
      <c r="AB21" s="34">
        <f>AG21+AL21+AQ21+AV21+BA21+BF21+BK21+BP21+BU21+BZ21+CE21+CJ21+CO21+CT21</f>
        <v>1</v>
      </c>
      <c r="AC21" s="72">
        <f t="shared" si="6"/>
        <v>13</v>
      </c>
      <c r="AD21" s="63" t="str">
        <f>CONCATENATE(C21,".",D21)</f>
        <v>.</v>
      </c>
      <c r="AE21" s="64" t="e">
        <f>VLOOKUP(AD21,Лист1!$AW:$AW,1,0)</f>
        <v>#N/A</v>
      </c>
      <c r="AF21" s="53" t="e">
        <f>IF(AD21=AE21,1,0)</f>
        <v>#N/A</v>
      </c>
      <c r="AG21" s="35" t="str">
        <f t="shared" si="9"/>
        <v>0</v>
      </c>
      <c r="AI21" s="63" t="str">
        <f>CONCATENATE(C21,".",D21,".",E21)</f>
        <v>..</v>
      </c>
      <c r="AJ21" s="64" t="e">
        <f>VLOOKUP(AI21,Лист1!$BA:$BA,1,0)</f>
        <v>#N/A</v>
      </c>
      <c r="AK21" s="53" t="e">
        <f>IF(AI21=AJ21,1,0)</f>
        <v>#N/A</v>
      </c>
      <c r="AL21" s="35" t="str">
        <f t="shared" si="12"/>
        <v>0</v>
      </c>
      <c r="AN21" s="63" t="str">
        <f>CONCATENATE(E21,".",F21,)</f>
        <v>.</v>
      </c>
      <c r="AO21" s="64" t="e">
        <f>VLOOKUP(AN21,Лист1!$BE:$BE,1,0)</f>
        <v>#N/A</v>
      </c>
      <c r="AP21" s="53" t="e">
        <f>IF(AN21=AO21,1,0)</f>
        <v>#N/A</v>
      </c>
      <c r="AQ21" s="35" t="str">
        <f t="shared" si="15"/>
        <v>0</v>
      </c>
      <c r="AS21" s="63" t="str">
        <f>CONCATENATE(F21,".",G21,)</f>
        <v>.</v>
      </c>
      <c r="AT21" s="64" t="e">
        <f>VLOOKUP(AS21,Лист1!$BI:$BI,1,0)</f>
        <v>#N/A</v>
      </c>
      <c r="AU21" s="53" t="e">
        <f>IF(AS21=AT21,1,0)</f>
        <v>#N/A</v>
      </c>
      <c r="AV21" s="35" t="str">
        <f t="shared" si="18"/>
        <v>0</v>
      </c>
      <c r="AX21" s="63" t="str">
        <f>CONCATENATE(C21,".",H21,)</f>
        <v>.</v>
      </c>
      <c r="AY21" s="64" t="e">
        <f>VLOOKUP(AX21,Лист1!$BM:$BM,1,0)</f>
        <v>#N/A</v>
      </c>
      <c r="AZ21" s="53" t="e">
        <f>IF(AX21=AY21,1,0)</f>
        <v>#N/A</v>
      </c>
      <c r="BA21" s="35" t="str">
        <f t="shared" si="21"/>
        <v>0</v>
      </c>
      <c r="BC21" s="63" t="str">
        <f>CONCATENATE(H21,".",I21,)</f>
        <v>.</v>
      </c>
      <c r="BD21" s="64" t="str">
        <f>VLOOKUP(BC21,Лист1!$BQ:$BQ,1,0)</f>
        <v>.</v>
      </c>
      <c r="BE21" s="53">
        <f>IF(BC21=BD21,1,0)</f>
        <v>1</v>
      </c>
      <c r="BF21" s="35">
        <f t="shared" si="24"/>
        <v>1</v>
      </c>
      <c r="BH21" s="63" t="str">
        <f>CONCATENATE(C21,".",D21,".",J21)</f>
        <v>..</v>
      </c>
      <c r="BI21" s="64" t="e">
        <f>VLOOKUP(BH21,Лист1!$BU:$BU,1,0)</f>
        <v>#N/A</v>
      </c>
      <c r="BJ21" s="53" t="e">
        <f>IF(BH21=BI21,1,0)</f>
        <v>#N/A</v>
      </c>
      <c r="BK21" s="35" t="str">
        <f t="shared" si="27"/>
        <v>0</v>
      </c>
      <c r="BM21" s="63" t="str">
        <f>CONCATENATE(C21,".",D21,".",K21)</f>
        <v>..</v>
      </c>
      <c r="BN21" s="64" t="e">
        <f>VLOOKUP(BM21,Лист1!$BY:$BY,1,0)</f>
        <v>#N/A</v>
      </c>
      <c r="BO21" s="53" t="e">
        <f>IF(BM21=BN21,1,0)</f>
        <v>#N/A</v>
      </c>
      <c r="BP21" s="35" t="str">
        <f t="shared" si="30"/>
        <v>0</v>
      </c>
      <c r="BR21" s="63" t="str">
        <f>CONCATENATE(C21,".",E21,".",F21,".",L21)</f>
        <v>...</v>
      </c>
      <c r="BS21" s="64" t="e">
        <f>VLOOKUP(BR21,Лист1!$CC:$CC,1,0)</f>
        <v>#N/A</v>
      </c>
      <c r="BT21" s="53" t="e">
        <f>IF(BR21=BS21,1,0)</f>
        <v>#N/A</v>
      </c>
      <c r="BU21" s="35" t="str">
        <f t="shared" si="33"/>
        <v>0</v>
      </c>
      <c r="BW21" s="63" t="str">
        <f t="shared" si="52"/>
        <v>...</v>
      </c>
      <c r="BX21" s="64" t="e">
        <f>VLOOKUP(BW21,Лист1!$CG:$CG,1,0)</f>
        <v>#N/A</v>
      </c>
      <c r="BY21" s="53" t="e">
        <f>IF(BW21=BX21,1,0)</f>
        <v>#N/A</v>
      </c>
      <c r="BZ21" s="35" t="str">
        <f t="shared" si="35"/>
        <v>0</v>
      </c>
      <c r="CB21" s="63" t="str">
        <f>CONCATENATE(L21,".",N21)</f>
        <v>.</v>
      </c>
      <c r="CC21" s="64" t="e">
        <f>VLOOKUP(CB21,Лист1!$CK:$CK,1,0)</f>
        <v>#N/A</v>
      </c>
      <c r="CD21" s="53" t="e">
        <f>IF(CB21=CC21,1,0)</f>
        <v>#N/A</v>
      </c>
      <c r="CE21" s="35" t="str">
        <f t="shared" si="38"/>
        <v>0</v>
      </c>
      <c r="CG21" s="63" t="str">
        <f t="shared" si="39"/>
        <v>...</v>
      </c>
      <c r="CH21" s="64" t="e">
        <f>VLOOKUP(CG21,Лист1!$CO:$CO,1,0)</f>
        <v>#N/A</v>
      </c>
      <c r="CI21" s="53" t="e">
        <f>IF(CG21=CH21,1,0)</f>
        <v>#N/A</v>
      </c>
      <c r="CJ21" s="35" t="str">
        <f t="shared" si="41"/>
        <v>0</v>
      </c>
      <c r="CL21" s="63" t="str">
        <f>CONCATENATE(O21,".",P21)</f>
        <v>.</v>
      </c>
      <c r="CM21" s="64" t="e">
        <f>VLOOKUP(CL21,Лист1!$CS:$CS,1,0)</f>
        <v>#N/A</v>
      </c>
      <c r="CN21" s="53" t="e">
        <f>IF(CL21=CM21,1,0)</f>
        <v>#N/A</v>
      </c>
      <c r="CO21" s="35" t="str">
        <f t="shared" si="44"/>
        <v>0</v>
      </c>
      <c r="CQ21" s="63" t="str">
        <f>CONCATENATE(O21,".",Q21)</f>
        <v>.</v>
      </c>
      <c r="CR21" s="64" t="e">
        <f>VLOOKUP(CQ21,Лист1!$CW:$CW,1,0)</f>
        <v>#N/A</v>
      </c>
      <c r="CS21" s="53" t="e">
        <f>IF(CQ21=CR21,1,0)</f>
        <v>#N/A</v>
      </c>
      <c r="CT21" s="35" t="str">
        <f t="shared" si="47"/>
        <v>0</v>
      </c>
      <c r="CV21" s="64" t="e">
        <f>VLOOKUP(O21,Лист1!$CY:$DA,2,0)</f>
        <v>#N/A</v>
      </c>
      <c r="CW21" s="221">
        <f>P21</f>
        <v>0</v>
      </c>
      <c r="CX21" s="64" t="e">
        <f>VLOOKUP(E21,Лист1!$CY:$DA,2,0)</f>
        <v>#N/A</v>
      </c>
      <c r="CY21" s="64" t="e">
        <f>VLOOKUP(G21,Лист1!$CY$76:$DA$87,2,0)</f>
        <v>#N/A</v>
      </c>
      <c r="CZ21" s="64" t="e">
        <f>VLOOKUP(G21,Лист1!$CY:$DA,2,0)</f>
        <v>#N/A</v>
      </c>
      <c r="DA21" s="64" t="e">
        <f>VLOOKUP(H21,Лист1!$CY:$DA,2,0)</f>
        <v>#N/A</v>
      </c>
      <c r="DB21" s="64">
        <f>I21</f>
        <v>0</v>
      </c>
      <c r="DC21" s="64" t="e">
        <f>VLOOKUP(L21,Лист1!$CY:$DA,2,0)</f>
        <v>#N/A</v>
      </c>
      <c r="DD21" s="64" t="e">
        <f>VLOOKUP(CONCATENATE(L21,".",N21),Лист1!$CY:$DA,2,0)</f>
        <v>#N/A</v>
      </c>
      <c r="DE21" s="229" t="str">
        <f t="shared" si="50"/>
        <v/>
      </c>
      <c r="DG21" s="64" t="e">
        <f>VLOOKUP(Q21,Лист1!$CY:$DA,2,0)</f>
        <v>#N/A</v>
      </c>
      <c r="DH21" s="64" t="e">
        <f>VLOOKUP(G21,Лист1!$CY$76:$DA$87,3,0)</f>
        <v>#N/A</v>
      </c>
      <c r="DI21" s="64" t="e">
        <f>VLOOKUP(CONCATENATE(O21,".",CZ21),Лист1!$CY:$DA,2,0)</f>
        <v>#N/A</v>
      </c>
      <c r="DJ21" s="64" t="e">
        <f>VLOOKUP(H21,Лист1!$CY:$DA,2,0)</f>
        <v>#N/A</v>
      </c>
      <c r="DK21" s="64">
        <f>I21</f>
        <v>0</v>
      </c>
      <c r="DL21" s="229" t="str">
        <f>IF(R21="","",VLOOKUP(Q21,Лист1!$CY:$DA,3,0)*R21)</f>
        <v/>
      </c>
    </row>
    <row r="22" spans="1:116">
      <c r="A22" s="24" t="str">
        <f t="shared" si="2"/>
        <v>.</v>
      </c>
      <c r="B22" s="79">
        <v>12</v>
      </c>
      <c r="C22" s="438"/>
      <c r="D22" s="439"/>
      <c r="E22" s="440"/>
      <c r="F22" s="438"/>
      <c r="G22" s="441"/>
      <c r="H22" s="438"/>
      <c r="I22" s="440"/>
      <c r="J22" s="438"/>
      <c r="K22" s="440"/>
      <c r="L22" s="438"/>
      <c r="M22" s="442"/>
      <c r="N22" s="443"/>
      <c r="O22" s="444"/>
      <c r="P22" s="444"/>
      <c r="Q22" s="444"/>
      <c r="R22" s="200"/>
      <c r="S22" s="112"/>
      <c r="T22" s="194" t="str">
        <f t="shared" si="0"/>
        <v/>
      </c>
      <c r="U22" s="202" t="str">
        <f t="shared" si="1"/>
        <v/>
      </c>
      <c r="W22" s="131" t="str">
        <f t="shared" si="3"/>
        <v>0</v>
      </c>
      <c r="X22" s="128" t="str">
        <f>IF(OR(R22="",R22=0),"",SUM(ORDER!H42:H44))</f>
        <v/>
      </c>
      <c r="Y22" s="64" t="str">
        <f t="shared" si="54"/>
        <v>..</v>
      </c>
      <c r="Z22" s="64" t="str">
        <f t="shared" si="53"/>
        <v>..</v>
      </c>
      <c r="AB22" s="34">
        <f t="shared" si="5"/>
        <v>1</v>
      </c>
      <c r="AC22" s="72">
        <f t="shared" si="6"/>
        <v>13</v>
      </c>
      <c r="AD22" s="63" t="str">
        <f t="shared" si="7"/>
        <v>.</v>
      </c>
      <c r="AE22" s="64" t="e">
        <f>VLOOKUP(AD22,Лист1!$AW:$AW,1,0)</f>
        <v>#N/A</v>
      </c>
      <c r="AF22" s="53" t="e">
        <f t="shared" si="8"/>
        <v>#N/A</v>
      </c>
      <c r="AG22" s="35" t="str">
        <f t="shared" si="9"/>
        <v>0</v>
      </c>
      <c r="AI22" s="63" t="str">
        <f t="shared" si="10"/>
        <v>..</v>
      </c>
      <c r="AJ22" s="64" t="e">
        <f>VLOOKUP(AI22,Лист1!$BA:$BA,1,0)</f>
        <v>#N/A</v>
      </c>
      <c r="AK22" s="53" t="e">
        <f t="shared" si="11"/>
        <v>#N/A</v>
      </c>
      <c r="AL22" s="35" t="str">
        <f t="shared" si="12"/>
        <v>0</v>
      </c>
      <c r="AN22" s="63" t="str">
        <f t="shared" si="13"/>
        <v>.</v>
      </c>
      <c r="AO22" s="64" t="e">
        <f>VLOOKUP(AN22,Лист1!$BE:$BE,1,0)</f>
        <v>#N/A</v>
      </c>
      <c r="AP22" s="53" t="e">
        <f t="shared" si="14"/>
        <v>#N/A</v>
      </c>
      <c r="AQ22" s="35" t="str">
        <f t="shared" si="15"/>
        <v>0</v>
      </c>
      <c r="AS22" s="63" t="str">
        <f t="shared" si="16"/>
        <v>.</v>
      </c>
      <c r="AT22" s="64" t="e">
        <f>VLOOKUP(AS22,Лист1!$BI:$BI,1,0)</f>
        <v>#N/A</v>
      </c>
      <c r="AU22" s="53" t="e">
        <f t="shared" si="17"/>
        <v>#N/A</v>
      </c>
      <c r="AV22" s="35" t="str">
        <f t="shared" si="18"/>
        <v>0</v>
      </c>
      <c r="AX22" s="63" t="str">
        <f t="shared" si="19"/>
        <v>.</v>
      </c>
      <c r="AY22" s="64" t="e">
        <f>VLOOKUP(AX22,Лист1!$BM:$BM,1,0)</f>
        <v>#N/A</v>
      </c>
      <c r="AZ22" s="53" t="e">
        <f t="shared" si="20"/>
        <v>#N/A</v>
      </c>
      <c r="BA22" s="35" t="str">
        <f t="shared" si="21"/>
        <v>0</v>
      </c>
      <c r="BC22" s="63" t="str">
        <f t="shared" si="22"/>
        <v>.</v>
      </c>
      <c r="BD22" s="64" t="str">
        <f>VLOOKUP(BC22,Лист1!$BQ:$BQ,1,0)</f>
        <v>.</v>
      </c>
      <c r="BE22" s="53">
        <f t="shared" si="23"/>
        <v>1</v>
      </c>
      <c r="BF22" s="35">
        <f t="shared" si="24"/>
        <v>1</v>
      </c>
      <c r="BH22" s="63" t="str">
        <f t="shared" si="25"/>
        <v>..</v>
      </c>
      <c r="BI22" s="64" t="e">
        <f>VLOOKUP(BH22,Лист1!$BU:$BU,1,0)</f>
        <v>#N/A</v>
      </c>
      <c r="BJ22" s="53" t="e">
        <f t="shared" si="26"/>
        <v>#N/A</v>
      </c>
      <c r="BK22" s="35" t="str">
        <f t="shared" si="27"/>
        <v>0</v>
      </c>
      <c r="BM22" s="63" t="str">
        <f t="shared" si="28"/>
        <v>..</v>
      </c>
      <c r="BN22" s="64" t="e">
        <f>VLOOKUP(BM22,Лист1!$BY:$BY,1,0)</f>
        <v>#N/A</v>
      </c>
      <c r="BO22" s="53" t="e">
        <f t="shared" si="29"/>
        <v>#N/A</v>
      </c>
      <c r="BP22" s="35" t="str">
        <f t="shared" si="30"/>
        <v>0</v>
      </c>
      <c r="BR22" s="63" t="str">
        <f t="shared" si="31"/>
        <v>...</v>
      </c>
      <c r="BS22" s="64" t="e">
        <f>VLOOKUP(BR22,Лист1!$CC:$CC,1,0)</f>
        <v>#N/A</v>
      </c>
      <c r="BT22" s="53" t="e">
        <f t="shared" si="32"/>
        <v>#N/A</v>
      </c>
      <c r="BU22" s="35" t="str">
        <f t="shared" si="33"/>
        <v>0</v>
      </c>
      <c r="BW22" s="63" t="str">
        <f t="shared" si="52"/>
        <v>...</v>
      </c>
      <c r="BX22" s="64" t="e">
        <f>VLOOKUP(BW22,Лист1!$CG:$CG,1,0)</f>
        <v>#N/A</v>
      </c>
      <c r="BY22" s="53" t="e">
        <f t="shared" si="34"/>
        <v>#N/A</v>
      </c>
      <c r="BZ22" s="35" t="str">
        <f t="shared" si="35"/>
        <v>0</v>
      </c>
      <c r="CB22" s="63" t="str">
        <f t="shared" si="36"/>
        <v>.</v>
      </c>
      <c r="CC22" s="64" t="e">
        <f>VLOOKUP(CB22,Лист1!$CK:$CK,1,0)</f>
        <v>#N/A</v>
      </c>
      <c r="CD22" s="53" t="e">
        <f t="shared" si="37"/>
        <v>#N/A</v>
      </c>
      <c r="CE22" s="35" t="str">
        <f t="shared" si="38"/>
        <v>0</v>
      </c>
      <c r="CG22" s="63" t="str">
        <f t="shared" si="39"/>
        <v>...</v>
      </c>
      <c r="CH22" s="64" t="e">
        <f>VLOOKUP(CG22,Лист1!$CO:$CO,1,0)</f>
        <v>#N/A</v>
      </c>
      <c r="CI22" s="53" t="e">
        <f t="shared" si="40"/>
        <v>#N/A</v>
      </c>
      <c r="CJ22" s="35" t="str">
        <f t="shared" si="41"/>
        <v>0</v>
      </c>
      <c r="CL22" s="63" t="str">
        <f t="shared" si="42"/>
        <v>.</v>
      </c>
      <c r="CM22" s="64" t="e">
        <f>VLOOKUP(CL22,Лист1!$CS:$CS,1,0)</f>
        <v>#N/A</v>
      </c>
      <c r="CN22" s="53" t="e">
        <f t="shared" si="43"/>
        <v>#N/A</v>
      </c>
      <c r="CO22" s="35" t="str">
        <f t="shared" si="44"/>
        <v>0</v>
      </c>
      <c r="CQ22" s="63" t="str">
        <f t="shared" si="45"/>
        <v>.</v>
      </c>
      <c r="CR22" s="64" t="e">
        <f>VLOOKUP(CQ22,Лист1!$CW:$CW,1,0)</f>
        <v>#N/A</v>
      </c>
      <c r="CS22" s="53" t="e">
        <f t="shared" si="46"/>
        <v>#N/A</v>
      </c>
      <c r="CT22" s="35" t="str">
        <f t="shared" si="47"/>
        <v>0</v>
      </c>
      <c r="CV22" s="64" t="e">
        <f>VLOOKUP(O22,Лист1!$CY:$DA,2,0)</f>
        <v>#N/A</v>
      </c>
      <c r="CW22" s="221">
        <f t="shared" si="48"/>
        <v>0</v>
      </c>
      <c r="CX22" s="64" t="e">
        <f>VLOOKUP(E22,Лист1!$CY:$DA,2,0)</f>
        <v>#N/A</v>
      </c>
      <c r="CY22" s="64" t="e">
        <f>VLOOKUP(G22,Лист1!$CY$76:$DA$87,2,0)</f>
        <v>#N/A</v>
      </c>
      <c r="CZ22" s="64" t="e">
        <f>VLOOKUP(G22,Лист1!$CY:$DA,2,0)</f>
        <v>#N/A</v>
      </c>
      <c r="DA22" s="64" t="e">
        <f>VLOOKUP(H22,Лист1!$CY:$DA,2,0)</f>
        <v>#N/A</v>
      </c>
      <c r="DB22" s="64">
        <f t="shared" si="49"/>
        <v>0</v>
      </c>
      <c r="DC22" s="64" t="e">
        <f>VLOOKUP(L22,Лист1!$CY:$DA,2,0)</f>
        <v>#N/A</v>
      </c>
      <c r="DD22" s="64" t="e">
        <f>VLOOKUP(CONCATENATE(L22,".",N22),Лист1!$CY:$DA,2,0)</f>
        <v>#N/A</v>
      </c>
      <c r="DE22" s="229" t="str">
        <f t="shared" si="50"/>
        <v/>
      </c>
      <c r="DG22" s="64" t="e">
        <f>VLOOKUP(Q22,Лист1!$CY:$DA,2,0)</f>
        <v>#N/A</v>
      </c>
      <c r="DH22" s="64" t="e">
        <f>VLOOKUP(G22,Лист1!$CY$76:$DA$87,3,0)</f>
        <v>#N/A</v>
      </c>
      <c r="DI22" s="64" t="e">
        <f>VLOOKUP(CONCATENATE(O22,".",CZ22),Лист1!$CY:$DA,2,0)</f>
        <v>#N/A</v>
      </c>
      <c r="DJ22" s="64" t="e">
        <f>VLOOKUP(H22,Лист1!$CY:$DA,2,0)</f>
        <v>#N/A</v>
      </c>
      <c r="DK22" s="64">
        <f t="shared" si="51"/>
        <v>0</v>
      </c>
      <c r="DL22" s="229" t="str">
        <f>IF(R22="","",VLOOKUP(Q22,Лист1!$CY:$DA,3,0)*R22)</f>
        <v/>
      </c>
    </row>
    <row r="23" spans="1:116">
      <c r="A23" s="24" t="str">
        <f>CONCATENATE(C23,".",D23)</f>
        <v>.</v>
      </c>
      <c r="B23" s="79">
        <v>13</v>
      </c>
      <c r="C23" s="438"/>
      <c r="D23" s="439"/>
      <c r="E23" s="440"/>
      <c r="F23" s="438"/>
      <c r="G23" s="441"/>
      <c r="H23" s="438"/>
      <c r="I23" s="440"/>
      <c r="J23" s="438"/>
      <c r="K23" s="440"/>
      <c r="L23" s="438"/>
      <c r="M23" s="442"/>
      <c r="N23" s="443"/>
      <c r="O23" s="444"/>
      <c r="P23" s="444"/>
      <c r="Q23" s="444"/>
      <c r="R23" s="200"/>
      <c r="S23" s="112"/>
      <c r="T23" s="194" t="str">
        <f>IF(OR(W23="",W23="0"),"",W23)</f>
        <v/>
      </c>
      <c r="U23" s="202" t="str">
        <f>IF(R23="","",IF(NOT(AC23=0),"Ошибка в строке",""))</f>
        <v/>
      </c>
      <c r="W23" s="131" t="str">
        <f>IF(OR(ISNA(X23),NOT(AC23=0)),"0",X23)</f>
        <v>0</v>
      </c>
      <c r="X23" s="128" t="str">
        <f>IF(OR(R23="",R23=0),"",SUM(ORDER!H45:H47))</f>
        <v/>
      </c>
      <c r="Y23" s="64" t="str">
        <f t="shared" si="54"/>
        <v>..</v>
      </c>
      <c r="Z23" s="64" t="str">
        <f t="shared" si="53"/>
        <v>..</v>
      </c>
      <c r="AB23" s="34">
        <f>AG23+AL23+AQ23+AV23+BA23+BF23+BK23+BP23+BU23+BZ23+CE23+CJ23+CO23+CT23</f>
        <v>1</v>
      </c>
      <c r="AC23" s="72">
        <f t="shared" si="6"/>
        <v>13</v>
      </c>
      <c r="AD23" s="63" t="str">
        <f>CONCATENATE(C23,".",D23)</f>
        <v>.</v>
      </c>
      <c r="AE23" s="64" t="e">
        <f>VLOOKUP(AD23,Лист1!$AW:$AW,1,0)</f>
        <v>#N/A</v>
      </c>
      <c r="AF23" s="53" t="e">
        <f>IF(AD23=AE23,1,0)</f>
        <v>#N/A</v>
      </c>
      <c r="AG23" s="35" t="str">
        <f t="shared" si="9"/>
        <v>0</v>
      </c>
      <c r="AI23" s="63" t="str">
        <f>CONCATENATE(C23,".",D23,".",E23)</f>
        <v>..</v>
      </c>
      <c r="AJ23" s="64" t="e">
        <f>VLOOKUP(AI23,Лист1!$BA:$BA,1,0)</f>
        <v>#N/A</v>
      </c>
      <c r="AK23" s="53" t="e">
        <f>IF(AI23=AJ23,1,0)</f>
        <v>#N/A</v>
      </c>
      <c r="AL23" s="35" t="str">
        <f t="shared" si="12"/>
        <v>0</v>
      </c>
      <c r="AN23" s="63" t="str">
        <f>CONCATENATE(E23,".",F23,)</f>
        <v>.</v>
      </c>
      <c r="AO23" s="64" t="e">
        <f>VLOOKUP(AN23,Лист1!$BE:$BE,1,0)</f>
        <v>#N/A</v>
      </c>
      <c r="AP23" s="53" t="e">
        <f>IF(AN23=AO23,1,0)</f>
        <v>#N/A</v>
      </c>
      <c r="AQ23" s="35" t="str">
        <f t="shared" si="15"/>
        <v>0</v>
      </c>
      <c r="AS23" s="63" t="str">
        <f>CONCATENATE(F23,".",G23,)</f>
        <v>.</v>
      </c>
      <c r="AT23" s="64" t="e">
        <f>VLOOKUP(AS23,Лист1!$BI:$BI,1,0)</f>
        <v>#N/A</v>
      </c>
      <c r="AU23" s="53" t="e">
        <f>IF(AS23=AT23,1,0)</f>
        <v>#N/A</v>
      </c>
      <c r="AV23" s="35" t="str">
        <f t="shared" si="18"/>
        <v>0</v>
      </c>
      <c r="AX23" s="63" t="str">
        <f>CONCATENATE(C23,".",H23,)</f>
        <v>.</v>
      </c>
      <c r="AY23" s="64" t="e">
        <f>VLOOKUP(AX23,Лист1!$BM:$BM,1,0)</f>
        <v>#N/A</v>
      </c>
      <c r="AZ23" s="53" t="e">
        <f>IF(AX23=AY23,1,0)</f>
        <v>#N/A</v>
      </c>
      <c r="BA23" s="35" t="str">
        <f t="shared" si="21"/>
        <v>0</v>
      </c>
      <c r="BC23" s="63" t="str">
        <f>CONCATENATE(H23,".",I23,)</f>
        <v>.</v>
      </c>
      <c r="BD23" s="64" t="str">
        <f>VLOOKUP(BC23,Лист1!$BQ:$BQ,1,0)</f>
        <v>.</v>
      </c>
      <c r="BE23" s="53">
        <f>IF(BC23=BD23,1,0)</f>
        <v>1</v>
      </c>
      <c r="BF23" s="35">
        <f t="shared" si="24"/>
        <v>1</v>
      </c>
      <c r="BH23" s="63" t="str">
        <f>CONCATENATE(C23,".",D23,".",J23)</f>
        <v>..</v>
      </c>
      <c r="BI23" s="64" t="e">
        <f>VLOOKUP(BH23,Лист1!$BU:$BU,1,0)</f>
        <v>#N/A</v>
      </c>
      <c r="BJ23" s="53" t="e">
        <f>IF(BH23=BI23,1,0)</f>
        <v>#N/A</v>
      </c>
      <c r="BK23" s="35" t="str">
        <f t="shared" si="27"/>
        <v>0</v>
      </c>
      <c r="BM23" s="63" t="str">
        <f>CONCATENATE(C23,".",D23,".",K23)</f>
        <v>..</v>
      </c>
      <c r="BN23" s="64" t="e">
        <f>VLOOKUP(BM23,Лист1!$BY:$BY,1,0)</f>
        <v>#N/A</v>
      </c>
      <c r="BO23" s="53" t="e">
        <f>IF(BM23=BN23,1,0)</f>
        <v>#N/A</v>
      </c>
      <c r="BP23" s="35" t="str">
        <f t="shared" si="30"/>
        <v>0</v>
      </c>
      <c r="BR23" s="63" t="str">
        <f>CONCATENATE(C23,".",E23,".",F23,".",L23)</f>
        <v>...</v>
      </c>
      <c r="BS23" s="64" t="e">
        <f>VLOOKUP(BR23,Лист1!$CC:$CC,1,0)</f>
        <v>#N/A</v>
      </c>
      <c r="BT23" s="53" t="e">
        <f>IF(BR23=BS23,1,0)</f>
        <v>#N/A</v>
      </c>
      <c r="BU23" s="35" t="str">
        <f t="shared" si="33"/>
        <v>0</v>
      </c>
      <c r="BW23" s="63" t="str">
        <f t="shared" si="52"/>
        <v>...</v>
      </c>
      <c r="BX23" s="64" t="e">
        <f>VLOOKUP(BW23,Лист1!$CG:$CG,1,0)</f>
        <v>#N/A</v>
      </c>
      <c r="BY23" s="53" t="e">
        <f>IF(BW23=BX23,1,0)</f>
        <v>#N/A</v>
      </c>
      <c r="BZ23" s="35" t="str">
        <f t="shared" si="35"/>
        <v>0</v>
      </c>
      <c r="CB23" s="63" t="str">
        <f>CONCATENATE(L23,".",N23)</f>
        <v>.</v>
      </c>
      <c r="CC23" s="64" t="e">
        <f>VLOOKUP(CB23,Лист1!$CK:$CK,1,0)</f>
        <v>#N/A</v>
      </c>
      <c r="CD23" s="53" t="e">
        <f>IF(CB23=CC23,1,0)</f>
        <v>#N/A</v>
      </c>
      <c r="CE23" s="35" t="str">
        <f t="shared" si="38"/>
        <v>0</v>
      </c>
      <c r="CG23" s="63" t="str">
        <f t="shared" si="39"/>
        <v>...</v>
      </c>
      <c r="CH23" s="64" t="e">
        <f>VLOOKUP(CG23,Лист1!$CO:$CO,1,0)</f>
        <v>#N/A</v>
      </c>
      <c r="CI23" s="53" t="e">
        <f>IF(CG23=CH23,1,0)</f>
        <v>#N/A</v>
      </c>
      <c r="CJ23" s="35" t="str">
        <f t="shared" si="41"/>
        <v>0</v>
      </c>
      <c r="CL23" s="63" t="str">
        <f>CONCATENATE(O23,".",P23)</f>
        <v>.</v>
      </c>
      <c r="CM23" s="64" t="e">
        <f>VLOOKUP(CL23,Лист1!$CS:$CS,1,0)</f>
        <v>#N/A</v>
      </c>
      <c r="CN23" s="53" t="e">
        <f>IF(CL23=CM23,1,0)</f>
        <v>#N/A</v>
      </c>
      <c r="CO23" s="35" t="str">
        <f t="shared" si="44"/>
        <v>0</v>
      </c>
      <c r="CQ23" s="63" t="str">
        <f>CONCATENATE(O23,".",Q23)</f>
        <v>.</v>
      </c>
      <c r="CR23" s="64" t="e">
        <f>VLOOKUP(CQ23,Лист1!$CW:$CW,1,0)</f>
        <v>#N/A</v>
      </c>
      <c r="CS23" s="53" t="e">
        <f>IF(CQ23=CR23,1,0)</f>
        <v>#N/A</v>
      </c>
      <c r="CT23" s="35" t="str">
        <f t="shared" si="47"/>
        <v>0</v>
      </c>
      <c r="CV23" s="64" t="e">
        <f>VLOOKUP(O23,Лист1!$CY:$DA,2,0)</f>
        <v>#N/A</v>
      </c>
      <c r="CW23" s="221">
        <f>P23</f>
        <v>0</v>
      </c>
      <c r="CX23" s="64" t="e">
        <f>VLOOKUP(E23,Лист1!$CY:$DA,2,0)</f>
        <v>#N/A</v>
      </c>
      <c r="CY23" s="64" t="e">
        <f>VLOOKUP(G23,Лист1!$CY$76:$DA$87,2,0)</f>
        <v>#N/A</v>
      </c>
      <c r="CZ23" s="64" t="e">
        <f>VLOOKUP(G23,Лист1!$CY:$DA,2,0)</f>
        <v>#N/A</v>
      </c>
      <c r="DA23" s="64" t="e">
        <f>VLOOKUP(H23,Лист1!$CY:$DA,2,0)</f>
        <v>#N/A</v>
      </c>
      <c r="DB23" s="64">
        <f>I23</f>
        <v>0</v>
      </c>
      <c r="DC23" s="64" t="e">
        <f>VLOOKUP(L23,Лист1!$CY:$DA,2,0)</f>
        <v>#N/A</v>
      </c>
      <c r="DD23" s="64" t="e">
        <f>VLOOKUP(CONCATENATE(L23,".",N23),Лист1!$CY:$DA,2,0)</f>
        <v>#N/A</v>
      </c>
      <c r="DE23" s="229" t="str">
        <f t="shared" si="50"/>
        <v/>
      </c>
      <c r="DG23" s="64" t="e">
        <f>VLOOKUP(Q23,Лист1!$CY:$DA,2,0)</f>
        <v>#N/A</v>
      </c>
      <c r="DH23" s="64" t="e">
        <f>VLOOKUP(G23,Лист1!$CY$76:$DA$87,3,0)</f>
        <v>#N/A</v>
      </c>
      <c r="DI23" s="64" t="e">
        <f>VLOOKUP(CONCATENATE(O23,".",CZ23),Лист1!$CY:$DA,2,0)</f>
        <v>#N/A</v>
      </c>
      <c r="DJ23" s="64" t="e">
        <f>VLOOKUP(H23,Лист1!$CY:$DA,2,0)</f>
        <v>#N/A</v>
      </c>
      <c r="DK23" s="64">
        <f>I23</f>
        <v>0</v>
      </c>
      <c r="DL23" s="229" t="str">
        <f>IF(R23="","",VLOOKUP(Q23,Лист1!$CY:$DA,3,0)*R23)</f>
        <v/>
      </c>
    </row>
    <row r="24" spans="1:116">
      <c r="A24" s="24" t="str">
        <f t="shared" si="2"/>
        <v>.</v>
      </c>
      <c r="B24" s="79">
        <v>14</v>
      </c>
      <c r="C24" s="438"/>
      <c r="D24" s="439"/>
      <c r="E24" s="440"/>
      <c r="F24" s="438"/>
      <c r="G24" s="441"/>
      <c r="H24" s="438"/>
      <c r="I24" s="440"/>
      <c r="J24" s="438"/>
      <c r="K24" s="440"/>
      <c r="L24" s="438"/>
      <c r="M24" s="442"/>
      <c r="N24" s="443"/>
      <c r="O24" s="444"/>
      <c r="P24" s="444"/>
      <c r="Q24" s="444"/>
      <c r="R24" s="200"/>
      <c r="S24" s="112"/>
      <c r="T24" s="194" t="str">
        <f t="shared" si="0"/>
        <v/>
      </c>
      <c r="U24" s="202" t="str">
        <f t="shared" si="1"/>
        <v/>
      </c>
      <c r="W24" s="131" t="str">
        <f t="shared" si="3"/>
        <v>0</v>
      </c>
      <c r="X24" s="128" t="str">
        <f>IF(OR(R24="",R24=0),"",SUM(ORDER!H48:H50))</f>
        <v/>
      </c>
      <c r="Y24" s="64" t="str">
        <f t="shared" si="4"/>
        <v>..</v>
      </c>
      <c r="Z24" s="64" t="str">
        <f t="shared" si="53"/>
        <v>..</v>
      </c>
      <c r="AB24" s="34">
        <f t="shared" si="5"/>
        <v>1</v>
      </c>
      <c r="AC24" s="72">
        <f t="shared" si="6"/>
        <v>13</v>
      </c>
      <c r="AD24" s="63" t="str">
        <f t="shared" si="7"/>
        <v>.</v>
      </c>
      <c r="AE24" s="64" t="e">
        <f>VLOOKUP(AD24,Лист1!$AW:$AW,1,0)</f>
        <v>#N/A</v>
      </c>
      <c r="AF24" s="53" t="e">
        <f t="shared" si="8"/>
        <v>#N/A</v>
      </c>
      <c r="AG24" s="35" t="str">
        <f t="shared" si="9"/>
        <v>0</v>
      </c>
      <c r="AI24" s="63" t="str">
        <f t="shared" si="10"/>
        <v>..</v>
      </c>
      <c r="AJ24" s="64" t="e">
        <f>VLOOKUP(AI24,Лист1!$BA:$BA,1,0)</f>
        <v>#N/A</v>
      </c>
      <c r="AK24" s="53" t="e">
        <f t="shared" si="11"/>
        <v>#N/A</v>
      </c>
      <c r="AL24" s="35" t="str">
        <f t="shared" si="12"/>
        <v>0</v>
      </c>
      <c r="AN24" s="63" t="str">
        <f t="shared" si="13"/>
        <v>.</v>
      </c>
      <c r="AO24" s="64" t="e">
        <f>VLOOKUP(AN24,Лист1!$BE:$BE,1,0)</f>
        <v>#N/A</v>
      </c>
      <c r="AP24" s="53" t="e">
        <f t="shared" si="14"/>
        <v>#N/A</v>
      </c>
      <c r="AQ24" s="35" t="str">
        <f t="shared" si="15"/>
        <v>0</v>
      </c>
      <c r="AS24" s="63" t="str">
        <f t="shared" si="16"/>
        <v>.</v>
      </c>
      <c r="AT24" s="64" t="e">
        <f>VLOOKUP(AS24,Лист1!$BI:$BI,1,0)</f>
        <v>#N/A</v>
      </c>
      <c r="AU24" s="53" t="e">
        <f t="shared" si="17"/>
        <v>#N/A</v>
      </c>
      <c r="AV24" s="35" t="str">
        <f t="shared" si="18"/>
        <v>0</v>
      </c>
      <c r="AX24" s="63" t="str">
        <f t="shared" si="19"/>
        <v>.</v>
      </c>
      <c r="AY24" s="64" t="e">
        <f>VLOOKUP(AX24,Лист1!$BM:$BM,1,0)</f>
        <v>#N/A</v>
      </c>
      <c r="AZ24" s="53" t="e">
        <f t="shared" si="20"/>
        <v>#N/A</v>
      </c>
      <c r="BA24" s="35" t="str">
        <f t="shared" si="21"/>
        <v>0</v>
      </c>
      <c r="BC24" s="63" t="str">
        <f t="shared" si="22"/>
        <v>.</v>
      </c>
      <c r="BD24" s="64" t="str">
        <f>VLOOKUP(BC24,Лист1!$BQ:$BQ,1,0)</f>
        <v>.</v>
      </c>
      <c r="BE24" s="53">
        <f t="shared" si="23"/>
        <v>1</v>
      </c>
      <c r="BF24" s="35">
        <f t="shared" si="24"/>
        <v>1</v>
      </c>
      <c r="BH24" s="63" t="str">
        <f t="shared" si="25"/>
        <v>..</v>
      </c>
      <c r="BI24" s="64" t="e">
        <f>VLOOKUP(BH24,Лист1!$BU:$BU,1,0)</f>
        <v>#N/A</v>
      </c>
      <c r="BJ24" s="53" t="e">
        <f t="shared" si="26"/>
        <v>#N/A</v>
      </c>
      <c r="BK24" s="35" t="str">
        <f t="shared" si="27"/>
        <v>0</v>
      </c>
      <c r="BM24" s="63" t="str">
        <f t="shared" si="28"/>
        <v>..</v>
      </c>
      <c r="BN24" s="64" t="e">
        <f>VLOOKUP(BM24,Лист1!$BY:$BY,1,0)</f>
        <v>#N/A</v>
      </c>
      <c r="BO24" s="53" t="e">
        <f t="shared" si="29"/>
        <v>#N/A</v>
      </c>
      <c r="BP24" s="35" t="str">
        <f t="shared" si="30"/>
        <v>0</v>
      </c>
      <c r="BR24" s="63" t="str">
        <f t="shared" si="31"/>
        <v>...</v>
      </c>
      <c r="BS24" s="64" t="e">
        <f>VLOOKUP(BR24,Лист1!$CC:$CC,1,0)</f>
        <v>#N/A</v>
      </c>
      <c r="BT24" s="53" t="e">
        <f t="shared" si="32"/>
        <v>#N/A</v>
      </c>
      <c r="BU24" s="35" t="str">
        <f t="shared" si="33"/>
        <v>0</v>
      </c>
      <c r="BW24" s="63" t="str">
        <f t="shared" si="52"/>
        <v>...</v>
      </c>
      <c r="BX24" s="64" t="e">
        <f>VLOOKUP(BW24,Лист1!$CG:$CG,1,0)</f>
        <v>#N/A</v>
      </c>
      <c r="BY24" s="53" t="e">
        <f t="shared" si="34"/>
        <v>#N/A</v>
      </c>
      <c r="BZ24" s="35" t="str">
        <f t="shared" si="35"/>
        <v>0</v>
      </c>
      <c r="CB24" s="63" t="str">
        <f t="shared" si="36"/>
        <v>.</v>
      </c>
      <c r="CC24" s="64" t="e">
        <f>VLOOKUP(CB24,Лист1!$CK:$CK,1,0)</f>
        <v>#N/A</v>
      </c>
      <c r="CD24" s="53" t="e">
        <f t="shared" si="37"/>
        <v>#N/A</v>
      </c>
      <c r="CE24" s="35" t="str">
        <f t="shared" si="38"/>
        <v>0</v>
      </c>
      <c r="CG24" s="63" t="str">
        <f t="shared" si="39"/>
        <v>...</v>
      </c>
      <c r="CH24" s="64" t="e">
        <f>VLOOKUP(CG24,Лист1!$CO:$CO,1,0)</f>
        <v>#N/A</v>
      </c>
      <c r="CI24" s="53" t="e">
        <f t="shared" si="40"/>
        <v>#N/A</v>
      </c>
      <c r="CJ24" s="35" t="str">
        <f t="shared" si="41"/>
        <v>0</v>
      </c>
      <c r="CL24" s="63" t="str">
        <f t="shared" si="42"/>
        <v>.</v>
      </c>
      <c r="CM24" s="64" t="e">
        <f>VLOOKUP(CL24,Лист1!$CS:$CS,1,0)</f>
        <v>#N/A</v>
      </c>
      <c r="CN24" s="53" t="e">
        <f t="shared" si="43"/>
        <v>#N/A</v>
      </c>
      <c r="CO24" s="35" t="str">
        <f t="shared" si="44"/>
        <v>0</v>
      </c>
      <c r="CQ24" s="63" t="str">
        <f t="shared" si="45"/>
        <v>.</v>
      </c>
      <c r="CR24" s="64" t="e">
        <f>VLOOKUP(CQ24,Лист1!$CW:$CW,1,0)</f>
        <v>#N/A</v>
      </c>
      <c r="CS24" s="53" t="e">
        <f t="shared" si="46"/>
        <v>#N/A</v>
      </c>
      <c r="CT24" s="35" t="str">
        <f t="shared" si="47"/>
        <v>0</v>
      </c>
      <c r="CV24" s="64" t="e">
        <f>VLOOKUP(O24,Лист1!$CY:$DA,2,0)</f>
        <v>#N/A</v>
      </c>
      <c r="CW24" s="221">
        <f t="shared" si="48"/>
        <v>0</v>
      </c>
      <c r="CX24" s="64" t="e">
        <f>VLOOKUP(E24,Лист1!$CY:$DA,2,0)</f>
        <v>#N/A</v>
      </c>
      <c r="CY24" s="64" t="e">
        <f>VLOOKUP(G24,Лист1!$CY$76:$DA$87,2,0)</f>
        <v>#N/A</v>
      </c>
      <c r="CZ24" s="64" t="e">
        <f>VLOOKUP(G24,Лист1!$CY:$DA,2,0)</f>
        <v>#N/A</v>
      </c>
      <c r="DA24" s="64" t="e">
        <f>VLOOKUP(H24,Лист1!$CY:$DA,2,0)</f>
        <v>#N/A</v>
      </c>
      <c r="DB24" s="64">
        <f t="shared" si="49"/>
        <v>0</v>
      </c>
      <c r="DC24" s="64" t="e">
        <f>VLOOKUP(L24,Лист1!$CY:$DA,2,0)</f>
        <v>#N/A</v>
      </c>
      <c r="DD24" s="64" t="e">
        <f>VLOOKUP(CONCATENATE(L24,".",N24),Лист1!$CY:$DA,2,0)</f>
        <v>#N/A</v>
      </c>
      <c r="DE24" s="229" t="str">
        <f t="shared" si="50"/>
        <v/>
      </c>
      <c r="DG24" s="64" t="e">
        <f>VLOOKUP(Q24,Лист1!$CY:$DA,2,0)</f>
        <v>#N/A</v>
      </c>
      <c r="DH24" s="64" t="e">
        <f>VLOOKUP(G24,Лист1!$CY$76:$DA$87,3,0)</f>
        <v>#N/A</v>
      </c>
      <c r="DI24" s="64" t="e">
        <f>VLOOKUP(CONCATENATE(O24,".",CZ24),Лист1!$CY:$DA,2,0)</f>
        <v>#N/A</v>
      </c>
      <c r="DJ24" s="64" t="e">
        <f>VLOOKUP(H24,Лист1!$CY:$DA,2,0)</f>
        <v>#N/A</v>
      </c>
      <c r="DK24" s="64">
        <f t="shared" si="51"/>
        <v>0</v>
      </c>
      <c r="DL24" s="229" t="str">
        <f>IF(R24="","",VLOOKUP(Q24,Лист1!$CY:$DA,3,0)*R24)</f>
        <v/>
      </c>
    </row>
    <row r="25" spans="1:116">
      <c r="A25" s="24" t="str">
        <f t="shared" si="2"/>
        <v>.</v>
      </c>
      <c r="B25" s="79">
        <v>15</v>
      </c>
      <c r="C25" s="445"/>
      <c r="D25" s="446"/>
      <c r="E25" s="447"/>
      <c r="F25" s="445"/>
      <c r="G25" s="448"/>
      <c r="H25" s="445"/>
      <c r="I25" s="447"/>
      <c r="J25" s="445"/>
      <c r="K25" s="447"/>
      <c r="L25" s="449"/>
      <c r="M25" s="450"/>
      <c r="N25" s="451"/>
      <c r="O25" s="444"/>
      <c r="P25" s="444"/>
      <c r="Q25" s="444"/>
      <c r="R25" s="201"/>
      <c r="S25" s="177"/>
      <c r="T25" s="195" t="str">
        <f t="shared" si="0"/>
        <v/>
      </c>
      <c r="U25" s="204" t="str">
        <f t="shared" si="1"/>
        <v/>
      </c>
      <c r="W25" s="131" t="str">
        <f t="shared" si="3"/>
        <v>0</v>
      </c>
      <c r="X25" s="128" t="str">
        <f>IF(OR(R25="",R25=0),"",SUM(ORDER!H51:H53))</f>
        <v/>
      </c>
      <c r="Y25" s="64" t="str">
        <f t="shared" si="4"/>
        <v>..</v>
      </c>
      <c r="Z25" s="64" t="str">
        <f t="shared" si="53"/>
        <v>..</v>
      </c>
      <c r="AB25" s="34">
        <f t="shared" si="5"/>
        <v>1</v>
      </c>
      <c r="AC25" s="72">
        <f t="shared" si="6"/>
        <v>13</v>
      </c>
      <c r="AD25" s="63" t="str">
        <f t="shared" si="7"/>
        <v>.</v>
      </c>
      <c r="AE25" s="64" t="e">
        <f>VLOOKUP(AD25,Лист1!$AW:$AW,1,0)</f>
        <v>#N/A</v>
      </c>
      <c r="AF25" s="53" t="e">
        <f t="shared" si="8"/>
        <v>#N/A</v>
      </c>
      <c r="AG25" s="35" t="str">
        <f t="shared" si="9"/>
        <v>0</v>
      </c>
      <c r="AI25" s="63" t="str">
        <f t="shared" si="10"/>
        <v>..</v>
      </c>
      <c r="AJ25" s="64" t="e">
        <f>VLOOKUP(AI25,Лист1!$BA:$BA,1,0)</f>
        <v>#N/A</v>
      </c>
      <c r="AK25" s="53" t="e">
        <f t="shared" si="11"/>
        <v>#N/A</v>
      </c>
      <c r="AL25" s="35" t="str">
        <f t="shared" si="12"/>
        <v>0</v>
      </c>
      <c r="AN25" s="63" t="str">
        <f t="shared" si="13"/>
        <v>.</v>
      </c>
      <c r="AO25" s="64" t="e">
        <f>VLOOKUP(AN25,Лист1!$BE:$BE,1,0)</f>
        <v>#N/A</v>
      </c>
      <c r="AP25" s="53" t="e">
        <f t="shared" si="14"/>
        <v>#N/A</v>
      </c>
      <c r="AQ25" s="35" t="str">
        <f t="shared" si="15"/>
        <v>0</v>
      </c>
      <c r="AS25" s="63" t="str">
        <f t="shared" si="16"/>
        <v>.</v>
      </c>
      <c r="AT25" s="64" t="e">
        <f>VLOOKUP(AS25,Лист1!$BI:$BI,1,0)</f>
        <v>#N/A</v>
      </c>
      <c r="AU25" s="53" t="e">
        <f t="shared" si="17"/>
        <v>#N/A</v>
      </c>
      <c r="AV25" s="35" t="str">
        <f t="shared" si="18"/>
        <v>0</v>
      </c>
      <c r="AX25" s="63" t="str">
        <f t="shared" si="19"/>
        <v>.</v>
      </c>
      <c r="AY25" s="64" t="e">
        <f>VLOOKUP(AX25,Лист1!$BM:$BM,1,0)</f>
        <v>#N/A</v>
      </c>
      <c r="AZ25" s="53" t="e">
        <f t="shared" si="20"/>
        <v>#N/A</v>
      </c>
      <c r="BA25" s="35" t="str">
        <f t="shared" si="21"/>
        <v>0</v>
      </c>
      <c r="BC25" s="63" t="str">
        <f t="shared" si="22"/>
        <v>.</v>
      </c>
      <c r="BD25" s="64" t="str">
        <f>VLOOKUP(BC25,Лист1!$BQ:$BQ,1,0)</f>
        <v>.</v>
      </c>
      <c r="BE25" s="53">
        <f t="shared" si="23"/>
        <v>1</v>
      </c>
      <c r="BF25" s="35">
        <f t="shared" si="24"/>
        <v>1</v>
      </c>
      <c r="BH25" s="63" t="str">
        <f t="shared" si="25"/>
        <v>..</v>
      </c>
      <c r="BI25" s="64" t="e">
        <f>VLOOKUP(BH25,Лист1!$BU:$BU,1,0)</f>
        <v>#N/A</v>
      </c>
      <c r="BJ25" s="53" t="e">
        <f t="shared" si="26"/>
        <v>#N/A</v>
      </c>
      <c r="BK25" s="35" t="str">
        <f t="shared" si="27"/>
        <v>0</v>
      </c>
      <c r="BM25" s="63" t="str">
        <f t="shared" si="28"/>
        <v>..</v>
      </c>
      <c r="BN25" s="64" t="e">
        <f>VLOOKUP(BM25,Лист1!$BY:$BY,1,0)</f>
        <v>#N/A</v>
      </c>
      <c r="BO25" s="53" t="e">
        <f t="shared" si="29"/>
        <v>#N/A</v>
      </c>
      <c r="BP25" s="35" t="str">
        <f t="shared" si="30"/>
        <v>0</v>
      </c>
      <c r="BR25" s="63" t="str">
        <f t="shared" si="31"/>
        <v>...</v>
      </c>
      <c r="BS25" s="64" t="e">
        <f>VLOOKUP(BR25,Лист1!$CC:$CC,1,0)</f>
        <v>#N/A</v>
      </c>
      <c r="BT25" s="53" t="e">
        <f t="shared" si="32"/>
        <v>#N/A</v>
      </c>
      <c r="BU25" s="35" t="str">
        <f t="shared" si="33"/>
        <v>0</v>
      </c>
      <c r="BW25" s="63" t="str">
        <f t="shared" si="52"/>
        <v>...</v>
      </c>
      <c r="BX25" s="64" t="e">
        <f>VLOOKUP(BW25,Лист1!$CG:$CG,1,0)</f>
        <v>#N/A</v>
      </c>
      <c r="BY25" s="53" t="e">
        <f t="shared" si="34"/>
        <v>#N/A</v>
      </c>
      <c r="BZ25" s="35" t="str">
        <f t="shared" si="35"/>
        <v>0</v>
      </c>
      <c r="CB25" s="63" t="str">
        <f t="shared" si="36"/>
        <v>.</v>
      </c>
      <c r="CC25" s="64" t="e">
        <f>VLOOKUP(CB25,Лист1!$CK:$CK,1,0)</f>
        <v>#N/A</v>
      </c>
      <c r="CD25" s="53" t="e">
        <f t="shared" si="37"/>
        <v>#N/A</v>
      </c>
      <c r="CE25" s="35" t="str">
        <f t="shared" si="38"/>
        <v>0</v>
      </c>
      <c r="CG25" s="63" t="str">
        <f t="shared" si="39"/>
        <v>...</v>
      </c>
      <c r="CH25" s="64" t="e">
        <f>VLOOKUP(CG25,Лист1!$CO:$CO,1,0)</f>
        <v>#N/A</v>
      </c>
      <c r="CI25" s="53" t="e">
        <f t="shared" si="40"/>
        <v>#N/A</v>
      </c>
      <c r="CJ25" s="35" t="str">
        <f t="shared" si="41"/>
        <v>0</v>
      </c>
      <c r="CL25" s="63" t="str">
        <f t="shared" si="42"/>
        <v>.</v>
      </c>
      <c r="CM25" s="64" t="e">
        <f>VLOOKUP(CL25,Лист1!$CS:$CS,1,0)</f>
        <v>#N/A</v>
      </c>
      <c r="CN25" s="53" t="e">
        <f t="shared" si="43"/>
        <v>#N/A</v>
      </c>
      <c r="CO25" s="35" t="str">
        <f t="shared" si="44"/>
        <v>0</v>
      </c>
      <c r="CQ25" s="63" t="str">
        <f t="shared" si="45"/>
        <v>.</v>
      </c>
      <c r="CR25" s="64" t="e">
        <f>VLOOKUP(CQ25,Лист1!$CW:$CW,1,0)</f>
        <v>#N/A</v>
      </c>
      <c r="CS25" s="53" t="e">
        <f t="shared" si="46"/>
        <v>#N/A</v>
      </c>
      <c r="CT25" s="35" t="str">
        <f t="shared" si="47"/>
        <v>0</v>
      </c>
      <c r="CV25" s="64" t="e">
        <f>VLOOKUP(O25,Лист1!$CY:$DA,2,0)</f>
        <v>#N/A</v>
      </c>
      <c r="CW25" s="221">
        <f t="shared" si="48"/>
        <v>0</v>
      </c>
      <c r="CX25" s="64" t="e">
        <f>VLOOKUP(E25,Лист1!$CY:$DA,2,0)</f>
        <v>#N/A</v>
      </c>
      <c r="CY25" s="64" t="e">
        <f>VLOOKUP(G25,Лист1!$CY$76:$DA$87,2,0)</f>
        <v>#N/A</v>
      </c>
      <c r="CZ25" s="64" t="e">
        <f>VLOOKUP(G25,Лист1!$CY:$DA,2,0)</f>
        <v>#N/A</v>
      </c>
      <c r="DA25" s="64" t="e">
        <f>VLOOKUP(H25,Лист1!$CY:$DA,2,0)</f>
        <v>#N/A</v>
      </c>
      <c r="DB25" s="64">
        <f t="shared" si="49"/>
        <v>0</v>
      </c>
      <c r="DC25" s="64" t="e">
        <f>VLOOKUP(L25,Лист1!$CY:$DA,2,0)</f>
        <v>#N/A</v>
      </c>
      <c r="DD25" s="64" t="e">
        <f>VLOOKUP(CONCATENATE(L25,".",N25),Лист1!$CY:$DA,2,0)</f>
        <v>#N/A</v>
      </c>
      <c r="DE25" s="229" t="str">
        <f t="shared" si="50"/>
        <v/>
      </c>
      <c r="DG25" s="64" t="e">
        <f>VLOOKUP(Q25,Лист1!$CY:$DA,2,0)</f>
        <v>#N/A</v>
      </c>
      <c r="DH25" s="64" t="e">
        <f>VLOOKUP(G25,Лист1!$CY$76:$DA$87,3,0)</f>
        <v>#N/A</v>
      </c>
      <c r="DI25" s="64" t="e">
        <f>VLOOKUP(CONCATENATE(O25,".",CZ25),Лист1!$CY:$DA,2,0)</f>
        <v>#N/A</v>
      </c>
      <c r="DJ25" s="64" t="e">
        <f>VLOOKUP(H25,Лист1!$CY:$DA,2,0)</f>
        <v>#N/A</v>
      </c>
      <c r="DK25" s="64">
        <f t="shared" si="51"/>
        <v>0</v>
      </c>
      <c r="DL25" s="229" t="str">
        <f>IF(R25="","",VLOOKUP(Q25,Лист1!$CY:$DA,3,0)*R25)</f>
        <v/>
      </c>
    </row>
    <row r="26" spans="1:116" ht="5.0999999999999996" customHeight="1">
      <c r="B26" s="189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2"/>
      <c r="O26" s="192"/>
      <c r="P26" s="192"/>
      <c r="Q26" s="192"/>
      <c r="R26" s="190"/>
      <c r="S26" s="190"/>
      <c r="T26" s="190"/>
      <c r="U26" s="190"/>
      <c r="W26" s="132"/>
      <c r="X26" s="129"/>
    </row>
    <row r="27" spans="1:116">
      <c r="B27" s="73" t="s">
        <v>5411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7"/>
      <c r="AB27" s="34" t="str">
        <f>AD27</f>
        <v>СВЕРКА</v>
      </c>
      <c r="AD27" s="34" t="str">
        <f>"СВЕРКА"</f>
        <v>СВЕРКА</v>
      </c>
    </row>
    <row r="28" spans="1:116" ht="15" customHeight="1">
      <c r="B28" s="71" t="s">
        <v>480</v>
      </c>
      <c r="C28" s="735" t="s">
        <v>5395</v>
      </c>
      <c r="D28" s="37" t="s">
        <v>551</v>
      </c>
      <c r="E28" s="36" t="s">
        <v>5394</v>
      </c>
      <c r="F28" s="51" t="s">
        <v>319</v>
      </c>
      <c r="G28" s="52" t="s">
        <v>339</v>
      </c>
      <c r="H28" s="10" t="s">
        <v>559</v>
      </c>
      <c r="I28" s="12" t="s">
        <v>5396</v>
      </c>
      <c r="J28" s="65" t="s">
        <v>5397</v>
      </c>
      <c r="K28" s="66" t="s">
        <v>5398</v>
      </c>
      <c r="L28" s="10" t="s">
        <v>5399</v>
      </c>
      <c r="M28" s="11" t="s">
        <v>5400</v>
      </c>
      <c r="N28" s="12" t="s">
        <v>5401</v>
      </c>
      <c r="O28" s="37"/>
      <c r="P28" s="37"/>
      <c r="Q28" s="37"/>
      <c r="R28" s="87" t="s">
        <v>5403</v>
      </c>
      <c r="S28" s="71" t="s">
        <v>5404</v>
      </c>
      <c r="T28" s="84" t="s">
        <v>5405</v>
      </c>
      <c r="U28" s="50" t="s">
        <v>5406</v>
      </c>
      <c r="Y28" s="20" t="s">
        <v>1030</v>
      </c>
      <c r="Z28" s="20" t="s">
        <v>1031</v>
      </c>
      <c r="AD28" s="847" t="str">
        <f>D28</f>
        <v>мод</v>
      </c>
      <c r="AE28" s="847"/>
      <c r="AF28" s="847"/>
      <c r="AG28" s="847"/>
      <c r="AI28" s="847" t="str">
        <f>E28</f>
        <v xml:space="preserve">
викон.</v>
      </c>
      <c r="AJ28" s="847"/>
      <c r="AK28" s="847"/>
      <c r="AL28" s="847"/>
      <c r="AN28" s="847" t="str">
        <f>F28</f>
        <v>тип</v>
      </c>
      <c r="AO28" s="847"/>
      <c r="AP28" s="847"/>
      <c r="AQ28" s="847"/>
      <c r="AS28" s="847" t="str">
        <f>G28</f>
        <v>ширина</v>
      </c>
      <c r="AT28" s="847"/>
      <c r="AU28" s="847"/>
      <c r="AV28" s="847"/>
      <c r="AX28" s="847" t="str">
        <f>H28</f>
        <v>декор</v>
      </c>
      <c r="AY28" s="847"/>
      <c r="AZ28" s="847"/>
      <c r="BA28" s="847"/>
      <c r="BC28" s="847" t="str">
        <f>I28</f>
        <v xml:space="preserve">
колір</v>
      </c>
      <c r="BD28" s="847"/>
      <c r="BE28" s="847"/>
      <c r="BF28" s="847"/>
      <c r="BH28" s="847" t="str">
        <f>J28</f>
        <v>заповн.</v>
      </c>
      <c r="BI28" s="847"/>
      <c r="BJ28" s="847"/>
      <c r="BK28" s="847"/>
      <c r="BM28" s="847" t="str">
        <f>K28</f>
        <v>скло</v>
      </c>
      <c r="BN28" s="847"/>
      <c r="BO28" s="847"/>
      <c r="BP28" s="847"/>
      <c r="BR28" s="847" t="str">
        <f>L28</f>
        <v>фурнітура</v>
      </c>
      <c r="BS28" s="847"/>
      <c r="BT28" s="847"/>
      <c r="BU28" s="847"/>
      <c r="BW28" s="847" t="str">
        <f>M28</f>
        <v>вент.від</v>
      </c>
      <c r="BX28" s="847"/>
      <c r="BY28" s="847"/>
      <c r="BZ28" s="847"/>
      <c r="CB28" s="847" t="str">
        <f>N28</f>
        <v>завіса</v>
      </c>
      <c r="CC28" s="847"/>
      <c r="CD28" s="847"/>
      <c r="CE28" s="847"/>
    </row>
    <row r="29" spans="1:116">
      <c r="A29" s="24" t="str">
        <f>CONCATENATE(C29,".",D29)</f>
        <v>.</v>
      </c>
      <c r="B29" s="78">
        <v>1</v>
      </c>
      <c r="C29" s="438"/>
      <c r="D29" s="439"/>
      <c r="E29" s="440"/>
      <c r="F29" s="438"/>
      <c r="G29" s="441"/>
      <c r="H29" s="438"/>
      <c r="I29" s="440"/>
      <c r="J29" s="438"/>
      <c r="K29" s="440"/>
      <c r="L29" s="438"/>
      <c r="M29" s="442"/>
      <c r="N29" s="443"/>
      <c r="O29" s="456"/>
      <c r="P29" s="444"/>
      <c r="Q29" s="457"/>
      <c r="R29" s="199"/>
      <c r="S29" s="176"/>
      <c r="T29" s="193" t="str">
        <f t="shared" ref="T29:T43" si="55">IF(OR(W29="",W29="0"),"",W29)</f>
        <v/>
      </c>
      <c r="U29" s="203" t="str">
        <f t="shared" ref="U29:U43" si="56">IF(R29="","",IF(NOT(AC29=0),"Ошибка в строке",""))</f>
        <v/>
      </c>
      <c r="W29" s="131" t="str">
        <f>IF(OR(ISNA(X29),NOT(AC29=0)),"0",X29)</f>
        <v>0</v>
      </c>
      <c r="X29" s="128" t="str">
        <f>IF(OR(R29="",R29=0),"",ORDER!H55)</f>
        <v/>
      </c>
      <c r="Y29" s="64" t="str">
        <f>CONCATENATE(C29,".",E29,".",F29)</f>
        <v>..</v>
      </c>
      <c r="AB29" s="34">
        <f>AG29+AL29+AQ29+AV29+BA29+BF29+BK29+BP29+BU29+BZ29+CE29</f>
        <v>1</v>
      </c>
      <c r="AC29" s="72">
        <f>11-AB29</f>
        <v>10</v>
      </c>
      <c r="AD29" s="63" t="str">
        <f>CONCATENATE(C29,".",D29)</f>
        <v>.</v>
      </c>
      <c r="AE29" s="64" t="e">
        <f>VLOOKUP(AD29,Лист1!$AW:$AW,1,0)</f>
        <v>#N/A</v>
      </c>
      <c r="AF29" s="53" t="e">
        <f>IF(AD29=AE29,1,0)</f>
        <v>#N/A</v>
      </c>
      <c r="AG29" s="35" t="str">
        <f>IF(ISNA(AF29),"0",AF29)</f>
        <v>0</v>
      </c>
      <c r="AI29" s="63" t="str">
        <f>CONCATENATE(C29,".",D29,".",E29)</f>
        <v>..</v>
      </c>
      <c r="AJ29" s="64" t="e">
        <f>VLOOKUP(AI29,Лист1!$BA:$BA,1,0)</f>
        <v>#N/A</v>
      </c>
      <c r="AK29" s="53" t="e">
        <f>IF(AI29=AJ29,1,0)</f>
        <v>#N/A</v>
      </c>
      <c r="AL29" s="35" t="str">
        <f>IF(ISNA(AK29),"0",AK29)</f>
        <v>0</v>
      </c>
      <c r="AN29" s="63" t="str">
        <f>CONCATENATE(E29,".",F29,)</f>
        <v>.</v>
      </c>
      <c r="AO29" s="64" t="e">
        <f>VLOOKUP(AN29,Лист1!$BE:$BE,1,0)</f>
        <v>#N/A</v>
      </c>
      <c r="AP29" s="53" t="e">
        <f>IF(AN29=AO29,1,0)</f>
        <v>#N/A</v>
      </c>
      <c r="AQ29" s="35" t="str">
        <f>IF(ISNA(AP29),"0",AP29)</f>
        <v>0</v>
      </c>
      <c r="AS29" s="63" t="str">
        <f>CONCATENATE(F29,".",G29,)</f>
        <v>.</v>
      </c>
      <c r="AT29" s="64" t="e">
        <f>VLOOKUP(AS29,Лист1!$BI:$BI,1,0)</f>
        <v>#N/A</v>
      </c>
      <c r="AU29" s="53" t="e">
        <f>IF(AS29=AT29,1,0)</f>
        <v>#N/A</v>
      </c>
      <c r="AV29" s="35" t="str">
        <f>IF(ISNA(AU29),"0",AU29)</f>
        <v>0</v>
      </c>
      <c r="AX29" s="63" t="str">
        <f>CONCATENATE(C29,".",H29,)</f>
        <v>.</v>
      </c>
      <c r="AY29" s="64" t="e">
        <f>VLOOKUP(AX29,Лист1!$BM:$BM,1,0)</f>
        <v>#N/A</v>
      </c>
      <c r="AZ29" s="53" t="e">
        <f>IF(AX29=AY29,1,0)</f>
        <v>#N/A</v>
      </c>
      <c r="BA29" s="35" t="str">
        <f>IF(ISNA(AZ29),"0",AZ29)</f>
        <v>0</v>
      </c>
      <c r="BC29" s="63" t="str">
        <f>CONCATENATE(H29,".",I29,)</f>
        <v>.</v>
      </c>
      <c r="BD29" s="64" t="str">
        <f>VLOOKUP(BC29,Лист1!$BQ:$BQ,1,0)</f>
        <v>.</v>
      </c>
      <c r="BE29" s="53">
        <f>IF(BC29=BD29,1,0)</f>
        <v>1</v>
      </c>
      <c r="BF29" s="35">
        <f>IF(ISNA(BE29),"0",BE29)</f>
        <v>1</v>
      </c>
      <c r="BH29" s="63" t="str">
        <f>CONCATENATE(C29,".",D29,".",J29)</f>
        <v>..</v>
      </c>
      <c r="BI29" s="64" t="e">
        <f>VLOOKUP(BH29,Лист1!$BU:$BU,1,0)</f>
        <v>#N/A</v>
      </c>
      <c r="BJ29" s="53" t="e">
        <f>IF(BH29=BI29,1,0)</f>
        <v>#N/A</v>
      </c>
      <c r="BK29" s="35" t="str">
        <f>IF(ISNA(BJ29),"0",BJ29)</f>
        <v>0</v>
      </c>
      <c r="BM29" s="63" t="str">
        <f>CONCATENATE(C29,".",D29,".",K29)</f>
        <v>..</v>
      </c>
      <c r="BN29" s="64" t="e">
        <f>VLOOKUP(BM29,Лист1!$BY:$BY,1,0)</f>
        <v>#N/A</v>
      </c>
      <c r="BO29" s="53" t="e">
        <f>IF(BM29=BN29,1,0)</f>
        <v>#N/A</v>
      </c>
      <c r="BP29" s="35" t="str">
        <f>IF(ISNA(BO29),"0",BO29)</f>
        <v>0</v>
      </c>
      <c r="BR29" s="63" t="str">
        <f>CONCATENATE(C29,".",E29,".",F29,".",L29)</f>
        <v>...</v>
      </c>
      <c r="BS29" s="64" t="e">
        <f>VLOOKUP(BR29,Лист1!$CC:$CC,1,0)</f>
        <v>#N/A</v>
      </c>
      <c r="BT29" s="53" t="e">
        <f>IF(BR29=BS29,1,0)</f>
        <v>#N/A</v>
      </c>
      <c r="BU29" s="35" t="str">
        <f>IF(ISNA(BT29),"0",BT29)</f>
        <v>0</v>
      </c>
      <c r="BW29" s="63" t="str">
        <f>CONCATENATE(C29,".",E29,".",F29,".",M29)</f>
        <v>...</v>
      </c>
      <c r="BX29" s="64" t="e">
        <f>VLOOKUP(BW29,Лист1!$CG:$CG,1,0)</f>
        <v>#N/A</v>
      </c>
      <c r="BY29" s="53" t="e">
        <f>IF(BW29=BX29,1,0)</f>
        <v>#N/A</v>
      </c>
      <c r="BZ29" s="35" t="str">
        <f>IF(ISNA(BY29),"0",BY29)</f>
        <v>0</v>
      </c>
      <c r="CB29" s="63" t="str">
        <f>CONCATENATE(L29,".",N29)</f>
        <v>.</v>
      </c>
      <c r="CC29" s="64" t="e">
        <f>VLOOKUP(CB29,Лист1!$CK:$CK,1,0)</f>
        <v>#N/A</v>
      </c>
      <c r="CD29" s="53" t="e">
        <f>IF(CB29=CC29,1,0)</f>
        <v>#N/A</v>
      </c>
      <c r="CE29" s="35" t="str">
        <f>IF(ISNA(CD29),"0",CD29)</f>
        <v>0</v>
      </c>
    </row>
    <row r="30" spans="1:116">
      <c r="A30" s="24" t="str">
        <f t="shared" ref="A30:A43" si="57">CONCATENATE(C30,".",D30)</f>
        <v>.</v>
      </c>
      <c r="B30" s="79">
        <v>2</v>
      </c>
      <c r="C30" s="438"/>
      <c r="D30" s="439"/>
      <c r="E30" s="440"/>
      <c r="F30" s="438"/>
      <c r="G30" s="441"/>
      <c r="H30" s="438"/>
      <c r="I30" s="440"/>
      <c r="J30" s="438"/>
      <c r="K30" s="440"/>
      <c r="L30" s="438"/>
      <c r="M30" s="442"/>
      <c r="N30" s="443"/>
      <c r="O30" s="456"/>
      <c r="P30" s="444"/>
      <c r="Q30" s="457"/>
      <c r="R30" s="199"/>
      <c r="S30" s="112"/>
      <c r="T30" s="194" t="str">
        <f t="shared" si="55"/>
        <v/>
      </c>
      <c r="U30" s="202" t="str">
        <f t="shared" si="56"/>
        <v/>
      </c>
      <c r="W30" s="131" t="str">
        <f t="shared" ref="W30:W43" si="58">IF(OR(ISNA(X30),NOT(AC30=0)),"0",X30)</f>
        <v>0</v>
      </c>
      <c r="X30" s="128" t="str">
        <f>IF(OR(R30="",R30=0),"",ORDER!H56)</f>
        <v/>
      </c>
      <c r="Y30" s="64" t="str">
        <f t="shared" ref="Y30:Y43" si="59">CONCATENATE(C30,".",E30,".",F30)</f>
        <v>..</v>
      </c>
      <c r="AB30" s="34">
        <f t="shared" ref="AB30:AB43" si="60">AG30+AL30+AQ30+AV30+BA30+BF30+BK30+BP30+BU30+BZ30+CE30</f>
        <v>1</v>
      </c>
      <c r="AC30" s="72">
        <f t="shared" ref="AC30:AC43" si="61">11-AB30</f>
        <v>10</v>
      </c>
      <c r="AD30" s="63" t="str">
        <f t="shared" ref="AD30:AD43" si="62">CONCATENATE(C30,".",D30)</f>
        <v>.</v>
      </c>
      <c r="AE30" s="64" t="e">
        <f>VLOOKUP(AD30,Лист1!$AW:$AW,1,0)</f>
        <v>#N/A</v>
      </c>
      <c r="AF30" s="53" t="e">
        <f t="shared" ref="AF30:AF43" si="63">IF(AD30=AE30,1,0)</f>
        <v>#N/A</v>
      </c>
      <c r="AG30" s="35" t="str">
        <f t="shared" ref="AG30:AG43" si="64">IF(ISNA(AF30),"0",AF30)</f>
        <v>0</v>
      </c>
      <c r="AI30" s="63" t="str">
        <f t="shared" ref="AI30:AI43" si="65">CONCATENATE(C30,".",D30,".",E30)</f>
        <v>..</v>
      </c>
      <c r="AJ30" s="64" t="e">
        <f>VLOOKUP(AI30,Лист1!$BA:$BA,1,0)</f>
        <v>#N/A</v>
      </c>
      <c r="AK30" s="53" t="e">
        <f t="shared" ref="AK30:AK43" si="66">IF(AI30=AJ30,1,0)</f>
        <v>#N/A</v>
      </c>
      <c r="AL30" s="35" t="str">
        <f t="shared" ref="AL30:AL43" si="67">IF(ISNA(AK30),"0",AK30)</f>
        <v>0</v>
      </c>
      <c r="AN30" s="63" t="str">
        <f t="shared" ref="AN30:AN43" si="68">CONCATENATE(E30,".",F30,)</f>
        <v>.</v>
      </c>
      <c r="AO30" s="64" t="e">
        <f>VLOOKUP(AN30,Лист1!$BE:$BE,1,0)</f>
        <v>#N/A</v>
      </c>
      <c r="AP30" s="53" t="e">
        <f t="shared" ref="AP30:AP43" si="69">IF(AN30=AO30,1,0)</f>
        <v>#N/A</v>
      </c>
      <c r="AQ30" s="35" t="str">
        <f t="shared" ref="AQ30:AQ43" si="70">IF(ISNA(AP30),"0",AP30)</f>
        <v>0</v>
      </c>
      <c r="AS30" s="63" t="str">
        <f t="shared" ref="AS30:AS43" si="71">CONCATENATE(F30,".",G30,)</f>
        <v>.</v>
      </c>
      <c r="AT30" s="64" t="e">
        <f>VLOOKUP(AS30,Лист1!$BI:$BI,1,0)</f>
        <v>#N/A</v>
      </c>
      <c r="AU30" s="53" t="e">
        <f t="shared" ref="AU30:AU43" si="72">IF(AS30=AT30,1,0)</f>
        <v>#N/A</v>
      </c>
      <c r="AV30" s="35" t="str">
        <f t="shared" ref="AV30:AV43" si="73">IF(ISNA(AU30),"0",AU30)</f>
        <v>0</v>
      </c>
      <c r="AX30" s="63" t="str">
        <f t="shared" ref="AX30:AX43" si="74">CONCATENATE(C30,".",H30,)</f>
        <v>.</v>
      </c>
      <c r="AY30" s="64" t="e">
        <f>VLOOKUP(AX30,Лист1!$BM:$BM,1,0)</f>
        <v>#N/A</v>
      </c>
      <c r="AZ30" s="53" t="e">
        <f t="shared" ref="AZ30:AZ43" si="75">IF(AX30=AY30,1,0)</f>
        <v>#N/A</v>
      </c>
      <c r="BA30" s="35" t="str">
        <f t="shared" ref="BA30:BA43" si="76">IF(ISNA(AZ30),"0",AZ30)</f>
        <v>0</v>
      </c>
      <c r="BC30" s="63" t="str">
        <f t="shared" ref="BC30:BC43" si="77">CONCATENATE(H30,".",I30,)</f>
        <v>.</v>
      </c>
      <c r="BD30" s="64" t="str">
        <f>VLOOKUP(BC30,Лист1!$BQ:$BQ,1,0)</f>
        <v>.</v>
      </c>
      <c r="BE30" s="53">
        <f t="shared" ref="BE30:BE43" si="78">IF(BC30=BD30,1,0)</f>
        <v>1</v>
      </c>
      <c r="BF30" s="35">
        <f t="shared" ref="BF30:BF43" si="79">IF(ISNA(BE30),"0",BE30)</f>
        <v>1</v>
      </c>
      <c r="BH30" s="63" t="str">
        <f t="shared" ref="BH30:BH43" si="80">CONCATENATE(C30,".",D30,".",J30)</f>
        <v>..</v>
      </c>
      <c r="BI30" s="64" t="e">
        <f>VLOOKUP(BH30,Лист1!$BU:$BU,1,0)</f>
        <v>#N/A</v>
      </c>
      <c r="BJ30" s="53" t="e">
        <f t="shared" ref="BJ30:BJ43" si="81">IF(BH30=BI30,1,0)</f>
        <v>#N/A</v>
      </c>
      <c r="BK30" s="35" t="str">
        <f t="shared" ref="BK30:BK43" si="82">IF(ISNA(BJ30),"0",BJ30)</f>
        <v>0</v>
      </c>
      <c r="BM30" s="63" t="str">
        <f t="shared" ref="BM30:BM43" si="83">CONCATENATE(C30,".",D30,".",K30)</f>
        <v>..</v>
      </c>
      <c r="BN30" s="64" t="e">
        <f>VLOOKUP(BM30,Лист1!$BY:$BY,1,0)</f>
        <v>#N/A</v>
      </c>
      <c r="BO30" s="53" t="e">
        <f t="shared" ref="BO30:BO43" si="84">IF(BM30=BN30,1,0)</f>
        <v>#N/A</v>
      </c>
      <c r="BP30" s="35" t="str">
        <f t="shared" ref="BP30:BP43" si="85">IF(ISNA(BO30),"0",BO30)</f>
        <v>0</v>
      </c>
      <c r="BR30" s="63" t="str">
        <f t="shared" ref="BR30:BR43" si="86">CONCATENATE(C30,".",E30,".",F30,".",L30)</f>
        <v>...</v>
      </c>
      <c r="BS30" s="64" t="e">
        <f>VLOOKUP(BR30,Лист1!$CC:$CC,1,0)</f>
        <v>#N/A</v>
      </c>
      <c r="BT30" s="53" t="e">
        <f t="shared" ref="BT30:BT43" si="87">IF(BR30=BS30,1,0)</f>
        <v>#N/A</v>
      </c>
      <c r="BU30" s="35" t="str">
        <f t="shared" ref="BU30:BU43" si="88">IF(ISNA(BT30),"0",BT30)</f>
        <v>0</v>
      </c>
      <c r="BW30" s="63" t="str">
        <f t="shared" ref="BW30:BW43" si="89">CONCATENATE(C30,".",E30,".",F30,".",M30)</f>
        <v>...</v>
      </c>
      <c r="BX30" s="64" t="e">
        <f>VLOOKUP(BW30,Лист1!$CG:$CG,1,0)</f>
        <v>#N/A</v>
      </c>
      <c r="BY30" s="53" t="e">
        <f t="shared" ref="BY30:BY43" si="90">IF(BW30=BX30,1,0)</f>
        <v>#N/A</v>
      </c>
      <c r="BZ30" s="35" t="str">
        <f t="shared" ref="BZ30:BZ43" si="91">IF(ISNA(BY30),"0",BY30)</f>
        <v>0</v>
      </c>
      <c r="CB30" s="63" t="str">
        <f t="shared" ref="CB30:CB43" si="92">CONCATENATE(L30,".",N30)</f>
        <v>.</v>
      </c>
      <c r="CC30" s="64" t="e">
        <f>VLOOKUP(CB30,Лист1!$CK:$CK,1,0)</f>
        <v>#N/A</v>
      </c>
      <c r="CD30" s="53" t="e">
        <f t="shared" ref="CD30:CD43" si="93">IF(CB30=CC30,1,0)</f>
        <v>#N/A</v>
      </c>
      <c r="CE30" s="35" t="str">
        <f t="shared" ref="CE30:CE43" si="94">IF(ISNA(CD30),"0",CD30)</f>
        <v>0</v>
      </c>
    </row>
    <row r="31" spans="1:116">
      <c r="A31" s="24" t="str">
        <f t="shared" si="57"/>
        <v>.</v>
      </c>
      <c r="B31" s="79">
        <v>3</v>
      </c>
      <c r="C31" s="438"/>
      <c r="D31" s="439"/>
      <c r="E31" s="440"/>
      <c r="F31" s="438"/>
      <c r="G31" s="441"/>
      <c r="H31" s="438"/>
      <c r="I31" s="440"/>
      <c r="J31" s="438"/>
      <c r="K31" s="440"/>
      <c r="L31" s="438"/>
      <c r="M31" s="442"/>
      <c r="N31" s="443"/>
      <c r="O31" s="456"/>
      <c r="P31" s="444"/>
      <c r="Q31" s="457"/>
      <c r="R31" s="199"/>
      <c r="S31" s="112"/>
      <c r="T31" s="194" t="str">
        <f t="shared" si="55"/>
        <v/>
      </c>
      <c r="U31" s="202" t="str">
        <f t="shared" si="56"/>
        <v/>
      </c>
      <c r="W31" s="131" t="str">
        <f t="shared" si="58"/>
        <v>0</v>
      </c>
      <c r="X31" s="128" t="str">
        <f>IF(OR(R31="",R31=0),"",ORDER!H57)</f>
        <v/>
      </c>
      <c r="Y31" s="64" t="str">
        <f t="shared" si="59"/>
        <v>..</v>
      </c>
      <c r="AB31" s="34">
        <f t="shared" si="60"/>
        <v>1</v>
      </c>
      <c r="AC31" s="72">
        <f t="shared" si="61"/>
        <v>10</v>
      </c>
      <c r="AD31" s="63" t="str">
        <f t="shared" si="62"/>
        <v>.</v>
      </c>
      <c r="AE31" s="64" t="e">
        <f>VLOOKUP(AD31,Лист1!$AW:$AW,1,0)</f>
        <v>#N/A</v>
      </c>
      <c r="AF31" s="53" t="e">
        <f t="shared" si="63"/>
        <v>#N/A</v>
      </c>
      <c r="AG31" s="35" t="str">
        <f t="shared" si="64"/>
        <v>0</v>
      </c>
      <c r="AI31" s="63" t="str">
        <f t="shared" si="65"/>
        <v>..</v>
      </c>
      <c r="AJ31" s="64" t="e">
        <f>VLOOKUP(AI31,Лист1!$BA:$BA,1,0)</f>
        <v>#N/A</v>
      </c>
      <c r="AK31" s="53" t="e">
        <f t="shared" si="66"/>
        <v>#N/A</v>
      </c>
      <c r="AL31" s="35" t="str">
        <f t="shared" si="67"/>
        <v>0</v>
      </c>
      <c r="AN31" s="63" t="str">
        <f t="shared" si="68"/>
        <v>.</v>
      </c>
      <c r="AO31" s="64" t="e">
        <f>VLOOKUP(AN31,Лист1!$BE:$BE,1,0)</f>
        <v>#N/A</v>
      </c>
      <c r="AP31" s="53" t="e">
        <f t="shared" si="69"/>
        <v>#N/A</v>
      </c>
      <c r="AQ31" s="35" t="str">
        <f t="shared" si="70"/>
        <v>0</v>
      </c>
      <c r="AS31" s="63" t="str">
        <f t="shared" si="71"/>
        <v>.</v>
      </c>
      <c r="AT31" s="64" t="e">
        <f>VLOOKUP(AS31,Лист1!$BI:$BI,1,0)</f>
        <v>#N/A</v>
      </c>
      <c r="AU31" s="53" t="e">
        <f t="shared" si="72"/>
        <v>#N/A</v>
      </c>
      <c r="AV31" s="35" t="str">
        <f t="shared" si="73"/>
        <v>0</v>
      </c>
      <c r="AX31" s="63" t="str">
        <f t="shared" si="74"/>
        <v>.</v>
      </c>
      <c r="AY31" s="64" t="e">
        <f>VLOOKUP(AX31,Лист1!$BM:$BM,1,0)</f>
        <v>#N/A</v>
      </c>
      <c r="AZ31" s="53" t="e">
        <f t="shared" si="75"/>
        <v>#N/A</v>
      </c>
      <c r="BA31" s="35" t="str">
        <f t="shared" si="76"/>
        <v>0</v>
      </c>
      <c r="BC31" s="63" t="str">
        <f t="shared" si="77"/>
        <v>.</v>
      </c>
      <c r="BD31" s="64" t="str">
        <f>VLOOKUP(BC31,Лист1!$BQ:$BQ,1,0)</f>
        <v>.</v>
      </c>
      <c r="BE31" s="53">
        <f t="shared" si="78"/>
        <v>1</v>
      </c>
      <c r="BF31" s="35">
        <f t="shared" si="79"/>
        <v>1</v>
      </c>
      <c r="BH31" s="63" t="str">
        <f t="shared" si="80"/>
        <v>..</v>
      </c>
      <c r="BI31" s="64" t="e">
        <f>VLOOKUP(BH31,Лист1!$BU:$BU,1,0)</f>
        <v>#N/A</v>
      </c>
      <c r="BJ31" s="53" t="e">
        <f t="shared" si="81"/>
        <v>#N/A</v>
      </c>
      <c r="BK31" s="35" t="str">
        <f t="shared" si="82"/>
        <v>0</v>
      </c>
      <c r="BM31" s="63" t="str">
        <f t="shared" si="83"/>
        <v>..</v>
      </c>
      <c r="BN31" s="64" t="e">
        <f>VLOOKUP(BM31,Лист1!$BY:$BY,1,0)</f>
        <v>#N/A</v>
      </c>
      <c r="BO31" s="53" t="e">
        <f t="shared" si="84"/>
        <v>#N/A</v>
      </c>
      <c r="BP31" s="35" t="str">
        <f t="shared" si="85"/>
        <v>0</v>
      </c>
      <c r="BR31" s="63" t="str">
        <f t="shared" si="86"/>
        <v>...</v>
      </c>
      <c r="BS31" s="64" t="e">
        <f>VLOOKUP(BR31,Лист1!$CC:$CC,1,0)</f>
        <v>#N/A</v>
      </c>
      <c r="BT31" s="53" t="e">
        <f t="shared" si="87"/>
        <v>#N/A</v>
      </c>
      <c r="BU31" s="35" t="str">
        <f t="shared" si="88"/>
        <v>0</v>
      </c>
      <c r="BW31" s="63" t="str">
        <f t="shared" si="89"/>
        <v>...</v>
      </c>
      <c r="BX31" s="64" t="e">
        <f>VLOOKUP(BW31,Лист1!$CG:$CG,1,0)</f>
        <v>#N/A</v>
      </c>
      <c r="BY31" s="53" t="e">
        <f t="shared" si="90"/>
        <v>#N/A</v>
      </c>
      <c r="BZ31" s="35" t="str">
        <f t="shared" si="91"/>
        <v>0</v>
      </c>
      <c r="CB31" s="63" t="str">
        <f t="shared" si="92"/>
        <v>.</v>
      </c>
      <c r="CC31" s="64" t="e">
        <f>VLOOKUP(CB31,Лист1!$CK:$CK,1,0)</f>
        <v>#N/A</v>
      </c>
      <c r="CD31" s="53" t="e">
        <f t="shared" si="93"/>
        <v>#N/A</v>
      </c>
      <c r="CE31" s="35" t="str">
        <f t="shared" si="94"/>
        <v>0</v>
      </c>
    </row>
    <row r="32" spans="1:116">
      <c r="A32" s="24" t="str">
        <f>CONCATENATE(C32,".",D32)</f>
        <v>.</v>
      </c>
      <c r="B32" s="79">
        <v>4</v>
      </c>
      <c r="C32" s="438"/>
      <c r="D32" s="439"/>
      <c r="E32" s="440"/>
      <c r="F32" s="438"/>
      <c r="G32" s="441"/>
      <c r="H32" s="438"/>
      <c r="I32" s="440"/>
      <c r="J32" s="438"/>
      <c r="K32" s="440"/>
      <c r="L32" s="438"/>
      <c r="M32" s="442"/>
      <c r="N32" s="443"/>
      <c r="O32" s="458"/>
      <c r="P32" s="459"/>
      <c r="Q32" s="443"/>
      <c r="R32" s="200"/>
      <c r="S32" s="113"/>
      <c r="T32" s="194" t="str">
        <f>IF(OR(W32="",W32="0"),"",W32)</f>
        <v/>
      </c>
      <c r="U32" s="202" t="str">
        <f>IF(R32="","",IF(NOT(AC32=0),"Ошибка в строке",""))</f>
        <v/>
      </c>
      <c r="W32" s="131" t="str">
        <f>IF(OR(ISNA(X32),NOT(AC32=0)),"0",X32)</f>
        <v>0</v>
      </c>
      <c r="X32" s="128" t="str">
        <f>IF(OR(R32="",R32=0),"",ORDER!H58)</f>
        <v/>
      </c>
      <c r="Y32" s="64" t="str">
        <f>CONCATENATE(C32,".",E32,".",F32)</f>
        <v>..</v>
      </c>
      <c r="AB32" s="34">
        <f>AG32+AL32+AQ32+AV32+BA32+BF32+BK32+BP32+BU32+BZ32+CE32</f>
        <v>1</v>
      </c>
      <c r="AC32" s="72">
        <f t="shared" si="61"/>
        <v>10</v>
      </c>
      <c r="AD32" s="63" t="str">
        <f>CONCATENATE(C32,".",D32)</f>
        <v>.</v>
      </c>
      <c r="AE32" s="64" t="e">
        <f>VLOOKUP(AD32,Лист1!$AW:$AW,1,0)</f>
        <v>#N/A</v>
      </c>
      <c r="AF32" s="53" t="e">
        <f>IF(AD32=AE32,1,0)</f>
        <v>#N/A</v>
      </c>
      <c r="AG32" s="35" t="str">
        <f t="shared" si="64"/>
        <v>0</v>
      </c>
      <c r="AI32" s="63" t="str">
        <f>CONCATENATE(C32,".",D32,".",E32)</f>
        <v>..</v>
      </c>
      <c r="AJ32" s="64" t="e">
        <f>VLOOKUP(AI32,Лист1!$BA:$BA,1,0)</f>
        <v>#N/A</v>
      </c>
      <c r="AK32" s="53" t="e">
        <f>IF(AI32=AJ32,1,0)</f>
        <v>#N/A</v>
      </c>
      <c r="AL32" s="35" t="str">
        <f t="shared" si="67"/>
        <v>0</v>
      </c>
      <c r="AN32" s="63" t="str">
        <f>CONCATENATE(E32,".",F32,)</f>
        <v>.</v>
      </c>
      <c r="AO32" s="64" t="e">
        <f>VLOOKUP(AN32,Лист1!$BE:$BE,1,0)</f>
        <v>#N/A</v>
      </c>
      <c r="AP32" s="53" t="e">
        <f>IF(AN32=AO32,1,0)</f>
        <v>#N/A</v>
      </c>
      <c r="AQ32" s="35" t="str">
        <f t="shared" si="70"/>
        <v>0</v>
      </c>
      <c r="AS32" s="63" t="str">
        <f>CONCATENATE(F32,".",G32,)</f>
        <v>.</v>
      </c>
      <c r="AT32" s="64" t="e">
        <f>VLOOKUP(AS32,Лист1!$BI:$BI,1,0)</f>
        <v>#N/A</v>
      </c>
      <c r="AU32" s="53" t="e">
        <f>IF(AS32=AT32,1,0)</f>
        <v>#N/A</v>
      </c>
      <c r="AV32" s="35" t="str">
        <f t="shared" si="73"/>
        <v>0</v>
      </c>
      <c r="AX32" s="63" t="str">
        <f>CONCATENATE(C32,".",H32,)</f>
        <v>.</v>
      </c>
      <c r="AY32" s="64" t="e">
        <f>VLOOKUP(AX32,Лист1!$BM:$BM,1,0)</f>
        <v>#N/A</v>
      </c>
      <c r="AZ32" s="53" t="e">
        <f>IF(AX32=AY32,1,0)</f>
        <v>#N/A</v>
      </c>
      <c r="BA32" s="35" t="str">
        <f t="shared" si="76"/>
        <v>0</v>
      </c>
      <c r="BC32" s="63" t="str">
        <f>CONCATENATE(H32,".",I32,)</f>
        <v>.</v>
      </c>
      <c r="BD32" s="64" t="str">
        <f>VLOOKUP(BC32,Лист1!$BQ:$BQ,1,0)</f>
        <v>.</v>
      </c>
      <c r="BE32" s="53">
        <f>IF(BC32=BD32,1,0)</f>
        <v>1</v>
      </c>
      <c r="BF32" s="35">
        <f t="shared" si="79"/>
        <v>1</v>
      </c>
      <c r="BH32" s="63" t="str">
        <f>CONCATENATE(C32,".",D32,".",J32)</f>
        <v>..</v>
      </c>
      <c r="BI32" s="64" t="e">
        <f>VLOOKUP(BH32,Лист1!$BU:$BU,1,0)</f>
        <v>#N/A</v>
      </c>
      <c r="BJ32" s="53" t="e">
        <f>IF(BH32=BI32,1,0)</f>
        <v>#N/A</v>
      </c>
      <c r="BK32" s="35" t="str">
        <f t="shared" si="82"/>
        <v>0</v>
      </c>
      <c r="BM32" s="63" t="str">
        <f>CONCATENATE(C32,".",D32,".",K32)</f>
        <v>..</v>
      </c>
      <c r="BN32" s="64" t="e">
        <f>VLOOKUP(BM32,Лист1!$BY:$BY,1,0)</f>
        <v>#N/A</v>
      </c>
      <c r="BO32" s="53" t="e">
        <f>IF(BM32=BN32,1,0)</f>
        <v>#N/A</v>
      </c>
      <c r="BP32" s="35" t="str">
        <f t="shared" si="85"/>
        <v>0</v>
      </c>
      <c r="BR32" s="63" t="str">
        <f>CONCATENATE(C32,".",E32,".",F32,".",L32)</f>
        <v>...</v>
      </c>
      <c r="BS32" s="64" t="e">
        <f>VLOOKUP(BR32,Лист1!$CC:$CC,1,0)</f>
        <v>#N/A</v>
      </c>
      <c r="BT32" s="53" t="e">
        <f>IF(BR32=BS32,1,0)</f>
        <v>#N/A</v>
      </c>
      <c r="BU32" s="35" t="str">
        <f t="shared" si="88"/>
        <v>0</v>
      </c>
      <c r="BW32" s="63" t="str">
        <f t="shared" si="89"/>
        <v>...</v>
      </c>
      <c r="BX32" s="64" t="e">
        <f>VLOOKUP(BW32,Лист1!$CG:$CG,1,0)</f>
        <v>#N/A</v>
      </c>
      <c r="BY32" s="53" t="e">
        <f>IF(BW32=BX32,1,0)</f>
        <v>#N/A</v>
      </c>
      <c r="BZ32" s="35" t="str">
        <f t="shared" si="91"/>
        <v>0</v>
      </c>
      <c r="CB32" s="63" t="str">
        <f>CONCATENATE(L32,".",N32)</f>
        <v>.</v>
      </c>
      <c r="CC32" s="64" t="e">
        <f>VLOOKUP(CB32,Лист1!$CK:$CK,1,0)</f>
        <v>#N/A</v>
      </c>
      <c r="CD32" s="53" t="e">
        <f>IF(CB32=CC32,1,0)</f>
        <v>#N/A</v>
      </c>
      <c r="CE32" s="35" t="str">
        <f t="shared" si="94"/>
        <v>0</v>
      </c>
    </row>
    <row r="33" spans="1:83">
      <c r="A33" s="24" t="str">
        <f>CONCATENATE(C33,".",D33)</f>
        <v>.</v>
      </c>
      <c r="B33" s="79">
        <v>5</v>
      </c>
      <c r="C33" s="438"/>
      <c r="D33" s="439"/>
      <c r="E33" s="440"/>
      <c r="F33" s="438"/>
      <c r="G33" s="441"/>
      <c r="H33" s="438"/>
      <c r="I33" s="440"/>
      <c r="J33" s="438"/>
      <c r="K33" s="440"/>
      <c r="L33" s="438"/>
      <c r="M33" s="442"/>
      <c r="N33" s="443"/>
      <c r="O33" s="456"/>
      <c r="P33" s="444"/>
      <c r="Q33" s="457"/>
      <c r="R33" s="199"/>
      <c r="S33" s="112"/>
      <c r="T33" s="194" t="str">
        <f>IF(OR(W33="",W33="0"),"",W33)</f>
        <v/>
      </c>
      <c r="U33" s="202" t="str">
        <f>IF(R33="","",IF(NOT(AC33=0),"Ошибка в строке",""))</f>
        <v/>
      </c>
      <c r="W33" s="131" t="str">
        <f>IF(OR(ISNA(X33),NOT(AC33=0)),"0",X33)</f>
        <v>0</v>
      </c>
      <c r="X33" s="128" t="str">
        <f>IF(OR(R33="",R33=0),"",ORDER!H59)</f>
        <v/>
      </c>
      <c r="Y33" s="64" t="str">
        <f>CONCATENATE(C33,".",E33,".",F33)</f>
        <v>..</v>
      </c>
      <c r="AB33" s="34">
        <f>AG33+AL33+AQ33+AV33+BA33+BF33+BK33+BP33+BU33+BZ33+CE33</f>
        <v>1</v>
      </c>
      <c r="AC33" s="72">
        <f t="shared" si="61"/>
        <v>10</v>
      </c>
      <c r="AD33" s="63" t="str">
        <f>CONCATENATE(C33,".",D33)</f>
        <v>.</v>
      </c>
      <c r="AE33" s="64" t="e">
        <f>VLOOKUP(AD33,Лист1!$AW:$AW,1,0)</f>
        <v>#N/A</v>
      </c>
      <c r="AF33" s="53" t="e">
        <f>IF(AD33=AE33,1,0)</f>
        <v>#N/A</v>
      </c>
      <c r="AG33" s="35" t="str">
        <f t="shared" si="64"/>
        <v>0</v>
      </c>
      <c r="AI33" s="63" t="str">
        <f>CONCATENATE(C33,".",D33,".",E33)</f>
        <v>..</v>
      </c>
      <c r="AJ33" s="64" t="e">
        <f>VLOOKUP(AI33,Лист1!$BA:$BA,1,0)</f>
        <v>#N/A</v>
      </c>
      <c r="AK33" s="53" t="e">
        <f>IF(AI33=AJ33,1,0)</f>
        <v>#N/A</v>
      </c>
      <c r="AL33" s="35" t="str">
        <f t="shared" si="67"/>
        <v>0</v>
      </c>
      <c r="AN33" s="63" t="str">
        <f>CONCATENATE(E33,".",F33,)</f>
        <v>.</v>
      </c>
      <c r="AO33" s="64" t="e">
        <f>VLOOKUP(AN33,Лист1!$BE:$BE,1,0)</f>
        <v>#N/A</v>
      </c>
      <c r="AP33" s="53" t="e">
        <f>IF(AN33=AO33,1,0)</f>
        <v>#N/A</v>
      </c>
      <c r="AQ33" s="35" t="str">
        <f t="shared" si="70"/>
        <v>0</v>
      </c>
      <c r="AS33" s="63" t="str">
        <f>CONCATENATE(F33,".",G33,)</f>
        <v>.</v>
      </c>
      <c r="AT33" s="64" t="e">
        <f>VLOOKUP(AS33,Лист1!$BI:$BI,1,0)</f>
        <v>#N/A</v>
      </c>
      <c r="AU33" s="53" t="e">
        <f>IF(AS33=AT33,1,0)</f>
        <v>#N/A</v>
      </c>
      <c r="AV33" s="35" t="str">
        <f t="shared" si="73"/>
        <v>0</v>
      </c>
      <c r="AX33" s="63" t="str">
        <f>CONCATENATE(C33,".",H33,)</f>
        <v>.</v>
      </c>
      <c r="AY33" s="64" t="e">
        <f>VLOOKUP(AX33,Лист1!$BM:$BM,1,0)</f>
        <v>#N/A</v>
      </c>
      <c r="AZ33" s="53" t="e">
        <f>IF(AX33=AY33,1,0)</f>
        <v>#N/A</v>
      </c>
      <c r="BA33" s="35" t="str">
        <f t="shared" si="76"/>
        <v>0</v>
      </c>
      <c r="BC33" s="63" t="str">
        <f>CONCATENATE(H33,".",I33,)</f>
        <v>.</v>
      </c>
      <c r="BD33" s="64" t="str">
        <f>VLOOKUP(BC33,Лист1!$BQ:$BQ,1,0)</f>
        <v>.</v>
      </c>
      <c r="BE33" s="53">
        <f>IF(BC33=BD33,1,0)</f>
        <v>1</v>
      </c>
      <c r="BF33" s="35">
        <f t="shared" si="79"/>
        <v>1</v>
      </c>
      <c r="BH33" s="63" t="str">
        <f>CONCATENATE(C33,".",D33,".",J33)</f>
        <v>..</v>
      </c>
      <c r="BI33" s="64" t="e">
        <f>VLOOKUP(BH33,Лист1!$BU:$BU,1,0)</f>
        <v>#N/A</v>
      </c>
      <c r="BJ33" s="53" t="e">
        <f>IF(BH33=BI33,1,0)</f>
        <v>#N/A</v>
      </c>
      <c r="BK33" s="35" t="str">
        <f t="shared" si="82"/>
        <v>0</v>
      </c>
      <c r="BM33" s="63" t="str">
        <f>CONCATENATE(C33,".",D33,".",K33)</f>
        <v>..</v>
      </c>
      <c r="BN33" s="64" t="e">
        <f>VLOOKUP(BM33,Лист1!$BY:$BY,1,0)</f>
        <v>#N/A</v>
      </c>
      <c r="BO33" s="53" t="e">
        <f>IF(BM33=BN33,1,0)</f>
        <v>#N/A</v>
      </c>
      <c r="BP33" s="35" t="str">
        <f t="shared" si="85"/>
        <v>0</v>
      </c>
      <c r="BR33" s="63" t="str">
        <f>CONCATENATE(C33,".",E33,".",F33,".",L33)</f>
        <v>...</v>
      </c>
      <c r="BS33" s="64" t="e">
        <f>VLOOKUP(BR33,Лист1!$CC:$CC,1,0)</f>
        <v>#N/A</v>
      </c>
      <c r="BT33" s="53" t="e">
        <f>IF(BR33=BS33,1,0)</f>
        <v>#N/A</v>
      </c>
      <c r="BU33" s="35" t="str">
        <f t="shared" si="88"/>
        <v>0</v>
      </c>
      <c r="BW33" s="63" t="str">
        <f t="shared" si="89"/>
        <v>...</v>
      </c>
      <c r="BX33" s="64" t="e">
        <f>VLOOKUP(BW33,Лист1!$CG:$CG,1,0)</f>
        <v>#N/A</v>
      </c>
      <c r="BY33" s="53" t="e">
        <f>IF(BW33=BX33,1,0)</f>
        <v>#N/A</v>
      </c>
      <c r="BZ33" s="35" t="str">
        <f t="shared" si="91"/>
        <v>0</v>
      </c>
      <c r="CB33" s="63" t="str">
        <f>CONCATENATE(L33,".",N33)</f>
        <v>.</v>
      </c>
      <c r="CC33" s="64" t="e">
        <f>VLOOKUP(CB33,Лист1!$CK:$CK,1,0)</f>
        <v>#N/A</v>
      </c>
      <c r="CD33" s="53" t="e">
        <f>IF(CB33=CC33,1,0)</f>
        <v>#N/A</v>
      </c>
      <c r="CE33" s="35" t="str">
        <f t="shared" si="94"/>
        <v>0</v>
      </c>
    </row>
    <row r="34" spans="1:83">
      <c r="A34" s="24" t="str">
        <f>CONCATENATE(C34,".",D34)</f>
        <v>.</v>
      </c>
      <c r="B34" s="79">
        <v>6</v>
      </c>
      <c r="C34" s="438"/>
      <c r="D34" s="439"/>
      <c r="E34" s="440"/>
      <c r="F34" s="438"/>
      <c r="G34" s="441"/>
      <c r="H34" s="438"/>
      <c r="I34" s="440"/>
      <c r="J34" s="438"/>
      <c r="K34" s="440"/>
      <c r="L34" s="438"/>
      <c r="M34" s="442"/>
      <c r="N34" s="443"/>
      <c r="O34" s="458"/>
      <c r="P34" s="459"/>
      <c r="Q34" s="443"/>
      <c r="R34" s="200"/>
      <c r="S34" s="112"/>
      <c r="T34" s="194" t="str">
        <f>IF(OR(W34="",W34="0"),"",W34)</f>
        <v/>
      </c>
      <c r="U34" s="202" t="str">
        <f>IF(R34="","",IF(NOT(AC34=0),"Ошибка в строке",""))</f>
        <v/>
      </c>
      <c r="W34" s="131" t="str">
        <f>IF(OR(ISNA(X34),NOT(AC34=0)),"0",X34)</f>
        <v>0</v>
      </c>
      <c r="X34" s="128" t="str">
        <f>IF(OR(R34="",R34=0),"",ORDER!H60)</f>
        <v/>
      </c>
      <c r="Y34" s="64" t="str">
        <f>CONCATENATE(C34,".",E34,".",F34)</f>
        <v>..</v>
      </c>
      <c r="AB34" s="34">
        <f>AG34+AL34+AQ34+AV34+BA34+BF34+BK34+BP34+BU34+BZ34+CE34</f>
        <v>1</v>
      </c>
      <c r="AC34" s="72">
        <f t="shared" si="61"/>
        <v>10</v>
      </c>
      <c r="AD34" s="63" t="str">
        <f>CONCATENATE(C34,".",D34)</f>
        <v>.</v>
      </c>
      <c r="AE34" s="64" t="e">
        <f>VLOOKUP(AD34,Лист1!$AW:$AW,1,0)</f>
        <v>#N/A</v>
      </c>
      <c r="AF34" s="53" t="e">
        <f>IF(AD34=AE34,1,0)</f>
        <v>#N/A</v>
      </c>
      <c r="AG34" s="35" t="str">
        <f t="shared" si="64"/>
        <v>0</v>
      </c>
      <c r="AI34" s="63" t="str">
        <f>CONCATENATE(C34,".",D34,".",E34)</f>
        <v>..</v>
      </c>
      <c r="AJ34" s="64" t="e">
        <f>VLOOKUP(AI34,Лист1!$BA:$BA,1,0)</f>
        <v>#N/A</v>
      </c>
      <c r="AK34" s="53" t="e">
        <f>IF(AI34=AJ34,1,0)</f>
        <v>#N/A</v>
      </c>
      <c r="AL34" s="35" t="str">
        <f t="shared" si="67"/>
        <v>0</v>
      </c>
      <c r="AN34" s="63" t="str">
        <f>CONCATENATE(E34,".",F34,)</f>
        <v>.</v>
      </c>
      <c r="AO34" s="64" t="e">
        <f>VLOOKUP(AN34,Лист1!$BE:$BE,1,0)</f>
        <v>#N/A</v>
      </c>
      <c r="AP34" s="53" t="e">
        <f>IF(AN34=AO34,1,0)</f>
        <v>#N/A</v>
      </c>
      <c r="AQ34" s="35" t="str">
        <f t="shared" si="70"/>
        <v>0</v>
      </c>
      <c r="AS34" s="63" t="str">
        <f>CONCATENATE(F34,".",G34,)</f>
        <v>.</v>
      </c>
      <c r="AT34" s="64" t="e">
        <f>VLOOKUP(AS34,Лист1!$BI:$BI,1,0)</f>
        <v>#N/A</v>
      </c>
      <c r="AU34" s="53" t="e">
        <f>IF(AS34=AT34,1,0)</f>
        <v>#N/A</v>
      </c>
      <c r="AV34" s="35" t="str">
        <f t="shared" si="73"/>
        <v>0</v>
      </c>
      <c r="AX34" s="63" t="str">
        <f>CONCATENATE(C34,".",H34,)</f>
        <v>.</v>
      </c>
      <c r="AY34" s="64" t="e">
        <f>VLOOKUP(AX34,Лист1!$BM:$BM,1,0)</f>
        <v>#N/A</v>
      </c>
      <c r="AZ34" s="53" t="e">
        <f>IF(AX34=AY34,1,0)</f>
        <v>#N/A</v>
      </c>
      <c r="BA34" s="35" t="str">
        <f t="shared" si="76"/>
        <v>0</v>
      </c>
      <c r="BC34" s="63" t="str">
        <f>CONCATENATE(H34,".",I34,)</f>
        <v>.</v>
      </c>
      <c r="BD34" s="64" t="str">
        <f>VLOOKUP(BC34,Лист1!$BQ:$BQ,1,0)</f>
        <v>.</v>
      </c>
      <c r="BE34" s="53">
        <f>IF(BC34=BD34,1,0)</f>
        <v>1</v>
      </c>
      <c r="BF34" s="35">
        <f t="shared" si="79"/>
        <v>1</v>
      </c>
      <c r="BH34" s="63" t="str">
        <f>CONCATENATE(C34,".",D34,".",J34)</f>
        <v>..</v>
      </c>
      <c r="BI34" s="64" t="e">
        <f>VLOOKUP(BH34,Лист1!$BU:$BU,1,0)</f>
        <v>#N/A</v>
      </c>
      <c r="BJ34" s="53" t="e">
        <f>IF(BH34=BI34,1,0)</f>
        <v>#N/A</v>
      </c>
      <c r="BK34" s="35" t="str">
        <f t="shared" si="82"/>
        <v>0</v>
      </c>
      <c r="BM34" s="63" t="str">
        <f>CONCATENATE(C34,".",D34,".",K34)</f>
        <v>..</v>
      </c>
      <c r="BN34" s="64" t="e">
        <f>VLOOKUP(BM34,Лист1!$BY:$BY,1,0)</f>
        <v>#N/A</v>
      </c>
      <c r="BO34" s="53" t="e">
        <f>IF(BM34=BN34,1,0)</f>
        <v>#N/A</v>
      </c>
      <c r="BP34" s="35" t="str">
        <f t="shared" si="85"/>
        <v>0</v>
      </c>
      <c r="BR34" s="63" t="str">
        <f>CONCATENATE(C34,".",E34,".",F34,".",L34)</f>
        <v>...</v>
      </c>
      <c r="BS34" s="64" t="e">
        <f>VLOOKUP(BR34,Лист1!$CC:$CC,1,0)</f>
        <v>#N/A</v>
      </c>
      <c r="BT34" s="53" t="e">
        <f>IF(BR34=BS34,1,0)</f>
        <v>#N/A</v>
      </c>
      <c r="BU34" s="35" t="str">
        <f t="shared" si="88"/>
        <v>0</v>
      </c>
      <c r="BW34" s="63" t="str">
        <f t="shared" si="89"/>
        <v>...</v>
      </c>
      <c r="BX34" s="64" t="e">
        <f>VLOOKUP(BW34,Лист1!$CG:$CG,1,0)</f>
        <v>#N/A</v>
      </c>
      <c r="BY34" s="53" t="e">
        <f>IF(BW34=BX34,1,0)</f>
        <v>#N/A</v>
      </c>
      <c r="BZ34" s="35" t="str">
        <f t="shared" si="91"/>
        <v>0</v>
      </c>
      <c r="CB34" s="63" t="str">
        <f>CONCATENATE(L34,".",N34)</f>
        <v>.</v>
      </c>
      <c r="CC34" s="64" t="e">
        <f>VLOOKUP(CB34,Лист1!$CK:$CK,1,0)</f>
        <v>#N/A</v>
      </c>
      <c r="CD34" s="53" t="e">
        <f>IF(CB34=CC34,1,0)</f>
        <v>#N/A</v>
      </c>
      <c r="CE34" s="35" t="str">
        <f t="shared" si="94"/>
        <v>0</v>
      </c>
    </row>
    <row r="35" spans="1:83">
      <c r="A35" s="24" t="str">
        <f>CONCATENATE(C35,".",D35)</f>
        <v>.</v>
      </c>
      <c r="B35" s="79">
        <v>7</v>
      </c>
      <c r="C35" s="438"/>
      <c r="D35" s="439"/>
      <c r="E35" s="440"/>
      <c r="F35" s="438"/>
      <c r="G35" s="441"/>
      <c r="H35" s="438"/>
      <c r="I35" s="440"/>
      <c r="J35" s="438"/>
      <c r="K35" s="440"/>
      <c r="L35" s="438"/>
      <c r="M35" s="442"/>
      <c r="N35" s="443"/>
      <c r="O35" s="456"/>
      <c r="P35" s="444"/>
      <c r="Q35" s="457"/>
      <c r="R35" s="199"/>
      <c r="S35" s="112"/>
      <c r="T35" s="194" t="str">
        <f>IF(OR(W35="",W35="0"),"",W35)</f>
        <v/>
      </c>
      <c r="U35" s="202" t="str">
        <f>IF(R35="","",IF(NOT(AC35=0),"Ошибка в строке",""))</f>
        <v/>
      </c>
      <c r="W35" s="131" t="str">
        <f>IF(OR(ISNA(X35),NOT(AC35=0)),"0",X35)</f>
        <v>0</v>
      </c>
      <c r="X35" s="128" t="str">
        <f>IF(OR(R35="",R35=0),"",ORDER!H61)</f>
        <v/>
      </c>
      <c r="Y35" s="64" t="str">
        <f>CONCATENATE(C35,".",E35,".",F35)</f>
        <v>..</v>
      </c>
      <c r="AB35" s="34">
        <f>AG35+AL35+AQ35+AV35+BA35+BF35+BK35+BP35+BU35+BZ35+CE35</f>
        <v>1</v>
      </c>
      <c r="AC35" s="72">
        <f t="shared" si="61"/>
        <v>10</v>
      </c>
      <c r="AD35" s="63" t="str">
        <f>CONCATENATE(C35,".",D35)</f>
        <v>.</v>
      </c>
      <c r="AE35" s="64" t="e">
        <f>VLOOKUP(AD35,Лист1!$AW:$AW,1,0)</f>
        <v>#N/A</v>
      </c>
      <c r="AF35" s="53" t="e">
        <f>IF(AD35=AE35,1,0)</f>
        <v>#N/A</v>
      </c>
      <c r="AG35" s="35" t="str">
        <f t="shared" si="64"/>
        <v>0</v>
      </c>
      <c r="AI35" s="63" t="str">
        <f>CONCATENATE(C35,".",D35,".",E35)</f>
        <v>..</v>
      </c>
      <c r="AJ35" s="64" t="e">
        <f>VLOOKUP(AI35,Лист1!$BA:$BA,1,0)</f>
        <v>#N/A</v>
      </c>
      <c r="AK35" s="53" t="e">
        <f>IF(AI35=AJ35,1,0)</f>
        <v>#N/A</v>
      </c>
      <c r="AL35" s="35" t="str">
        <f t="shared" si="67"/>
        <v>0</v>
      </c>
      <c r="AN35" s="63" t="str">
        <f>CONCATENATE(E35,".",F35,)</f>
        <v>.</v>
      </c>
      <c r="AO35" s="64" t="e">
        <f>VLOOKUP(AN35,Лист1!$BE:$BE,1,0)</f>
        <v>#N/A</v>
      </c>
      <c r="AP35" s="53" t="e">
        <f>IF(AN35=AO35,1,0)</f>
        <v>#N/A</v>
      </c>
      <c r="AQ35" s="35" t="str">
        <f t="shared" si="70"/>
        <v>0</v>
      </c>
      <c r="AS35" s="63" t="str">
        <f>CONCATENATE(F35,".",G35,)</f>
        <v>.</v>
      </c>
      <c r="AT35" s="64" t="e">
        <f>VLOOKUP(AS35,Лист1!$BI:$BI,1,0)</f>
        <v>#N/A</v>
      </c>
      <c r="AU35" s="53" t="e">
        <f>IF(AS35=AT35,1,0)</f>
        <v>#N/A</v>
      </c>
      <c r="AV35" s="35" t="str">
        <f t="shared" si="73"/>
        <v>0</v>
      </c>
      <c r="AX35" s="63" t="str">
        <f>CONCATENATE(C35,".",H35,)</f>
        <v>.</v>
      </c>
      <c r="AY35" s="64" t="e">
        <f>VLOOKUP(AX35,Лист1!$BM:$BM,1,0)</f>
        <v>#N/A</v>
      </c>
      <c r="AZ35" s="53" t="e">
        <f>IF(AX35=AY35,1,0)</f>
        <v>#N/A</v>
      </c>
      <c r="BA35" s="35" t="str">
        <f t="shared" si="76"/>
        <v>0</v>
      </c>
      <c r="BC35" s="63" t="str">
        <f>CONCATENATE(H35,".",I35,)</f>
        <v>.</v>
      </c>
      <c r="BD35" s="64" t="str">
        <f>VLOOKUP(BC35,Лист1!$BQ:$BQ,1,0)</f>
        <v>.</v>
      </c>
      <c r="BE35" s="53">
        <f>IF(BC35=BD35,1,0)</f>
        <v>1</v>
      </c>
      <c r="BF35" s="35">
        <f t="shared" si="79"/>
        <v>1</v>
      </c>
      <c r="BH35" s="63" t="str">
        <f>CONCATENATE(C35,".",D35,".",J35)</f>
        <v>..</v>
      </c>
      <c r="BI35" s="64" t="e">
        <f>VLOOKUP(BH35,Лист1!$BU:$BU,1,0)</f>
        <v>#N/A</v>
      </c>
      <c r="BJ35" s="53" t="e">
        <f>IF(BH35=BI35,1,0)</f>
        <v>#N/A</v>
      </c>
      <c r="BK35" s="35" t="str">
        <f t="shared" si="82"/>
        <v>0</v>
      </c>
      <c r="BM35" s="63" t="str">
        <f>CONCATENATE(C35,".",D35,".",K35)</f>
        <v>..</v>
      </c>
      <c r="BN35" s="64" t="e">
        <f>VLOOKUP(BM35,Лист1!$BY:$BY,1,0)</f>
        <v>#N/A</v>
      </c>
      <c r="BO35" s="53" t="e">
        <f>IF(BM35=BN35,1,0)</f>
        <v>#N/A</v>
      </c>
      <c r="BP35" s="35" t="str">
        <f t="shared" si="85"/>
        <v>0</v>
      </c>
      <c r="BR35" s="63" t="str">
        <f>CONCATENATE(C35,".",E35,".",F35,".",L35)</f>
        <v>...</v>
      </c>
      <c r="BS35" s="64" t="e">
        <f>VLOOKUP(BR35,Лист1!$CC:$CC,1,0)</f>
        <v>#N/A</v>
      </c>
      <c r="BT35" s="53" t="e">
        <f>IF(BR35=BS35,1,0)</f>
        <v>#N/A</v>
      </c>
      <c r="BU35" s="35" t="str">
        <f t="shared" si="88"/>
        <v>0</v>
      </c>
      <c r="BW35" s="63" t="str">
        <f t="shared" si="89"/>
        <v>...</v>
      </c>
      <c r="BX35" s="64" t="e">
        <f>VLOOKUP(BW35,Лист1!$CG:$CG,1,0)</f>
        <v>#N/A</v>
      </c>
      <c r="BY35" s="53" t="e">
        <f>IF(BW35=BX35,1,0)</f>
        <v>#N/A</v>
      </c>
      <c r="BZ35" s="35" t="str">
        <f t="shared" si="91"/>
        <v>0</v>
      </c>
      <c r="CB35" s="63" t="str">
        <f>CONCATENATE(L35,".",N35)</f>
        <v>.</v>
      </c>
      <c r="CC35" s="64" t="e">
        <f>VLOOKUP(CB35,Лист1!$CK:$CK,1,0)</f>
        <v>#N/A</v>
      </c>
      <c r="CD35" s="53" t="e">
        <f>IF(CB35=CC35,1,0)</f>
        <v>#N/A</v>
      </c>
      <c r="CE35" s="35" t="str">
        <f t="shared" si="94"/>
        <v>0</v>
      </c>
    </row>
    <row r="36" spans="1:83">
      <c r="A36" s="24" t="str">
        <f>CONCATENATE(C36,".",D36)</f>
        <v>.</v>
      </c>
      <c r="B36" s="79">
        <v>8</v>
      </c>
      <c r="C36" s="438"/>
      <c r="D36" s="439"/>
      <c r="E36" s="440"/>
      <c r="F36" s="438"/>
      <c r="G36" s="441"/>
      <c r="H36" s="438"/>
      <c r="I36" s="440"/>
      <c r="J36" s="438"/>
      <c r="K36" s="440"/>
      <c r="L36" s="438"/>
      <c r="M36" s="442"/>
      <c r="N36" s="443"/>
      <c r="O36" s="458"/>
      <c r="P36" s="459"/>
      <c r="Q36" s="443"/>
      <c r="R36" s="200"/>
      <c r="S36" s="112"/>
      <c r="T36" s="194" t="str">
        <f>IF(OR(W36="",W36="0"),"",W36)</f>
        <v/>
      </c>
      <c r="U36" s="202" t="str">
        <f>IF(R36="","",IF(NOT(AC36=0),"Ошибка в строке",""))</f>
        <v/>
      </c>
      <c r="W36" s="131" t="str">
        <f>IF(OR(ISNA(X36),NOT(AC36=0)),"0",X36)</f>
        <v>0</v>
      </c>
      <c r="X36" s="128" t="str">
        <f>IF(OR(R36="",R36=0),"",ORDER!H62)</f>
        <v/>
      </c>
      <c r="Y36" s="64" t="str">
        <f>CONCATENATE(C36,".",E36,".",F36)</f>
        <v>..</v>
      </c>
      <c r="AB36" s="34">
        <f>AG36+AL36+AQ36+AV36+BA36+BF36+BK36+BP36+BU36+BZ36+CE36</f>
        <v>1</v>
      </c>
      <c r="AC36" s="72">
        <f t="shared" si="61"/>
        <v>10</v>
      </c>
      <c r="AD36" s="63" t="str">
        <f>CONCATENATE(C36,".",D36)</f>
        <v>.</v>
      </c>
      <c r="AE36" s="64" t="e">
        <f>VLOOKUP(AD36,Лист1!$AW:$AW,1,0)</f>
        <v>#N/A</v>
      </c>
      <c r="AF36" s="53" t="e">
        <f>IF(AD36=AE36,1,0)</f>
        <v>#N/A</v>
      </c>
      <c r="AG36" s="35" t="str">
        <f t="shared" si="64"/>
        <v>0</v>
      </c>
      <c r="AI36" s="63" t="str">
        <f>CONCATENATE(C36,".",D36,".",E36)</f>
        <v>..</v>
      </c>
      <c r="AJ36" s="64" t="e">
        <f>VLOOKUP(AI36,Лист1!$BA:$BA,1,0)</f>
        <v>#N/A</v>
      </c>
      <c r="AK36" s="53" t="e">
        <f>IF(AI36=AJ36,1,0)</f>
        <v>#N/A</v>
      </c>
      <c r="AL36" s="35" t="str">
        <f t="shared" si="67"/>
        <v>0</v>
      </c>
      <c r="AN36" s="63" t="str">
        <f>CONCATENATE(E36,".",F36,)</f>
        <v>.</v>
      </c>
      <c r="AO36" s="64" t="e">
        <f>VLOOKUP(AN36,Лист1!$BE:$BE,1,0)</f>
        <v>#N/A</v>
      </c>
      <c r="AP36" s="53" t="e">
        <f>IF(AN36=AO36,1,0)</f>
        <v>#N/A</v>
      </c>
      <c r="AQ36" s="35" t="str">
        <f t="shared" si="70"/>
        <v>0</v>
      </c>
      <c r="AS36" s="63" t="str">
        <f>CONCATENATE(F36,".",G36,)</f>
        <v>.</v>
      </c>
      <c r="AT36" s="64" t="e">
        <f>VLOOKUP(AS36,Лист1!$BI:$BI,1,0)</f>
        <v>#N/A</v>
      </c>
      <c r="AU36" s="53" t="e">
        <f>IF(AS36=AT36,1,0)</f>
        <v>#N/A</v>
      </c>
      <c r="AV36" s="35" t="str">
        <f t="shared" si="73"/>
        <v>0</v>
      </c>
      <c r="AX36" s="63" t="str">
        <f>CONCATENATE(C36,".",H36,)</f>
        <v>.</v>
      </c>
      <c r="AY36" s="64" t="e">
        <f>VLOOKUP(AX36,Лист1!$BM:$BM,1,0)</f>
        <v>#N/A</v>
      </c>
      <c r="AZ36" s="53" t="e">
        <f>IF(AX36=AY36,1,0)</f>
        <v>#N/A</v>
      </c>
      <c r="BA36" s="35" t="str">
        <f t="shared" si="76"/>
        <v>0</v>
      </c>
      <c r="BC36" s="63" t="str">
        <f>CONCATENATE(H36,".",I36,)</f>
        <v>.</v>
      </c>
      <c r="BD36" s="64" t="str">
        <f>VLOOKUP(BC36,Лист1!$BQ:$BQ,1,0)</f>
        <v>.</v>
      </c>
      <c r="BE36" s="53">
        <f>IF(BC36=BD36,1,0)</f>
        <v>1</v>
      </c>
      <c r="BF36" s="35">
        <f t="shared" si="79"/>
        <v>1</v>
      </c>
      <c r="BH36" s="63" t="str">
        <f>CONCATENATE(C36,".",D36,".",J36)</f>
        <v>..</v>
      </c>
      <c r="BI36" s="64" t="e">
        <f>VLOOKUP(BH36,Лист1!$BU:$BU,1,0)</f>
        <v>#N/A</v>
      </c>
      <c r="BJ36" s="53" t="e">
        <f>IF(BH36=BI36,1,0)</f>
        <v>#N/A</v>
      </c>
      <c r="BK36" s="35" t="str">
        <f t="shared" si="82"/>
        <v>0</v>
      </c>
      <c r="BM36" s="63" t="str">
        <f>CONCATENATE(C36,".",D36,".",K36)</f>
        <v>..</v>
      </c>
      <c r="BN36" s="64" t="e">
        <f>VLOOKUP(BM36,Лист1!$BY:$BY,1,0)</f>
        <v>#N/A</v>
      </c>
      <c r="BO36" s="53" t="e">
        <f>IF(BM36=BN36,1,0)</f>
        <v>#N/A</v>
      </c>
      <c r="BP36" s="35" t="str">
        <f t="shared" si="85"/>
        <v>0</v>
      </c>
      <c r="BR36" s="63" t="str">
        <f>CONCATENATE(C36,".",E36,".",F36,".",L36)</f>
        <v>...</v>
      </c>
      <c r="BS36" s="64" t="e">
        <f>VLOOKUP(BR36,Лист1!$CC:$CC,1,0)</f>
        <v>#N/A</v>
      </c>
      <c r="BT36" s="53" t="e">
        <f>IF(BR36=BS36,1,0)</f>
        <v>#N/A</v>
      </c>
      <c r="BU36" s="35" t="str">
        <f t="shared" si="88"/>
        <v>0</v>
      </c>
      <c r="BW36" s="63" t="str">
        <f t="shared" si="89"/>
        <v>...</v>
      </c>
      <c r="BX36" s="64" t="e">
        <f>VLOOKUP(BW36,Лист1!$CG:$CG,1,0)</f>
        <v>#N/A</v>
      </c>
      <c r="BY36" s="53" t="e">
        <f>IF(BW36=BX36,1,0)</f>
        <v>#N/A</v>
      </c>
      <c r="BZ36" s="35" t="str">
        <f t="shared" si="91"/>
        <v>0</v>
      </c>
      <c r="CB36" s="63" t="str">
        <f>CONCATENATE(L36,".",N36)</f>
        <v>.</v>
      </c>
      <c r="CC36" s="64" t="e">
        <f>VLOOKUP(CB36,Лист1!$CK:$CK,1,0)</f>
        <v>#N/A</v>
      </c>
      <c r="CD36" s="53" t="e">
        <f>IF(CB36=CC36,1,0)</f>
        <v>#N/A</v>
      </c>
      <c r="CE36" s="35" t="str">
        <f t="shared" si="94"/>
        <v>0</v>
      </c>
    </row>
    <row r="37" spans="1:83">
      <c r="A37" s="24" t="str">
        <f t="shared" si="57"/>
        <v>.</v>
      </c>
      <c r="B37" s="79">
        <v>9</v>
      </c>
      <c r="C37" s="438"/>
      <c r="D37" s="439"/>
      <c r="E37" s="440"/>
      <c r="F37" s="438"/>
      <c r="G37" s="441"/>
      <c r="H37" s="438"/>
      <c r="I37" s="440"/>
      <c r="J37" s="438"/>
      <c r="K37" s="440"/>
      <c r="L37" s="438"/>
      <c r="M37" s="442"/>
      <c r="N37" s="443"/>
      <c r="O37" s="456"/>
      <c r="P37" s="444"/>
      <c r="Q37" s="457"/>
      <c r="R37" s="199"/>
      <c r="S37" s="113"/>
      <c r="T37" s="194" t="str">
        <f t="shared" si="55"/>
        <v/>
      </c>
      <c r="U37" s="202" t="str">
        <f t="shared" si="56"/>
        <v/>
      </c>
      <c r="W37" s="131" t="str">
        <f t="shared" si="58"/>
        <v>0</v>
      </c>
      <c r="X37" s="128" t="str">
        <f>IF(OR(R37="",R37=0),"",ORDER!H63)</f>
        <v/>
      </c>
      <c r="Y37" s="64" t="str">
        <f t="shared" si="59"/>
        <v>..</v>
      </c>
      <c r="AB37" s="34">
        <f t="shared" si="60"/>
        <v>1</v>
      </c>
      <c r="AC37" s="72">
        <f t="shared" si="61"/>
        <v>10</v>
      </c>
      <c r="AD37" s="63" t="str">
        <f t="shared" si="62"/>
        <v>.</v>
      </c>
      <c r="AE37" s="64" t="e">
        <f>VLOOKUP(AD37,Лист1!$AW:$AW,1,0)</f>
        <v>#N/A</v>
      </c>
      <c r="AF37" s="53" t="e">
        <f t="shared" si="63"/>
        <v>#N/A</v>
      </c>
      <c r="AG37" s="35" t="str">
        <f t="shared" si="64"/>
        <v>0</v>
      </c>
      <c r="AI37" s="63" t="str">
        <f t="shared" si="65"/>
        <v>..</v>
      </c>
      <c r="AJ37" s="64" t="e">
        <f>VLOOKUP(AI37,Лист1!$BA:$BA,1,0)</f>
        <v>#N/A</v>
      </c>
      <c r="AK37" s="53" t="e">
        <f t="shared" si="66"/>
        <v>#N/A</v>
      </c>
      <c r="AL37" s="35" t="str">
        <f t="shared" si="67"/>
        <v>0</v>
      </c>
      <c r="AN37" s="63" t="str">
        <f t="shared" si="68"/>
        <v>.</v>
      </c>
      <c r="AO37" s="64" t="e">
        <f>VLOOKUP(AN37,Лист1!$BE:$BE,1,0)</f>
        <v>#N/A</v>
      </c>
      <c r="AP37" s="53" t="e">
        <f t="shared" si="69"/>
        <v>#N/A</v>
      </c>
      <c r="AQ37" s="35" t="str">
        <f t="shared" si="70"/>
        <v>0</v>
      </c>
      <c r="AS37" s="63" t="str">
        <f t="shared" si="71"/>
        <v>.</v>
      </c>
      <c r="AT37" s="64" t="e">
        <f>VLOOKUP(AS37,Лист1!$BI:$BI,1,0)</f>
        <v>#N/A</v>
      </c>
      <c r="AU37" s="53" t="e">
        <f t="shared" si="72"/>
        <v>#N/A</v>
      </c>
      <c r="AV37" s="35" t="str">
        <f t="shared" si="73"/>
        <v>0</v>
      </c>
      <c r="AX37" s="63" t="str">
        <f t="shared" si="74"/>
        <v>.</v>
      </c>
      <c r="AY37" s="64" t="e">
        <f>VLOOKUP(AX37,Лист1!$BM:$BM,1,0)</f>
        <v>#N/A</v>
      </c>
      <c r="AZ37" s="53" t="e">
        <f t="shared" si="75"/>
        <v>#N/A</v>
      </c>
      <c r="BA37" s="35" t="str">
        <f t="shared" si="76"/>
        <v>0</v>
      </c>
      <c r="BC37" s="63" t="str">
        <f t="shared" si="77"/>
        <v>.</v>
      </c>
      <c r="BD37" s="64" t="str">
        <f>VLOOKUP(BC37,Лист1!$BQ:$BQ,1,0)</f>
        <v>.</v>
      </c>
      <c r="BE37" s="53">
        <f t="shared" si="78"/>
        <v>1</v>
      </c>
      <c r="BF37" s="35">
        <f t="shared" si="79"/>
        <v>1</v>
      </c>
      <c r="BH37" s="63" t="str">
        <f t="shared" si="80"/>
        <v>..</v>
      </c>
      <c r="BI37" s="64" t="e">
        <f>VLOOKUP(BH37,Лист1!$BU:$BU,1,0)</f>
        <v>#N/A</v>
      </c>
      <c r="BJ37" s="53" t="e">
        <f t="shared" si="81"/>
        <v>#N/A</v>
      </c>
      <c r="BK37" s="35" t="str">
        <f t="shared" si="82"/>
        <v>0</v>
      </c>
      <c r="BM37" s="63" t="str">
        <f t="shared" si="83"/>
        <v>..</v>
      </c>
      <c r="BN37" s="64" t="e">
        <f>VLOOKUP(BM37,Лист1!$BY:$BY,1,0)</f>
        <v>#N/A</v>
      </c>
      <c r="BO37" s="53" t="e">
        <f t="shared" si="84"/>
        <v>#N/A</v>
      </c>
      <c r="BP37" s="35" t="str">
        <f t="shared" si="85"/>
        <v>0</v>
      </c>
      <c r="BR37" s="63" t="str">
        <f t="shared" si="86"/>
        <v>...</v>
      </c>
      <c r="BS37" s="64" t="e">
        <f>VLOOKUP(BR37,Лист1!$CC:$CC,1,0)</f>
        <v>#N/A</v>
      </c>
      <c r="BT37" s="53" t="e">
        <f t="shared" si="87"/>
        <v>#N/A</v>
      </c>
      <c r="BU37" s="35" t="str">
        <f t="shared" si="88"/>
        <v>0</v>
      </c>
      <c r="BW37" s="63" t="str">
        <f t="shared" si="89"/>
        <v>...</v>
      </c>
      <c r="BX37" s="64" t="e">
        <f>VLOOKUP(BW37,Лист1!$CG:$CG,1,0)</f>
        <v>#N/A</v>
      </c>
      <c r="BY37" s="53" t="e">
        <f t="shared" si="90"/>
        <v>#N/A</v>
      </c>
      <c r="BZ37" s="35" t="str">
        <f t="shared" si="91"/>
        <v>0</v>
      </c>
      <c r="CB37" s="63" t="str">
        <f t="shared" si="92"/>
        <v>.</v>
      </c>
      <c r="CC37" s="64" t="e">
        <f>VLOOKUP(CB37,Лист1!$CK:$CK,1,0)</f>
        <v>#N/A</v>
      </c>
      <c r="CD37" s="53" t="e">
        <f t="shared" si="93"/>
        <v>#N/A</v>
      </c>
      <c r="CE37" s="35" t="str">
        <f t="shared" si="94"/>
        <v>0</v>
      </c>
    </row>
    <row r="38" spans="1:83">
      <c r="A38" s="24" t="str">
        <f t="shared" si="57"/>
        <v>.</v>
      </c>
      <c r="B38" s="79">
        <v>10</v>
      </c>
      <c r="C38" s="452"/>
      <c r="D38" s="453"/>
      <c r="E38" s="454"/>
      <c r="F38" s="452"/>
      <c r="G38" s="455"/>
      <c r="H38" s="452"/>
      <c r="I38" s="454"/>
      <c r="J38" s="452"/>
      <c r="K38" s="454"/>
      <c r="L38" s="438"/>
      <c r="M38" s="442"/>
      <c r="N38" s="444"/>
      <c r="O38" s="458"/>
      <c r="P38" s="459"/>
      <c r="Q38" s="443"/>
      <c r="R38" s="200"/>
      <c r="S38" s="112"/>
      <c r="T38" s="194" t="str">
        <f t="shared" si="55"/>
        <v/>
      </c>
      <c r="U38" s="202" t="str">
        <f t="shared" si="56"/>
        <v/>
      </c>
      <c r="W38" s="131" t="str">
        <f t="shared" si="58"/>
        <v>0</v>
      </c>
      <c r="X38" s="128" t="str">
        <f>IF(OR(R38="",R38=0),"",ORDER!H64)</f>
        <v/>
      </c>
      <c r="Y38" s="64" t="str">
        <f t="shared" si="59"/>
        <v>..</v>
      </c>
      <c r="AB38" s="34">
        <f t="shared" si="60"/>
        <v>1</v>
      </c>
      <c r="AC38" s="72">
        <f t="shared" si="61"/>
        <v>10</v>
      </c>
      <c r="AD38" s="63" t="str">
        <f t="shared" si="62"/>
        <v>.</v>
      </c>
      <c r="AE38" s="64" t="e">
        <f>VLOOKUP(AD38,Лист1!$AW:$AW,1,0)</f>
        <v>#N/A</v>
      </c>
      <c r="AF38" s="53" t="e">
        <f t="shared" si="63"/>
        <v>#N/A</v>
      </c>
      <c r="AG38" s="35" t="str">
        <f t="shared" si="64"/>
        <v>0</v>
      </c>
      <c r="AI38" s="63" t="str">
        <f t="shared" si="65"/>
        <v>..</v>
      </c>
      <c r="AJ38" s="64" t="e">
        <f>VLOOKUP(AI38,Лист1!$BA:$BA,1,0)</f>
        <v>#N/A</v>
      </c>
      <c r="AK38" s="53" t="e">
        <f t="shared" si="66"/>
        <v>#N/A</v>
      </c>
      <c r="AL38" s="35" t="str">
        <f t="shared" si="67"/>
        <v>0</v>
      </c>
      <c r="AN38" s="63" t="str">
        <f t="shared" si="68"/>
        <v>.</v>
      </c>
      <c r="AO38" s="64" t="e">
        <f>VLOOKUP(AN38,Лист1!$BE:$BE,1,0)</f>
        <v>#N/A</v>
      </c>
      <c r="AP38" s="53" t="e">
        <f t="shared" si="69"/>
        <v>#N/A</v>
      </c>
      <c r="AQ38" s="35" t="str">
        <f t="shared" si="70"/>
        <v>0</v>
      </c>
      <c r="AS38" s="63" t="str">
        <f t="shared" si="71"/>
        <v>.</v>
      </c>
      <c r="AT38" s="64" t="e">
        <f>VLOOKUP(AS38,Лист1!$BI:$BI,1,0)</f>
        <v>#N/A</v>
      </c>
      <c r="AU38" s="53" t="e">
        <f t="shared" si="72"/>
        <v>#N/A</v>
      </c>
      <c r="AV38" s="35" t="str">
        <f t="shared" si="73"/>
        <v>0</v>
      </c>
      <c r="AX38" s="63" t="str">
        <f t="shared" si="74"/>
        <v>.</v>
      </c>
      <c r="AY38" s="64" t="e">
        <f>VLOOKUP(AX38,Лист1!$BM:$BM,1,0)</f>
        <v>#N/A</v>
      </c>
      <c r="AZ38" s="53" t="e">
        <f t="shared" si="75"/>
        <v>#N/A</v>
      </c>
      <c r="BA38" s="35" t="str">
        <f t="shared" si="76"/>
        <v>0</v>
      </c>
      <c r="BC38" s="63" t="str">
        <f t="shared" si="77"/>
        <v>.</v>
      </c>
      <c r="BD38" s="64" t="str">
        <f>VLOOKUP(BC38,Лист1!$BQ:$BQ,1,0)</f>
        <v>.</v>
      </c>
      <c r="BE38" s="53">
        <f t="shared" si="78"/>
        <v>1</v>
      </c>
      <c r="BF38" s="35">
        <f t="shared" si="79"/>
        <v>1</v>
      </c>
      <c r="BH38" s="63" t="str">
        <f t="shared" si="80"/>
        <v>..</v>
      </c>
      <c r="BI38" s="64" t="e">
        <f>VLOOKUP(BH38,Лист1!$BU:$BU,1,0)</f>
        <v>#N/A</v>
      </c>
      <c r="BJ38" s="53" t="e">
        <f t="shared" si="81"/>
        <v>#N/A</v>
      </c>
      <c r="BK38" s="35" t="str">
        <f t="shared" si="82"/>
        <v>0</v>
      </c>
      <c r="BM38" s="63" t="str">
        <f t="shared" si="83"/>
        <v>..</v>
      </c>
      <c r="BN38" s="64" t="e">
        <f>VLOOKUP(BM38,Лист1!$BY:$BY,1,0)</f>
        <v>#N/A</v>
      </c>
      <c r="BO38" s="53" t="e">
        <f t="shared" si="84"/>
        <v>#N/A</v>
      </c>
      <c r="BP38" s="35" t="str">
        <f t="shared" si="85"/>
        <v>0</v>
      </c>
      <c r="BR38" s="63" t="str">
        <f t="shared" si="86"/>
        <v>...</v>
      </c>
      <c r="BS38" s="64" t="e">
        <f>VLOOKUP(BR38,Лист1!$CC:$CC,1,0)</f>
        <v>#N/A</v>
      </c>
      <c r="BT38" s="53" t="e">
        <f t="shared" si="87"/>
        <v>#N/A</v>
      </c>
      <c r="BU38" s="35" t="str">
        <f t="shared" si="88"/>
        <v>0</v>
      </c>
      <c r="BW38" s="63" t="str">
        <f t="shared" si="89"/>
        <v>...</v>
      </c>
      <c r="BX38" s="64" t="e">
        <f>VLOOKUP(BW38,Лист1!$CG:$CG,1,0)</f>
        <v>#N/A</v>
      </c>
      <c r="BY38" s="53" t="e">
        <f t="shared" si="90"/>
        <v>#N/A</v>
      </c>
      <c r="BZ38" s="35" t="str">
        <f t="shared" si="91"/>
        <v>0</v>
      </c>
      <c r="CB38" s="63" t="str">
        <f t="shared" si="92"/>
        <v>.</v>
      </c>
      <c r="CC38" s="64" t="e">
        <f>VLOOKUP(CB38,Лист1!$CK:$CK,1,0)</f>
        <v>#N/A</v>
      </c>
      <c r="CD38" s="53" t="e">
        <f t="shared" si="93"/>
        <v>#N/A</v>
      </c>
      <c r="CE38" s="35" t="str">
        <f t="shared" si="94"/>
        <v>0</v>
      </c>
    </row>
    <row r="39" spans="1:83">
      <c r="A39" s="24" t="str">
        <f t="shared" si="57"/>
        <v>.</v>
      </c>
      <c r="B39" s="79">
        <v>11</v>
      </c>
      <c r="C39" s="438"/>
      <c r="D39" s="439"/>
      <c r="E39" s="440"/>
      <c r="F39" s="438"/>
      <c r="G39" s="441"/>
      <c r="H39" s="438"/>
      <c r="I39" s="440"/>
      <c r="J39" s="438"/>
      <c r="K39" s="440"/>
      <c r="L39" s="438"/>
      <c r="M39" s="442"/>
      <c r="N39" s="443"/>
      <c r="O39" s="456"/>
      <c r="P39" s="444"/>
      <c r="Q39" s="457"/>
      <c r="R39" s="199"/>
      <c r="S39" s="112"/>
      <c r="T39" s="194" t="str">
        <f t="shared" si="55"/>
        <v/>
      </c>
      <c r="U39" s="202" t="str">
        <f t="shared" si="56"/>
        <v/>
      </c>
      <c r="W39" s="131" t="str">
        <f t="shared" si="58"/>
        <v>0</v>
      </c>
      <c r="X39" s="128" t="str">
        <f>IF(OR(R39="",R39=0),"",ORDER!H65)</f>
        <v/>
      </c>
      <c r="Y39" s="64" t="str">
        <f t="shared" si="59"/>
        <v>..</v>
      </c>
      <c r="AB39" s="34">
        <f t="shared" si="60"/>
        <v>1</v>
      </c>
      <c r="AC39" s="72">
        <f t="shared" si="61"/>
        <v>10</v>
      </c>
      <c r="AD39" s="63" t="str">
        <f t="shared" si="62"/>
        <v>.</v>
      </c>
      <c r="AE39" s="64" t="e">
        <f>VLOOKUP(AD39,Лист1!$AW:$AW,1,0)</f>
        <v>#N/A</v>
      </c>
      <c r="AF39" s="53" t="e">
        <f t="shared" si="63"/>
        <v>#N/A</v>
      </c>
      <c r="AG39" s="35" t="str">
        <f t="shared" si="64"/>
        <v>0</v>
      </c>
      <c r="AI39" s="63" t="str">
        <f t="shared" si="65"/>
        <v>..</v>
      </c>
      <c r="AJ39" s="64" t="e">
        <f>VLOOKUP(AI39,Лист1!$BA:$BA,1,0)</f>
        <v>#N/A</v>
      </c>
      <c r="AK39" s="53" t="e">
        <f t="shared" si="66"/>
        <v>#N/A</v>
      </c>
      <c r="AL39" s="35" t="str">
        <f t="shared" si="67"/>
        <v>0</v>
      </c>
      <c r="AN39" s="63" t="str">
        <f t="shared" si="68"/>
        <v>.</v>
      </c>
      <c r="AO39" s="64" t="e">
        <f>VLOOKUP(AN39,Лист1!$BE:$BE,1,0)</f>
        <v>#N/A</v>
      </c>
      <c r="AP39" s="53" t="e">
        <f t="shared" si="69"/>
        <v>#N/A</v>
      </c>
      <c r="AQ39" s="35" t="str">
        <f t="shared" si="70"/>
        <v>0</v>
      </c>
      <c r="AS39" s="63" t="str">
        <f t="shared" si="71"/>
        <v>.</v>
      </c>
      <c r="AT39" s="64" t="e">
        <f>VLOOKUP(AS39,Лист1!$BI:$BI,1,0)</f>
        <v>#N/A</v>
      </c>
      <c r="AU39" s="53" t="e">
        <f t="shared" si="72"/>
        <v>#N/A</v>
      </c>
      <c r="AV39" s="35" t="str">
        <f t="shared" si="73"/>
        <v>0</v>
      </c>
      <c r="AX39" s="63" t="str">
        <f t="shared" si="74"/>
        <v>.</v>
      </c>
      <c r="AY39" s="64" t="e">
        <f>VLOOKUP(AX39,Лист1!$BM:$BM,1,0)</f>
        <v>#N/A</v>
      </c>
      <c r="AZ39" s="53" t="e">
        <f t="shared" si="75"/>
        <v>#N/A</v>
      </c>
      <c r="BA39" s="35" t="str">
        <f t="shared" si="76"/>
        <v>0</v>
      </c>
      <c r="BC39" s="63" t="str">
        <f t="shared" si="77"/>
        <v>.</v>
      </c>
      <c r="BD39" s="64" t="str">
        <f>VLOOKUP(BC39,Лист1!$BQ:$BQ,1,0)</f>
        <v>.</v>
      </c>
      <c r="BE39" s="53">
        <f t="shared" si="78"/>
        <v>1</v>
      </c>
      <c r="BF39" s="35">
        <f t="shared" si="79"/>
        <v>1</v>
      </c>
      <c r="BH39" s="63" t="str">
        <f t="shared" si="80"/>
        <v>..</v>
      </c>
      <c r="BI39" s="64" t="e">
        <f>VLOOKUP(BH39,Лист1!$BU:$BU,1,0)</f>
        <v>#N/A</v>
      </c>
      <c r="BJ39" s="53" t="e">
        <f t="shared" si="81"/>
        <v>#N/A</v>
      </c>
      <c r="BK39" s="35" t="str">
        <f t="shared" si="82"/>
        <v>0</v>
      </c>
      <c r="BM39" s="63" t="str">
        <f t="shared" si="83"/>
        <v>..</v>
      </c>
      <c r="BN39" s="64" t="e">
        <f>VLOOKUP(BM39,Лист1!$BY:$BY,1,0)</f>
        <v>#N/A</v>
      </c>
      <c r="BO39" s="53" t="e">
        <f t="shared" si="84"/>
        <v>#N/A</v>
      </c>
      <c r="BP39" s="35" t="str">
        <f t="shared" si="85"/>
        <v>0</v>
      </c>
      <c r="BR39" s="63" t="str">
        <f t="shared" si="86"/>
        <v>...</v>
      </c>
      <c r="BS39" s="64" t="e">
        <f>VLOOKUP(BR39,Лист1!$CC:$CC,1,0)</f>
        <v>#N/A</v>
      </c>
      <c r="BT39" s="53" t="e">
        <f t="shared" si="87"/>
        <v>#N/A</v>
      </c>
      <c r="BU39" s="35" t="str">
        <f t="shared" si="88"/>
        <v>0</v>
      </c>
      <c r="BW39" s="63" t="str">
        <f t="shared" si="89"/>
        <v>...</v>
      </c>
      <c r="BX39" s="64" t="e">
        <f>VLOOKUP(BW39,Лист1!$CG:$CG,1,0)</f>
        <v>#N/A</v>
      </c>
      <c r="BY39" s="53" t="e">
        <f t="shared" si="90"/>
        <v>#N/A</v>
      </c>
      <c r="BZ39" s="35" t="str">
        <f t="shared" si="91"/>
        <v>0</v>
      </c>
      <c r="CB39" s="63" t="str">
        <f t="shared" si="92"/>
        <v>.</v>
      </c>
      <c r="CC39" s="64" t="e">
        <f>VLOOKUP(CB39,Лист1!$CK:$CK,1,0)</f>
        <v>#N/A</v>
      </c>
      <c r="CD39" s="53" t="e">
        <f t="shared" si="93"/>
        <v>#N/A</v>
      </c>
      <c r="CE39" s="35" t="str">
        <f t="shared" si="94"/>
        <v>0</v>
      </c>
    </row>
    <row r="40" spans="1:83">
      <c r="A40" s="24" t="str">
        <f t="shared" si="57"/>
        <v>.</v>
      </c>
      <c r="B40" s="79">
        <v>12</v>
      </c>
      <c r="C40" s="452"/>
      <c r="D40" s="453"/>
      <c r="E40" s="454"/>
      <c r="F40" s="452"/>
      <c r="G40" s="455"/>
      <c r="H40" s="452"/>
      <c r="I40" s="454"/>
      <c r="J40" s="452"/>
      <c r="K40" s="454"/>
      <c r="L40" s="438"/>
      <c r="M40" s="442"/>
      <c r="N40" s="444"/>
      <c r="O40" s="458"/>
      <c r="P40" s="459"/>
      <c r="Q40" s="443"/>
      <c r="R40" s="200"/>
      <c r="S40" s="112"/>
      <c r="T40" s="194" t="str">
        <f t="shared" si="55"/>
        <v/>
      </c>
      <c r="U40" s="202" t="str">
        <f t="shared" si="56"/>
        <v/>
      </c>
      <c r="W40" s="131" t="str">
        <f t="shared" si="58"/>
        <v>0</v>
      </c>
      <c r="X40" s="128" t="str">
        <f>IF(OR(R40="",R40=0),"",ORDER!H66)</f>
        <v/>
      </c>
      <c r="Y40" s="64" t="str">
        <f t="shared" si="59"/>
        <v>..</v>
      </c>
      <c r="AB40" s="34">
        <f t="shared" si="60"/>
        <v>1</v>
      </c>
      <c r="AC40" s="72">
        <f t="shared" si="61"/>
        <v>10</v>
      </c>
      <c r="AD40" s="63" t="str">
        <f t="shared" si="62"/>
        <v>.</v>
      </c>
      <c r="AE40" s="64" t="e">
        <f>VLOOKUP(AD40,Лист1!$AW:$AW,1,0)</f>
        <v>#N/A</v>
      </c>
      <c r="AF40" s="53" t="e">
        <f t="shared" si="63"/>
        <v>#N/A</v>
      </c>
      <c r="AG40" s="35" t="str">
        <f t="shared" si="64"/>
        <v>0</v>
      </c>
      <c r="AI40" s="63" t="str">
        <f t="shared" si="65"/>
        <v>..</v>
      </c>
      <c r="AJ40" s="64" t="e">
        <f>VLOOKUP(AI40,Лист1!$BA:$BA,1,0)</f>
        <v>#N/A</v>
      </c>
      <c r="AK40" s="53" t="e">
        <f t="shared" si="66"/>
        <v>#N/A</v>
      </c>
      <c r="AL40" s="35" t="str">
        <f t="shared" si="67"/>
        <v>0</v>
      </c>
      <c r="AN40" s="63" t="str">
        <f t="shared" si="68"/>
        <v>.</v>
      </c>
      <c r="AO40" s="64" t="e">
        <f>VLOOKUP(AN40,Лист1!$BE:$BE,1,0)</f>
        <v>#N/A</v>
      </c>
      <c r="AP40" s="53" t="e">
        <f t="shared" si="69"/>
        <v>#N/A</v>
      </c>
      <c r="AQ40" s="35" t="str">
        <f t="shared" si="70"/>
        <v>0</v>
      </c>
      <c r="AS40" s="63" t="str">
        <f t="shared" si="71"/>
        <v>.</v>
      </c>
      <c r="AT40" s="64" t="e">
        <f>VLOOKUP(AS40,Лист1!$BI:$BI,1,0)</f>
        <v>#N/A</v>
      </c>
      <c r="AU40" s="53" t="e">
        <f t="shared" si="72"/>
        <v>#N/A</v>
      </c>
      <c r="AV40" s="35" t="str">
        <f t="shared" si="73"/>
        <v>0</v>
      </c>
      <c r="AX40" s="63" t="str">
        <f t="shared" si="74"/>
        <v>.</v>
      </c>
      <c r="AY40" s="64" t="e">
        <f>VLOOKUP(AX40,Лист1!$BM:$BM,1,0)</f>
        <v>#N/A</v>
      </c>
      <c r="AZ40" s="53" t="e">
        <f t="shared" si="75"/>
        <v>#N/A</v>
      </c>
      <c r="BA40" s="35" t="str">
        <f t="shared" si="76"/>
        <v>0</v>
      </c>
      <c r="BC40" s="63" t="str">
        <f t="shared" si="77"/>
        <v>.</v>
      </c>
      <c r="BD40" s="64" t="str">
        <f>VLOOKUP(BC40,Лист1!$BQ:$BQ,1,0)</f>
        <v>.</v>
      </c>
      <c r="BE40" s="53">
        <f t="shared" si="78"/>
        <v>1</v>
      </c>
      <c r="BF40" s="35">
        <f t="shared" si="79"/>
        <v>1</v>
      </c>
      <c r="BH40" s="63" t="str">
        <f t="shared" si="80"/>
        <v>..</v>
      </c>
      <c r="BI40" s="64" t="e">
        <f>VLOOKUP(BH40,Лист1!$BU:$BU,1,0)</f>
        <v>#N/A</v>
      </c>
      <c r="BJ40" s="53" t="e">
        <f t="shared" si="81"/>
        <v>#N/A</v>
      </c>
      <c r="BK40" s="35" t="str">
        <f t="shared" si="82"/>
        <v>0</v>
      </c>
      <c r="BM40" s="63" t="str">
        <f t="shared" si="83"/>
        <v>..</v>
      </c>
      <c r="BN40" s="64" t="e">
        <f>VLOOKUP(BM40,Лист1!$BY:$BY,1,0)</f>
        <v>#N/A</v>
      </c>
      <c r="BO40" s="53" t="e">
        <f t="shared" si="84"/>
        <v>#N/A</v>
      </c>
      <c r="BP40" s="35" t="str">
        <f t="shared" si="85"/>
        <v>0</v>
      </c>
      <c r="BR40" s="63" t="str">
        <f t="shared" si="86"/>
        <v>...</v>
      </c>
      <c r="BS40" s="64" t="e">
        <f>VLOOKUP(BR40,Лист1!$CC:$CC,1,0)</f>
        <v>#N/A</v>
      </c>
      <c r="BT40" s="53" t="e">
        <f t="shared" si="87"/>
        <v>#N/A</v>
      </c>
      <c r="BU40" s="35" t="str">
        <f t="shared" si="88"/>
        <v>0</v>
      </c>
      <c r="BW40" s="63" t="str">
        <f t="shared" si="89"/>
        <v>...</v>
      </c>
      <c r="BX40" s="64" t="e">
        <f>VLOOKUP(BW40,Лист1!$CG:$CG,1,0)</f>
        <v>#N/A</v>
      </c>
      <c r="BY40" s="53" t="e">
        <f t="shared" si="90"/>
        <v>#N/A</v>
      </c>
      <c r="BZ40" s="35" t="str">
        <f t="shared" si="91"/>
        <v>0</v>
      </c>
      <c r="CB40" s="63" t="str">
        <f t="shared" si="92"/>
        <v>.</v>
      </c>
      <c r="CC40" s="64" t="e">
        <f>VLOOKUP(CB40,Лист1!$CK:$CK,1,0)</f>
        <v>#N/A</v>
      </c>
      <c r="CD40" s="53" t="e">
        <f t="shared" si="93"/>
        <v>#N/A</v>
      </c>
      <c r="CE40" s="35" t="str">
        <f t="shared" si="94"/>
        <v>0</v>
      </c>
    </row>
    <row r="41" spans="1:83">
      <c r="A41" s="24" t="str">
        <f t="shared" si="57"/>
        <v>.</v>
      </c>
      <c r="B41" s="79">
        <v>13</v>
      </c>
      <c r="C41" s="438"/>
      <c r="D41" s="453"/>
      <c r="E41" s="454"/>
      <c r="F41" s="438"/>
      <c r="G41" s="441"/>
      <c r="H41" s="452"/>
      <c r="I41" s="454"/>
      <c r="J41" s="438"/>
      <c r="K41" s="440"/>
      <c r="L41" s="438"/>
      <c r="M41" s="442"/>
      <c r="N41" s="444"/>
      <c r="O41" s="458"/>
      <c r="P41" s="459"/>
      <c r="Q41" s="443"/>
      <c r="R41" s="200"/>
      <c r="S41" s="112"/>
      <c r="T41" s="194" t="str">
        <f t="shared" si="55"/>
        <v/>
      </c>
      <c r="U41" s="202" t="str">
        <f t="shared" si="56"/>
        <v/>
      </c>
      <c r="W41" s="131" t="str">
        <f t="shared" si="58"/>
        <v>0</v>
      </c>
      <c r="X41" s="128" t="str">
        <f>IF(OR(R41="",R41=0),"",ORDER!H67)</f>
        <v/>
      </c>
      <c r="Y41" s="64" t="str">
        <f t="shared" si="59"/>
        <v>..</v>
      </c>
      <c r="AB41" s="34">
        <f t="shared" si="60"/>
        <v>1</v>
      </c>
      <c r="AC41" s="72">
        <f t="shared" si="61"/>
        <v>10</v>
      </c>
      <c r="AD41" s="63" t="str">
        <f t="shared" si="62"/>
        <v>.</v>
      </c>
      <c r="AE41" s="64" t="e">
        <f>VLOOKUP(AD41,Лист1!$AW:$AW,1,0)</f>
        <v>#N/A</v>
      </c>
      <c r="AF41" s="53" t="e">
        <f t="shared" si="63"/>
        <v>#N/A</v>
      </c>
      <c r="AG41" s="35" t="str">
        <f t="shared" si="64"/>
        <v>0</v>
      </c>
      <c r="AI41" s="63" t="str">
        <f t="shared" si="65"/>
        <v>..</v>
      </c>
      <c r="AJ41" s="64" t="e">
        <f>VLOOKUP(AI41,Лист1!$BA:$BA,1,0)</f>
        <v>#N/A</v>
      </c>
      <c r="AK41" s="53" t="e">
        <f t="shared" si="66"/>
        <v>#N/A</v>
      </c>
      <c r="AL41" s="35" t="str">
        <f t="shared" si="67"/>
        <v>0</v>
      </c>
      <c r="AN41" s="63" t="str">
        <f t="shared" si="68"/>
        <v>.</v>
      </c>
      <c r="AO41" s="64" t="e">
        <f>VLOOKUP(AN41,Лист1!$BE:$BE,1,0)</f>
        <v>#N/A</v>
      </c>
      <c r="AP41" s="53" t="e">
        <f t="shared" si="69"/>
        <v>#N/A</v>
      </c>
      <c r="AQ41" s="35" t="str">
        <f t="shared" si="70"/>
        <v>0</v>
      </c>
      <c r="AS41" s="63" t="str">
        <f t="shared" si="71"/>
        <v>.</v>
      </c>
      <c r="AT41" s="64" t="e">
        <f>VLOOKUP(AS41,Лист1!$BI:$BI,1,0)</f>
        <v>#N/A</v>
      </c>
      <c r="AU41" s="53" t="e">
        <f t="shared" si="72"/>
        <v>#N/A</v>
      </c>
      <c r="AV41" s="35" t="str">
        <f t="shared" si="73"/>
        <v>0</v>
      </c>
      <c r="AX41" s="63" t="str">
        <f t="shared" si="74"/>
        <v>.</v>
      </c>
      <c r="AY41" s="64" t="e">
        <f>VLOOKUP(AX41,Лист1!$BM:$BM,1,0)</f>
        <v>#N/A</v>
      </c>
      <c r="AZ41" s="53" t="e">
        <f t="shared" si="75"/>
        <v>#N/A</v>
      </c>
      <c r="BA41" s="35" t="str">
        <f t="shared" si="76"/>
        <v>0</v>
      </c>
      <c r="BC41" s="63" t="str">
        <f t="shared" si="77"/>
        <v>.</v>
      </c>
      <c r="BD41" s="64" t="str">
        <f>VLOOKUP(BC41,Лист1!$BQ:$BQ,1,0)</f>
        <v>.</v>
      </c>
      <c r="BE41" s="53">
        <f t="shared" si="78"/>
        <v>1</v>
      </c>
      <c r="BF41" s="35">
        <f t="shared" si="79"/>
        <v>1</v>
      </c>
      <c r="BH41" s="63" t="str">
        <f t="shared" si="80"/>
        <v>..</v>
      </c>
      <c r="BI41" s="64" t="e">
        <f>VLOOKUP(BH41,Лист1!$BU:$BU,1,0)</f>
        <v>#N/A</v>
      </c>
      <c r="BJ41" s="53" t="e">
        <f t="shared" si="81"/>
        <v>#N/A</v>
      </c>
      <c r="BK41" s="35" t="str">
        <f t="shared" si="82"/>
        <v>0</v>
      </c>
      <c r="BM41" s="63" t="str">
        <f t="shared" si="83"/>
        <v>..</v>
      </c>
      <c r="BN41" s="64" t="e">
        <f>VLOOKUP(BM41,Лист1!$BY:$BY,1,0)</f>
        <v>#N/A</v>
      </c>
      <c r="BO41" s="53" t="e">
        <f t="shared" si="84"/>
        <v>#N/A</v>
      </c>
      <c r="BP41" s="35" t="str">
        <f t="shared" si="85"/>
        <v>0</v>
      </c>
      <c r="BR41" s="63" t="str">
        <f t="shared" si="86"/>
        <v>...</v>
      </c>
      <c r="BS41" s="64" t="e">
        <f>VLOOKUP(BR41,Лист1!$CC:$CC,1,0)</f>
        <v>#N/A</v>
      </c>
      <c r="BT41" s="53" t="e">
        <f t="shared" si="87"/>
        <v>#N/A</v>
      </c>
      <c r="BU41" s="35" t="str">
        <f t="shared" si="88"/>
        <v>0</v>
      </c>
      <c r="BW41" s="63" t="str">
        <f t="shared" si="89"/>
        <v>...</v>
      </c>
      <c r="BX41" s="64" t="e">
        <f>VLOOKUP(BW41,Лист1!$CG:$CG,1,0)</f>
        <v>#N/A</v>
      </c>
      <c r="BY41" s="53" t="e">
        <f t="shared" si="90"/>
        <v>#N/A</v>
      </c>
      <c r="BZ41" s="35" t="str">
        <f t="shared" si="91"/>
        <v>0</v>
      </c>
      <c r="CB41" s="63" t="str">
        <f t="shared" si="92"/>
        <v>.</v>
      </c>
      <c r="CC41" s="64" t="e">
        <f>VLOOKUP(CB41,Лист1!$CK:$CK,1,0)</f>
        <v>#N/A</v>
      </c>
      <c r="CD41" s="53" t="e">
        <f t="shared" si="93"/>
        <v>#N/A</v>
      </c>
      <c r="CE41" s="35" t="str">
        <f t="shared" si="94"/>
        <v>0</v>
      </c>
    </row>
    <row r="42" spans="1:83">
      <c r="A42" s="24" t="str">
        <f t="shared" si="57"/>
        <v>.</v>
      </c>
      <c r="B42" s="79">
        <v>14</v>
      </c>
      <c r="C42" s="438"/>
      <c r="D42" s="453"/>
      <c r="E42" s="454"/>
      <c r="F42" s="438"/>
      <c r="G42" s="441"/>
      <c r="H42" s="452"/>
      <c r="I42" s="454"/>
      <c r="J42" s="438"/>
      <c r="K42" s="440"/>
      <c r="L42" s="438"/>
      <c r="M42" s="442"/>
      <c r="N42" s="444"/>
      <c r="O42" s="458"/>
      <c r="P42" s="459"/>
      <c r="Q42" s="443"/>
      <c r="R42" s="200"/>
      <c r="S42" s="112"/>
      <c r="T42" s="194" t="str">
        <f t="shared" si="55"/>
        <v/>
      </c>
      <c r="U42" s="202" t="str">
        <f t="shared" si="56"/>
        <v/>
      </c>
      <c r="W42" s="131" t="str">
        <f t="shared" si="58"/>
        <v>0</v>
      </c>
      <c r="X42" s="128" t="str">
        <f>IF(OR(R42="",R42=0),"",ORDER!H68)</f>
        <v/>
      </c>
      <c r="Y42" s="64" t="str">
        <f t="shared" si="59"/>
        <v>..</v>
      </c>
      <c r="AB42" s="34">
        <f t="shared" si="60"/>
        <v>1</v>
      </c>
      <c r="AC42" s="72">
        <f t="shared" si="61"/>
        <v>10</v>
      </c>
      <c r="AD42" s="63" t="str">
        <f t="shared" si="62"/>
        <v>.</v>
      </c>
      <c r="AE42" s="64" t="e">
        <f>VLOOKUP(AD42,Лист1!$AW:$AW,1,0)</f>
        <v>#N/A</v>
      </c>
      <c r="AF42" s="53" t="e">
        <f t="shared" si="63"/>
        <v>#N/A</v>
      </c>
      <c r="AG42" s="35" t="str">
        <f t="shared" si="64"/>
        <v>0</v>
      </c>
      <c r="AI42" s="63" t="str">
        <f t="shared" si="65"/>
        <v>..</v>
      </c>
      <c r="AJ42" s="64" t="e">
        <f>VLOOKUP(AI42,Лист1!$BA:$BA,1,0)</f>
        <v>#N/A</v>
      </c>
      <c r="AK42" s="53" t="e">
        <f t="shared" si="66"/>
        <v>#N/A</v>
      </c>
      <c r="AL42" s="35" t="str">
        <f t="shared" si="67"/>
        <v>0</v>
      </c>
      <c r="AN42" s="63" t="str">
        <f t="shared" si="68"/>
        <v>.</v>
      </c>
      <c r="AO42" s="64" t="e">
        <f>VLOOKUP(AN42,Лист1!$BE:$BE,1,0)</f>
        <v>#N/A</v>
      </c>
      <c r="AP42" s="53" t="e">
        <f t="shared" si="69"/>
        <v>#N/A</v>
      </c>
      <c r="AQ42" s="35" t="str">
        <f t="shared" si="70"/>
        <v>0</v>
      </c>
      <c r="AS42" s="63" t="str">
        <f t="shared" si="71"/>
        <v>.</v>
      </c>
      <c r="AT42" s="64" t="e">
        <f>VLOOKUP(AS42,Лист1!$BI:$BI,1,0)</f>
        <v>#N/A</v>
      </c>
      <c r="AU42" s="53" t="e">
        <f t="shared" si="72"/>
        <v>#N/A</v>
      </c>
      <c r="AV42" s="35" t="str">
        <f t="shared" si="73"/>
        <v>0</v>
      </c>
      <c r="AX42" s="63" t="str">
        <f t="shared" si="74"/>
        <v>.</v>
      </c>
      <c r="AY42" s="64" t="e">
        <f>VLOOKUP(AX42,Лист1!$BM:$BM,1,0)</f>
        <v>#N/A</v>
      </c>
      <c r="AZ42" s="53" t="e">
        <f t="shared" si="75"/>
        <v>#N/A</v>
      </c>
      <c r="BA42" s="35" t="str">
        <f t="shared" si="76"/>
        <v>0</v>
      </c>
      <c r="BC42" s="63" t="str">
        <f t="shared" si="77"/>
        <v>.</v>
      </c>
      <c r="BD42" s="64" t="str">
        <f>VLOOKUP(BC42,Лист1!$BQ:$BQ,1,0)</f>
        <v>.</v>
      </c>
      <c r="BE42" s="53">
        <f t="shared" si="78"/>
        <v>1</v>
      </c>
      <c r="BF42" s="35">
        <f t="shared" si="79"/>
        <v>1</v>
      </c>
      <c r="BH42" s="63" t="str">
        <f t="shared" si="80"/>
        <v>..</v>
      </c>
      <c r="BI42" s="64" t="e">
        <f>VLOOKUP(BH42,Лист1!$BU:$BU,1,0)</f>
        <v>#N/A</v>
      </c>
      <c r="BJ42" s="53" t="e">
        <f t="shared" si="81"/>
        <v>#N/A</v>
      </c>
      <c r="BK42" s="35" t="str">
        <f t="shared" si="82"/>
        <v>0</v>
      </c>
      <c r="BM42" s="63" t="str">
        <f t="shared" si="83"/>
        <v>..</v>
      </c>
      <c r="BN42" s="64" t="e">
        <f>VLOOKUP(BM42,Лист1!$BY:$BY,1,0)</f>
        <v>#N/A</v>
      </c>
      <c r="BO42" s="53" t="e">
        <f t="shared" si="84"/>
        <v>#N/A</v>
      </c>
      <c r="BP42" s="35" t="str">
        <f t="shared" si="85"/>
        <v>0</v>
      </c>
      <c r="BR42" s="63" t="str">
        <f t="shared" si="86"/>
        <v>...</v>
      </c>
      <c r="BS42" s="64" t="e">
        <f>VLOOKUP(BR42,Лист1!$CC:$CC,1,0)</f>
        <v>#N/A</v>
      </c>
      <c r="BT42" s="53" t="e">
        <f t="shared" si="87"/>
        <v>#N/A</v>
      </c>
      <c r="BU42" s="35" t="str">
        <f t="shared" si="88"/>
        <v>0</v>
      </c>
      <c r="BW42" s="63" t="str">
        <f t="shared" si="89"/>
        <v>...</v>
      </c>
      <c r="BX42" s="64" t="e">
        <f>VLOOKUP(BW42,Лист1!$CG:$CG,1,0)</f>
        <v>#N/A</v>
      </c>
      <c r="BY42" s="53" t="e">
        <f t="shared" si="90"/>
        <v>#N/A</v>
      </c>
      <c r="BZ42" s="35" t="str">
        <f t="shared" si="91"/>
        <v>0</v>
      </c>
      <c r="CB42" s="63" t="str">
        <f t="shared" si="92"/>
        <v>.</v>
      </c>
      <c r="CC42" s="64" t="e">
        <f>VLOOKUP(CB42,Лист1!$CK:$CK,1,0)</f>
        <v>#N/A</v>
      </c>
      <c r="CD42" s="53" t="e">
        <f t="shared" si="93"/>
        <v>#N/A</v>
      </c>
      <c r="CE42" s="35" t="str">
        <f t="shared" si="94"/>
        <v>0</v>
      </c>
    </row>
    <row r="43" spans="1:83">
      <c r="A43" s="24" t="str">
        <f t="shared" si="57"/>
        <v>.</v>
      </c>
      <c r="B43" s="79">
        <v>15</v>
      </c>
      <c r="C43" s="445"/>
      <c r="D43" s="446"/>
      <c r="E43" s="447"/>
      <c r="F43" s="445"/>
      <c r="G43" s="448"/>
      <c r="H43" s="445"/>
      <c r="I43" s="447"/>
      <c r="J43" s="445"/>
      <c r="K43" s="447"/>
      <c r="L43" s="445"/>
      <c r="M43" s="460"/>
      <c r="N43" s="461"/>
      <c r="O43" s="462"/>
      <c r="P43" s="463"/>
      <c r="Q43" s="451"/>
      <c r="R43" s="201"/>
      <c r="S43" s="177"/>
      <c r="T43" s="195" t="str">
        <f t="shared" si="55"/>
        <v/>
      </c>
      <c r="U43" s="204" t="str">
        <f t="shared" si="56"/>
        <v/>
      </c>
      <c r="W43" s="131" t="str">
        <f t="shared" si="58"/>
        <v>0</v>
      </c>
      <c r="X43" s="128" t="str">
        <f>IF(OR(R43="",R43=0),"",ORDER!H69)</f>
        <v/>
      </c>
      <c r="Y43" s="64" t="str">
        <f t="shared" si="59"/>
        <v>..</v>
      </c>
      <c r="AB43" s="34">
        <f t="shared" si="60"/>
        <v>1</v>
      </c>
      <c r="AC43" s="72">
        <f t="shared" si="61"/>
        <v>10</v>
      </c>
      <c r="AD43" s="63" t="str">
        <f t="shared" si="62"/>
        <v>.</v>
      </c>
      <c r="AE43" s="64" t="e">
        <f>VLOOKUP(AD43,Лист1!$AW:$AW,1,0)</f>
        <v>#N/A</v>
      </c>
      <c r="AF43" s="53" t="e">
        <f t="shared" si="63"/>
        <v>#N/A</v>
      </c>
      <c r="AG43" s="35" t="str">
        <f t="shared" si="64"/>
        <v>0</v>
      </c>
      <c r="AI43" s="63" t="str">
        <f t="shared" si="65"/>
        <v>..</v>
      </c>
      <c r="AJ43" s="64" t="e">
        <f>VLOOKUP(AI43,Лист1!$BA:$BA,1,0)</f>
        <v>#N/A</v>
      </c>
      <c r="AK43" s="53" t="e">
        <f t="shared" si="66"/>
        <v>#N/A</v>
      </c>
      <c r="AL43" s="35" t="str">
        <f t="shared" si="67"/>
        <v>0</v>
      </c>
      <c r="AN43" s="63" t="str">
        <f t="shared" si="68"/>
        <v>.</v>
      </c>
      <c r="AO43" s="64" t="e">
        <f>VLOOKUP(AN43,Лист1!$BE:$BE,1,0)</f>
        <v>#N/A</v>
      </c>
      <c r="AP43" s="53" t="e">
        <f t="shared" si="69"/>
        <v>#N/A</v>
      </c>
      <c r="AQ43" s="35" t="str">
        <f t="shared" si="70"/>
        <v>0</v>
      </c>
      <c r="AS43" s="63" t="str">
        <f t="shared" si="71"/>
        <v>.</v>
      </c>
      <c r="AT43" s="64" t="e">
        <f>VLOOKUP(AS43,Лист1!$BI:$BI,1,0)</f>
        <v>#N/A</v>
      </c>
      <c r="AU43" s="53" t="e">
        <f t="shared" si="72"/>
        <v>#N/A</v>
      </c>
      <c r="AV43" s="35" t="str">
        <f t="shared" si="73"/>
        <v>0</v>
      </c>
      <c r="AX43" s="63" t="str">
        <f t="shared" si="74"/>
        <v>.</v>
      </c>
      <c r="AY43" s="64" t="e">
        <f>VLOOKUP(AX43,Лист1!$BM:$BM,1,0)</f>
        <v>#N/A</v>
      </c>
      <c r="AZ43" s="53" t="e">
        <f t="shared" si="75"/>
        <v>#N/A</v>
      </c>
      <c r="BA43" s="35" t="str">
        <f t="shared" si="76"/>
        <v>0</v>
      </c>
      <c r="BC43" s="63" t="str">
        <f t="shared" si="77"/>
        <v>.</v>
      </c>
      <c r="BD43" s="64" t="str">
        <f>VLOOKUP(BC43,Лист1!$BQ:$BQ,1,0)</f>
        <v>.</v>
      </c>
      <c r="BE43" s="53">
        <f t="shared" si="78"/>
        <v>1</v>
      </c>
      <c r="BF43" s="35">
        <f t="shared" si="79"/>
        <v>1</v>
      </c>
      <c r="BH43" s="63" t="str">
        <f t="shared" si="80"/>
        <v>..</v>
      </c>
      <c r="BI43" s="64" t="e">
        <f>VLOOKUP(BH43,Лист1!$BU:$BU,1,0)</f>
        <v>#N/A</v>
      </c>
      <c r="BJ43" s="53" t="e">
        <f t="shared" si="81"/>
        <v>#N/A</v>
      </c>
      <c r="BK43" s="35" t="str">
        <f t="shared" si="82"/>
        <v>0</v>
      </c>
      <c r="BM43" s="63" t="str">
        <f t="shared" si="83"/>
        <v>..</v>
      </c>
      <c r="BN43" s="64" t="e">
        <f>VLOOKUP(BM43,Лист1!$BY:$BY,1,0)</f>
        <v>#N/A</v>
      </c>
      <c r="BO43" s="53" t="e">
        <f t="shared" si="84"/>
        <v>#N/A</v>
      </c>
      <c r="BP43" s="35" t="str">
        <f t="shared" si="85"/>
        <v>0</v>
      </c>
      <c r="BR43" s="63" t="str">
        <f t="shared" si="86"/>
        <v>...</v>
      </c>
      <c r="BS43" s="64" t="e">
        <f>VLOOKUP(BR43,Лист1!$CC:$CC,1,0)</f>
        <v>#N/A</v>
      </c>
      <c r="BT43" s="53" t="e">
        <f t="shared" si="87"/>
        <v>#N/A</v>
      </c>
      <c r="BU43" s="35" t="str">
        <f t="shared" si="88"/>
        <v>0</v>
      </c>
      <c r="BW43" s="63" t="str">
        <f t="shared" si="89"/>
        <v>...</v>
      </c>
      <c r="BX43" s="64" t="e">
        <f>VLOOKUP(BW43,Лист1!$CG:$CG,1,0)</f>
        <v>#N/A</v>
      </c>
      <c r="BY43" s="53" t="e">
        <f t="shared" si="90"/>
        <v>#N/A</v>
      </c>
      <c r="BZ43" s="35" t="str">
        <f t="shared" si="91"/>
        <v>0</v>
      </c>
      <c r="CB43" s="63" t="str">
        <f t="shared" si="92"/>
        <v>.</v>
      </c>
      <c r="CC43" s="64" t="e">
        <f>VLOOKUP(CB43,Лист1!$CK:$CK,1,0)</f>
        <v>#N/A</v>
      </c>
      <c r="CD43" s="53" t="e">
        <f t="shared" si="93"/>
        <v>#N/A</v>
      </c>
      <c r="CE43" s="35" t="str">
        <f t="shared" si="94"/>
        <v>0</v>
      </c>
    </row>
    <row r="44" spans="1:83" ht="5.0999999999999996" customHeight="1"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80"/>
      <c r="O44" s="180"/>
      <c r="P44" s="180"/>
      <c r="Q44" s="180"/>
      <c r="R44" s="179"/>
      <c r="S44" s="179"/>
      <c r="T44" s="179"/>
      <c r="U44" s="179"/>
      <c r="W44" s="132"/>
      <c r="X44" s="129"/>
    </row>
    <row r="45" spans="1:83">
      <c r="B45" s="73" t="s">
        <v>5412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5"/>
      <c r="W45" s="132"/>
      <c r="X45" s="129"/>
    </row>
    <row r="46" spans="1:83" ht="12.75" customHeight="1">
      <c r="B46" s="71" t="s">
        <v>480</v>
      </c>
      <c r="C46" s="735" t="s">
        <v>5395</v>
      </c>
      <c r="D46" s="37" t="s">
        <v>551</v>
      </c>
      <c r="E46" s="36" t="s">
        <v>5394</v>
      </c>
      <c r="F46" s="51" t="s">
        <v>319</v>
      </c>
      <c r="G46" s="52" t="s">
        <v>339</v>
      </c>
      <c r="H46" s="10" t="s">
        <v>559</v>
      </c>
      <c r="I46" s="861" t="s">
        <v>5407</v>
      </c>
      <c r="J46" s="861"/>
      <c r="K46" s="862"/>
      <c r="L46" s="871" t="s">
        <v>5399</v>
      </c>
      <c r="M46" s="872"/>
      <c r="N46" s="12" t="s">
        <v>5401</v>
      </c>
      <c r="O46" s="10"/>
      <c r="P46" s="11"/>
      <c r="Q46" s="12"/>
      <c r="R46" s="87" t="s">
        <v>5403</v>
      </c>
      <c r="S46" s="71" t="s">
        <v>5404</v>
      </c>
      <c r="T46" s="84" t="s">
        <v>5405</v>
      </c>
      <c r="U46" s="50" t="s">
        <v>5406</v>
      </c>
      <c r="W46" s="132"/>
      <c r="X46" s="129"/>
      <c r="AD46" s="847" t="str">
        <f>D46</f>
        <v>мод</v>
      </c>
      <c r="AE46" s="847"/>
      <c r="AF46" s="847"/>
      <c r="AG46" s="847"/>
      <c r="AI46" s="847" t="str">
        <f>E46</f>
        <v xml:space="preserve">
викон.</v>
      </c>
      <c r="AJ46" s="847"/>
      <c r="AK46" s="847"/>
      <c r="AL46" s="847"/>
      <c r="AN46" s="847" t="str">
        <f>F46</f>
        <v>тип</v>
      </c>
      <c r="AO46" s="847"/>
      <c r="AP46" s="847"/>
      <c r="AQ46" s="847"/>
      <c r="AS46" s="847" t="str">
        <f>G46</f>
        <v>ширина</v>
      </c>
      <c r="AT46" s="847"/>
      <c r="AU46" s="847"/>
      <c r="AV46" s="847"/>
      <c r="AX46" s="847" t="str">
        <f>H46</f>
        <v>декор</v>
      </c>
      <c r="AY46" s="847"/>
      <c r="AZ46" s="847"/>
      <c r="BA46" s="847"/>
      <c r="BC46" s="847" t="str">
        <f>I46</f>
        <v>колір</v>
      </c>
      <c r="BD46" s="847"/>
      <c r="BE46" s="847"/>
      <c r="BF46" s="847"/>
      <c r="BR46" s="847" t="str">
        <f>L46</f>
        <v>фурнітура</v>
      </c>
      <c r="BS46" s="847"/>
      <c r="BT46" s="847"/>
      <c r="BU46" s="847"/>
      <c r="CB46" s="847" t="str">
        <f>N46</f>
        <v>завіса</v>
      </c>
      <c r="CC46" s="847"/>
      <c r="CD46" s="847"/>
      <c r="CE46" s="847"/>
    </row>
    <row r="47" spans="1:83">
      <c r="A47" s="24" t="str">
        <f t="shared" ref="A47:A61" si="95">CONCATENATE(C47,".",D47)</f>
        <v>.</v>
      </c>
      <c r="B47" s="81">
        <v>1</v>
      </c>
      <c r="C47" s="452"/>
      <c r="D47" s="453"/>
      <c r="E47" s="454"/>
      <c r="F47" s="452"/>
      <c r="G47" s="455"/>
      <c r="H47" s="452"/>
      <c r="I47" s="848"/>
      <c r="J47" s="848"/>
      <c r="K47" s="849"/>
      <c r="L47" s="850"/>
      <c r="M47" s="848"/>
      <c r="N47" s="464"/>
      <c r="O47" s="452"/>
      <c r="P47" s="464"/>
      <c r="Q47" s="454"/>
      <c r="R47" s="199"/>
      <c r="S47" s="181"/>
      <c r="T47" s="193" t="str">
        <f t="shared" ref="T47:T61" si="96">IF(OR(W47="",W47="0"),"",W47)</f>
        <v/>
      </c>
      <c r="U47" s="203" t="str">
        <f t="shared" ref="U47:U61" si="97">IF(R47="","",IF(NOT(AC47=0),"Ошибка в строке",""))</f>
        <v/>
      </c>
      <c r="W47" s="131" t="str">
        <f t="shared" ref="W47:W61" si="98">IF(OR(ISNA(X47),NOT(AC47=0)),"0",X47)</f>
        <v>0</v>
      </c>
      <c r="X47" s="128" t="str">
        <f>IF(OR(R47="",R47=0),"",ORDER!H71)</f>
        <v/>
      </c>
      <c r="Y47" s="64" t="str">
        <f>CONCATENATE(C47,".",E47,".",F47)</f>
        <v>..</v>
      </c>
      <c r="AB47" s="34">
        <f>AG47+AL47+AQ47+AV47+BA47+BF47+BK47+BP47+BU47+BZ47+CE47</f>
        <v>1</v>
      </c>
      <c r="AC47" s="72">
        <f>8-AB47</f>
        <v>7</v>
      </c>
      <c r="AD47" s="63" t="str">
        <f>CONCATENATE(C47,".",D47)</f>
        <v>.</v>
      </c>
      <c r="AE47" s="64" t="e">
        <f>VLOOKUP(AD47,Лист1!$AW:$AW,1,0)</f>
        <v>#N/A</v>
      </c>
      <c r="AF47" s="53" t="e">
        <f>IF(AD47=AE47,1,0)</f>
        <v>#N/A</v>
      </c>
      <c r="AG47" s="35" t="str">
        <f>IF(ISNA(AF47),"0",AF47)</f>
        <v>0</v>
      </c>
      <c r="AI47" s="63" t="str">
        <f>CONCATENATE(C47,".",D47,".",E47)</f>
        <v>..</v>
      </c>
      <c r="AJ47" s="64" t="e">
        <f>VLOOKUP(AI47,Лист1!$BA:$BA,1,0)</f>
        <v>#N/A</v>
      </c>
      <c r="AK47" s="53" t="e">
        <f>IF(AI47=AJ47,1,0)</f>
        <v>#N/A</v>
      </c>
      <c r="AL47" s="35" t="str">
        <f>IF(ISNA(AK47),"0",AK47)</f>
        <v>0</v>
      </c>
      <c r="AN47" s="63" t="str">
        <f>CONCATENATE(E47,".",F47,)</f>
        <v>.</v>
      </c>
      <c r="AO47" s="64" t="e">
        <f>VLOOKUP(AN47,Лист1!$BE:$BE,1,0)</f>
        <v>#N/A</v>
      </c>
      <c r="AP47" s="53" t="e">
        <f>IF(AN47=AO47,1,0)</f>
        <v>#N/A</v>
      </c>
      <c r="AQ47" s="35" t="str">
        <f>IF(ISNA(AP47),"0",AP47)</f>
        <v>0</v>
      </c>
      <c r="AS47" s="63" t="str">
        <f>CONCATENATE(F47,".",G47,)</f>
        <v>.</v>
      </c>
      <c r="AT47" s="64" t="e">
        <f>VLOOKUP(AS47,Лист1!$BI:$BI,1,0)</f>
        <v>#N/A</v>
      </c>
      <c r="AU47" s="53" t="e">
        <f>IF(AS47=AT47,1,0)</f>
        <v>#N/A</v>
      </c>
      <c r="AV47" s="35" t="str">
        <f>IF(ISNA(AU47),"0",AU47)</f>
        <v>0</v>
      </c>
      <c r="AX47" s="63" t="str">
        <f>CONCATENATE(C47,".",H47,)</f>
        <v>.</v>
      </c>
      <c r="AY47" s="64" t="e">
        <f>VLOOKUP(AX47,Лист1!$BM:$BM,1,0)</f>
        <v>#N/A</v>
      </c>
      <c r="AZ47" s="53" t="e">
        <f>IF(AX47=AY47,1,0)</f>
        <v>#N/A</v>
      </c>
      <c r="BA47" s="35" t="str">
        <f>IF(ISNA(AZ47),"0",AZ47)</f>
        <v>0</v>
      </c>
      <c r="BC47" s="63" t="str">
        <f>CONCATENATE(H47,".",I47,)</f>
        <v>.</v>
      </c>
      <c r="BD47" s="64" t="str">
        <f>VLOOKUP(BC47,Лист1!$BQ:$BQ,1,0)</f>
        <v>.</v>
      </c>
      <c r="BE47" s="53">
        <f>IF(BC47=BD47,1,0)</f>
        <v>1</v>
      </c>
      <c r="BF47" s="35">
        <f>IF(ISNA(BE47),"0",BE47)</f>
        <v>1</v>
      </c>
      <c r="BR47" s="63" t="str">
        <f>CONCATENATE(C47,".",E47,".",F47,".",L47)</f>
        <v>...</v>
      </c>
      <c r="BS47" s="64" t="e">
        <f>VLOOKUP(BR47,Лист1!$CC:$CC,1,0)</f>
        <v>#N/A</v>
      </c>
      <c r="BT47" s="53" t="e">
        <f>IF(BR47=BS47,1,0)</f>
        <v>#N/A</v>
      </c>
      <c r="BU47" s="35" t="str">
        <f>IF(ISNA(BT47),"0",BT47)</f>
        <v>0</v>
      </c>
      <c r="CB47" s="63" t="str">
        <f>CONCATENATE(L47,".",N47)</f>
        <v>.</v>
      </c>
      <c r="CC47" s="64" t="e">
        <f>VLOOKUP(CB47,Лист1!$CK:$CK,1,0)</f>
        <v>#N/A</v>
      </c>
      <c r="CD47" s="53" t="e">
        <f>IF(CB47=CC47,1,0)</f>
        <v>#N/A</v>
      </c>
      <c r="CE47" s="35" t="str">
        <f>IF(ISNA(CD47),"0",CD47)</f>
        <v>0</v>
      </c>
    </row>
    <row r="48" spans="1:83">
      <c r="A48" s="24" t="str">
        <f t="shared" si="95"/>
        <v>.</v>
      </c>
      <c r="B48" s="82">
        <v>2</v>
      </c>
      <c r="C48" s="452"/>
      <c r="D48" s="453"/>
      <c r="E48" s="454"/>
      <c r="F48" s="452"/>
      <c r="G48" s="455"/>
      <c r="H48" s="452"/>
      <c r="I48" s="848"/>
      <c r="J48" s="848"/>
      <c r="K48" s="849"/>
      <c r="L48" s="850"/>
      <c r="M48" s="848"/>
      <c r="N48" s="464"/>
      <c r="O48" s="452"/>
      <c r="P48" s="464"/>
      <c r="Q48" s="454"/>
      <c r="R48" s="199"/>
      <c r="S48" s="114"/>
      <c r="T48" s="194" t="str">
        <f t="shared" si="96"/>
        <v/>
      </c>
      <c r="U48" s="202" t="str">
        <f t="shared" si="97"/>
        <v/>
      </c>
      <c r="W48" s="131" t="str">
        <f t="shared" si="98"/>
        <v>0</v>
      </c>
      <c r="X48" s="128" t="str">
        <f>IF(OR(R48="",R48=0),"",ORDER!H72)</f>
        <v/>
      </c>
      <c r="Y48" s="64" t="str">
        <f t="shared" ref="Y48:Y61" si="99">CONCATENATE(C48,".",E48,".",F48)</f>
        <v>..</v>
      </c>
      <c r="AB48" s="34">
        <f t="shared" ref="AB48:AB61" si="100">AG48+AL48+AQ48+AV48+BA48+BF48+BK48+BP48+BU48+BZ48+CE48</f>
        <v>1</v>
      </c>
      <c r="AC48" s="72">
        <f t="shared" ref="AC48:AC61" si="101">8-AB48</f>
        <v>7</v>
      </c>
      <c r="AD48" s="63" t="str">
        <f t="shared" ref="AD48:AD61" si="102">CONCATENATE(C48,".",D48)</f>
        <v>.</v>
      </c>
      <c r="AE48" s="64" t="e">
        <f>VLOOKUP(AD48,Лист1!$AW:$AW,1,0)</f>
        <v>#N/A</v>
      </c>
      <c r="AF48" s="53" t="e">
        <f t="shared" ref="AF48:AF61" si="103">IF(AD48=AE48,1,0)</f>
        <v>#N/A</v>
      </c>
      <c r="AG48" s="35" t="str">
        <f t="shared" ref="AG48:AG61" si="104">IF(ISNA(AF48),"0",AF48)</f>
        <v>0</v>
      </c>
      <c r="AI48" s="63" t="str">
        <f t="shared" ref="AI48:AI61" si="105">CONCATENATE(C48,".",D48,".",E48)</f>
        <v>..</v>
      </c>
      <c r="AJ48" s="64" t="e">
        <f>VLOOKUP(AI48,Лист1!$BA:$BA,1,0)</f>
        <v>#N/A</v>
      </c>
      <c r="AK48" s="53" t="e">
        <f t="shared" ref="AK48:AK61" si="106">IF(AI48=AJ48,1,0)</f>
        <v>#N/A</v>
      </c>
      <c r="AL48" s="35" t="str">
        <f t="shared" ref="AL48:AL61" si="107">IF(ISNA(AK48),"0",AK48)</f>
        <v>0</v>
      </c>
      <c r="AN48" s="63" t="str">
        <f t="shared" ref="AN48:AN61" si="108">CONCATENATE(E48,".",F48,)</f>
        <v>.</v>
      </c>
      <c r="AO48" s="64" t="e">
        <f>VLOOKUP(AN48,Лист1!$BE:$BE,1,0)</f>
        <v>#N/A</v>
      </c>
      <c r="AP48" s="53" t="e">
        <f t="shared" ref="AP48:AP61" si="109">IF(AN48=AO48,1,0)</f>
        <v>#N/A</v>
      </c>
      <c r="AQ48" s="35" t="str">
        <f t="shared" ref="AQ48:AQ61" si="110">IF(ISNA(AP48),"0",AP48)</f>
        <v>0</v>
      </c>
      <c r="AS48" s="63" t="str">
        <f t="shared" ref="AS48:AS61" si="111">CONCATENATE(F48,".",G48,)</f>
        <v>.</v>
      </c>
      <c r="AT48" s="64" t="e">
        <f>VLOOKUP(AS48,Лист1!$BI:$BI,1,0)</f>
        <v>#N/A</v>
      </c>
      <c r="AU48" s="53" t="e">
        <f t="shared" ref="AU48:AU61" si="112">IF(AS48=AT48,1,0)</f>
        <v>#N/A</v>
      </c>
      <c r="AV48" s="35" t="str">
        <f t="shared" ref="AV48:AV61" si="113">IF(ISNA(AU48),"0",AU48)</f>
        <v>0</v>
      </c>
      <c r="AX48" s="63" t="str">
        <f t="shared" ref="AX48:AX61" si="114">CONCATENATE(C48,".",H48,)</f>
        <v>.</v>
      </c>
      <c r="AY48" s="64" t="e">
        <f>VLOOKUP(AX48,Лист1!$BM:$BM,1,0)</f>
        <v>#N/A</v>
      </c>
      <c r="AZ48" s="53" t="e">
        <f t="shared" ref="AZ48:AZ61" si="115">IF(AX48=AY48,1,0)</f>
        <v>#N/A</v>
      </c>
      <c r="BA48" s="35" t="str">
        <f t="shared" ref="BA48:BA61" si="116">IF(ISNA(AZ48),"0",AZ48)</f>
        <v>0</v>
      </c>
      <c r="BC48" s="63" t="str">
        <f t="shared" ref="BC48:BC61" si="117">CONCATENATE(H48,".",I48,)</f>
        <v>.</v>
      </c>
      <c r="BD48" s="64" t="str">
        <f>VLOOKUP(BC48,Лист1!$BQ:$BQ,1,0)</f>
        <v>.</v>
      </c>
      <c r="BE48" s="53">
        <f t="shared" ref="BE48:BE61" si="118">IF(BC48=BD48,1,0)</f>
        <v>1</v>
      </c>
      <c r="BF48" s="35">
        <f t="shared" ref="BF48:BF61" si="119">IF(ISNA(BE48),"0",BE48)</f>
        <v>1</v>
      </c>
      <c r="BR48" s="63" t="str">
        <f t="shared" ref="BR48:BR61" si="120">CONCATENATE(C48,".",E48,".",F48,".",L48)</f>
        <v>...</v>
      </c>
      <c r="BS48" s="64" t="e">
        <f>VLOOKUP(BR48,Лист1!$CC:$CC,1,0)</f>
        <v>#N/A</v>
      </c>
      <c r="BT48" s="53" t="e">
        <f t="shared" ref="BT48:BT61" si="121">IF(BR48=BS48,1,0)</f>
        <v>#N/A</v>
      </c>
      <c r="BU48" s="35" t="str">
        <f t="shared" ref="BU48:BU61" si="122">IF(ISNA(BT48),"0",BT48)</f>
        <v>0</v>
      </c>
      <c r="CB48" s="63" t="str">
        <f t="shared" ref="CB48:CB61" si="123">CONCATENATE(L48,".",N48)</f>
        <v>.</v>
      </c>
      <c r="CC48" s="64" t="e">
        <f>VLOOKUP(CB48,Лист1!$CK:$CK,1,0)</f>
        <v>#N/A</v>
      </c>
      <c r="CD48" s="53" t="e">
        <f t="shared" ref="CD48:CD61" si="124">IF(CB48=CC48,1,0)</f>
        <v>#N/A</v>
      </c>
      <c r="CE48" s="35" t="str">
        <f t="shared" ref="CE48:CE61" si="125">IF(ISNA(CD48),"0",CD48)</f>
        <v>0</v>
      </c>
    </row>
    <row r="49" spans="1:83">
      <c r="A49" s="24" t="str">
        <f t="shared" si="95"/>
        <v>.</v>
      </c>
      <c r="B49" s="82">
        <v>3</v>
      </c>
      <c r="C49" s="452"/>
      <c r="D49" s="453"/>
      <c r="E49" s="454"/>
      <c r="F49" s="452"/>
      <c r="G49" s="455"/>
      <c r="H49" s="452"/>
      <c r="I49" s="848"/>
      <c r="J49" s="848"/>
      <c r="K49" s="849"/>
      <c r="L49" s="850"/>
      <c r="M49" s="848"/>
      <c r="N49" s="464"/>
      <c r="O49" s="452"/>
      <c r="P49" s="464"/>
      <c r="Q49" s="454"/>
      <c r="R49" s="199"/>
      <c r="S49" s="114"/>
      <c r="T49" s="194" t="str">
        <f t="shared" si="96"/>
        <v/>
      </c>
      <c r="U49" s="202" t="str">
        <f t="shared" si="97"/>
        <v/>
      </c>
      <c r="W49" s="131" t="str">
        <f t="shared" si="98"/>
        <v>0</v>
      </c>
      <c r="X49" s="128" t="str">
        <f>IF(OR(R49="",R49=0),"",ORDER!H73)</f>
        <v/>
      </c>
      <c r="Y49" s="64" t="str">
        <f t="shared" si="99"/>
        <v>..</v>
      </c>
      <c r="AB49" s="34">
        <f t="shared" si="100"/>
        <v>1</v>
      </c>
      <c r="AC49" s="72">
        <f t="shared" si="101"/>
        <v>7</v>
      </c>
      <c r="AD49" s="63" t="str">
        <f t="shared" si="102"/>
        <v>.</v>
      </c>
      <c r="AE49" s="64" t="e">
        <f>VLOOKUP(AD49,Лист1!$AW:$AW,1,0)</f>
        <v>#N/A</v>
      </c>
      <c r="AF49" s="53" t="e">
        <f t="shared" si="103"/>
        <v>#N/A</v>
      </c>
      <c r="AG49" s="35" t="str">
        <f t="shared" si="104"/>
        <v>0</v>
      </c>
      <c r="AI49" s="63" t="str">
        <f t="shared" si="105"/>
        <v>..</v>
      </c>
      <c r="AJ49" s="64" t="e">
        <f>VLOOKUP(AI49,Лист1!$BA:$BA,1,0)</f>
        <v>#N/A</v>
      </c>
      <c r="AK49" s="53" t="e">
        <f t="shared" si="106"/>
        <v>#N/A</v>
      </c>
      <c r="AL49" s="35" t="str">
        <f t="shared" si="107"/>
        <v>0</v>
      </c>
      <c r="AN49" s="63" t="str">
        <f t="shared" si="108"/>
        <v>.</v>
      </c>
      <c r="AO49" s="64" t="e">
        <f>VLOOKUP(AN49,Лист1!$BE:$BE,1,0)</f>
        <v>#N/A</v>
      </c>
      <c r="AP49" s="53" t="e">
        <f t="shared" si="109"/>
        <v>#N/A</v>
      </c>
      <c r="AQ49" s="35" t="str">
        <f t="shared" si="110"/>
        <v>0</v>
      </c>
      <c r="AS49" s="63" t="str">
        <f t="shared" si="111"/>
        <v>.</v>
      </c>
      <c r="AT49" s="64" t="e">
        <f>VLOOKUP(AS49,Лист1!$BI:$BI,1,0)</f>
        <v>#N/A</v>
      </c>
      <c r="AU49" s="53" t="e">
        <f t="shared" si="112"/>
        <v>#N/A</v>
      </c>
      <c r="AV49" s="35" t="str">
        <f t="shared" si="113"/>
        <v>0</v>
      </c>
      <c r="AX49" s="63" t="str">
        <f t="shared" si="114"/>
        <v>.</v>
      </c>
      <c r="AY49" s="64" t="e">
        <f>VLOOKUP(AX49,Лист1!$BM:$BM,1,0)</f>
        <v>#N/A</v>
      </c>
      <c r="AZ49" s="53" t="e">
        <f t="shared" si="115"/>
        <v>#N/A</v>
      </c>
      <c r="BA49" s="35" t="str">
        <f t="shared" si="116"/>
        <v>0</v>
      </c>
      <c r="BC49" s="63" t="str">
        <f t="shared" si="117"/>
        <v>.</v>
      </c>
      <c r="BD49" s="64" t="str">
        <f>VLOOKUP(BC49,Лист1!$BQ:$BQ,1,0)</f>
        <v>.</v>
      </c>
      <c r="BE49" s="53">
        <f t="shared" si="118"/>
        <v>1</v>
      </c>
      <c r="BF49" s="35">
        <f t="shared" si="119"/>
        <v>1</v>
      </c>
      <c r="BR49" s="63" t="str">
        <f t="shared" si="120"/>
        <v>...</v>
      </c>
      <c r="BS49" s="64" t="e">
        <f>VLOOKUP(BR49,Лист1!$CC:$CC,1,0)</f>
        <v>#N/A</v>
      </c>
      <c r="BT49" s="53" t="e">
        <f t="shared" si="121"/>
        <v>#N/A</v>
      </c>
      <c r="BU49" s="35" t="str">
        <f t="shared" si="122"/>
        <v>0</v>
      </c>
      <c r="CB49" s="63" t="str">
        <f t="shared" si="123"/>
        <v>.</v>
      </c>
      <c r="CC49" s="64" t="e">
        <f>VLOOKUP(CB49,Лист1!$CK:$CK,1,0)</f>
        <v>#N/A</v>
      </c>
      <c r="CD49" s="53" t="e">
        <f t="shared" si="124"/>
        <v>#N/A</v>
      </c>
      <c r="CE49" s="35" t="str">
        <f t="shared" si="125"/>
        <v>0</v>
      </c>
    </row>
    <row r="50" spans="1:83">
      <c r="A50" s="24" t="str">
        <f>CONCATENATE(C50,".",D50)</f>
        <v>.</v>
      </c>
      <c r="B50" s="82">
        <v>4</v>
      </c>
      <c r="C50" s="452"/>
      <c r="D50" s="453"/>
      <c r="E50" s="454"/>
      <c r="F50" s="452"/>
      <c r="G50" s="455"/>
      <c r="H50" s="452"/>
      <c r="I50" s="848"/>
      <c r="J50" s="848"/>
      <c r="K50" s="849"/>
      <c r="L50" s="850"/>
      <c r="M50" s="848"/>
      <c r="N50" s="464"/>
      <c r="O50" s="452"/>
      <c r="P50" s="464"/>
      <c r="Q50" s="454"/>
      <c r="R50" s="199"/>
      <c r="S50" s="115"/>
      <c r="T50" s="194" t="str">
        <f>IF(OR(W50="",W50="0"),"",W50)</f>
        <v/>
      </c>
      <c r="U50" s="202" t="str">
        <f>IF(R50="","",IF(NOT(AC50=0),"Ошибка в строке",""))</f>
        <v/>
      </c>
      <c r="W50" s="131" t="str">
        <f>IF(OR(ISNA(X50),NOT(AC50=0)),"0",X50)</f>
        <v>0</v>
      </c>
      <c r="X50" s="128" t="str">
        <f>IF(OR(R50="",R50=0),"",ORDER!H74)</f>
        <v/>
      </c>
      <c r="Y50" s="64" t="str">
        <f>CONCATENATE(C50,".",E50,".",F50)</f>
        <v>..</v>
      </c>
      <c r="AB50" s="34">
        <f>AG50+AL50+AQ50+AV50+BA50+BF50+BK50+BP50+BU50+BZ50+CE50</f>
        <v>1</v>
      </c>
      <c r="AC50" s="72">
        <f t="shared" si="101"/>
        <v>7</v>
      </c>
      <c r="AD50" s="63" t="str">
        <f>CONCATENATE(C50,".",D50)</f>
        <v>.</v>
      </c>
      <c r="AE50" s="64" t="e">
        <f>VLOOKUP(AD50,Лист1!$AW:$AW,1,0)</f>
        <v>#N/A</v>
      </c>
      <c r="AF50" s="53" t="e">
        <f>IF(AD50=AE50,1,0)</f>
        <v>#N/A</v>
      </c>
      <c r="AG50" s="35" t="str">
        <f t="shared" si="104"/>
        <v>0</v>
      </c>
      <c r="AI50" s="63" t="str">
        <f>CONCATENATE(C50,".",D50,".",E50)</f>
        <v>..</v>
      </c>
      <c r="AJ50" s="64" t="e">
        <f>VLOOKUP(AI50,Лист1!$BA:$BA,1,0)</f>
        <v>#N/A</v>
      </c>
      <c r="AK50" s="53" t="e">
        <f>IF(AI50=AJ50,1,0)</f>
        <v>#N/A</v>
      </c>
      <c r="AL50" s="35" t="str">
        <f t="shared" si="107"/>
        <v>0</v>
      </c>
      <c r="AN50" s="63" t="str">
        <f>CONCATENATE(E50,".",F50,)</f>
        <v>.</v>
      </c>
      <c r="AO50" s="64" t="e">
        <f>VLOOKUP(AN50,Лист1!$BE:$BE,1,0)</f>
        <v>#N/A</v>
      </c>
      <c r="AP50" s="53" t="e">
        <f>IF(AN50=AO50,1,0)</f>
        <v>#N/A</v>
      </c>
      <c r="AQ50" s="35" t="str">
        <f t="shared" si="110"/>
        <v>0</v>
      </c>
      <c r="AS50" s="63" t="str">
        <f>CONCATENATE(F50,".",G50,)</f>
        <v>.</v>
      </c>
      <c r="AT50" s="64" t="e">
        <f>VLOOKUP(AS50,Лист1!$BI:$BI,1,0)</f>
        <v>#N/A</v>
      </c>
      <c r="AU50" s="53" t="e">
        <f>IF(AS50=AT50,1,0)</f>
        <v>#N/A</v>
      </c>
      <c r="AV50" s="35" t="str">
        <f t="shared" si="113"/>
        <v>0</v>
      </c>
      <c r="AX50" s="63" t="str">
        <f>CONCATENATE(C50,".",H50,)</f>
        <v>.</v>
      </c>
      <c r="AY50" s="64" t="e">
        <f>VLOOKUP(AX50,Лист1!$BM:$BM,1,0)</f>
        <v>#N/A</v>
      </c>
      <c r="AZ50" s="53" t="e">
        <f>IF(AX50=AY50,1,0)</f>
        <v>#N/A</v>
      </c>
      <c r="BA50" s="35" t="str">
        <f t="shared" si="116"/>
        <v>0</v>
      </c>
      <c r="BC50" s="63" t="str">
        <f>CONCATENATE(H50,".",I50,)</f>
        <v>.</v>
      </c>
      <c r="BD50" s="64" t="str">
        <f>VLOOKUP(BC50,Лист1!$BQ:$BQ,1,0)</f>
        <v>.</v>
      </c>
      <c r="BE50" s="53">
        <f>IF(BC50=BD50,1,0)</f>
        <v>1</v>
      </c>
      <c r="BF50" s="35">
        <f t="shared" si="119"/>
        <v>1</v>
      </c>
      <c r="BR50" s="63" t="str">
        <f>CONCATENATE(C50,".",E50,".",F50,".",L50)</f>
        <v>...</v>
      </c>
      <c r="BS50" s="64" t="e">
        <f>VLOOKUP(BR50,Лист1!$CC:$CC,1,0)</f>
        <v>#N/A</v>
      </c>
      <c r="BT50" s="53" t="e">
        <f>IF(BR50=BS50,1,0)</f>
        <v>#N/A</v>
      </c>
      <c r="BU50" s="35" t="str">
        <f t="shared" si="122"/>
        <v>0</v>
      </c>
      <c r="CB50" s="63" t="str">
        <f>CONCATENATE(L50,".",N50)</f>
        <v>.</v>
      </c>
      <c r="CC50" s="64" t="e">
        <f>VLOOKUP(CB50,Лист1!$CK:$CK,1,0)</f>
        <v>#N/A</v>
      </c>
      <c r="CD50" s="53" t="e">
        <f>IF(CB50=CC50,1,0)</f>
        <v>#N/A</v>
      </c>
      <c r="CE50" s="35" t="str">
        <f t="shared" si="125"/>
        <v>0</v>
      </c>
    </row>
    <row r="51" spans="1:83">
      <c r="A51" s="24" t="str">
        <f>CONCATENATE(C51,".",D51)</f>
        <v>.</v>
      </c>
      <c r="B51" s="82">
        <v>5</v>
      </c>
      <c r="C51" s="452"/>
      <c r="D51" s="453"/>
      <c r="E51" s="454"/>
      <c r="F51" s="452"/>
      <c r="G51" s="455"/>
      <c r="H51" s="452"/>
      <c r="I51" s="848"/>
      <c r="J51" s="848"/>
      <c r="K51" s="849"/>
      <c r="L51" s="850"/>
      <c r="M51" s="848"/>
      <c r="N51" s="464"/>
      <c r="O51" s="452"/>
      <c r="P51" s="464"/>
      <c r="Q51" s="454"/>
      <c r="R51" s="199"/>
      <c r="S51" s="114"/>
      <c r="T51" s="194" t="str">
        <f>IF(OR(W51="",W51="0"),"",W51)</f>
        <v/>
      </c>
      <c r="U51" s="202" t="str">
        <f>IF(R51="","",IF(NOT(AC51=0),"Ошибка в строке",""))</f>
        <v/>
      </c>
      <c r="W51" s="131" t="str">
        <f>IF(OR(ISNA(X51),NOT(AC51=0)),"0",X51)</f>
        <v>0</v>
      </c>
      <c r="X51" s="128" t="str">
        <f>IF(OR(R51="",R51=0),"",ORDER!H75)</f>
        <v/>
      </c>
      <c r="Y51" s="64" t="str">
        <f>CONCATENATE(C51,".",E51,".",F51)</f>
        <v>..</v>
      </c>
      <c r="AB51" s="34">
        <f>AG51+AL51+AQ51+AV51+BA51+BF51+BK51+BP51+BU51+BZ51+CE51</f>
        <v>1</v>
      </c>
      <c r="AC51" s="72">
        <f t="shared" si="101"/>
        <v>7</v>
      </c>
      <c r="AD51" s="63" t="str">
        <f>CONCATENATE(C51,".",D51)</f>
        <v>.</v>
      </c>
      <c r="AE51" s="64" t="e">
        <f>VLOOKUP(AD51,Лист1!$AW:$AW,1,0)</f>
        <v>#N/A</v>
      </c>
      <c r="AF51" s="53" t="e">
        <f>IF(AD51=AE51,1,0)</f>
        <v>#N/A</v>
      </c>
      <c r="AG51" s="35" t="str">
        <f t="shared" si="104"/>
        <v>0</v>
      </c>
      <c r="AI51" s="63" t="str">
        <f>CONCATENATE(C51,".",D51,".",E51)</f>
        <v>..</v>
      </c>
      <c r="AJ51" s="64" t="e">
        <f>VLOOKUP(AI51,Лист1!$BA:$BA,1,0)</f>
        <v>#N/A</v>
      </c>
      <c r="AK51" s="53" t="e">
        <f>IF(AI51=AJ51,1,0)</f>
        <v>#N/A</v>
      </c>
      <c r="AL51" s="35" t="str">
        <f t="shared" si="107"/>
        <v>0</v>
      </c>
      <c r="AN51" s="63" t="str">
        <f>CONCATENATE(E51,".",F51,)</f>
        <v>.</v>
      </c>
      <c r="AO51" s="64" t="e">
        <f>VLOOKUP(AN51,Лист1!$BE:$BE,1,0)</f>
        <v>#N/A</v>
      </c>
      <c r="AP51" s="53" t="e">
        <f>IF(AN51=AO51,1,0)</f>
        <v>#N/A</v>
      </c>
      <c r="AQ51" s="35" t="str">
        <f t="shared" si="110"/>
        <v>0</v>
      </c>
      <c r="AS51" s="63" t="str">
        <f>CONCATENATE(F51,".",G51,)</f>
        <v>.</v>
      </c>
      <c r="AT51" s="64" t="e">
        <f>VLOOKUP(AS51,Лист1!$BI:$BI,1,0)</f>
        <v>#N/A</v>
      </c>
      <c r="AU51" s="53" t="e">
        <f>IF(AS51=AT51,1,0)</f>
        <v>#N/A</v>
      </c>
      <c r="AV51" s="35" t="str">
        <f t="shared" si="113"/>
        <v>0</v>
      </c>
      <c r="AX51" s="63" t="str">
        <f>CONCATENATE(C51,".",H51,)</f>
        <v>.</v>
      </c>
      <c r="AY51" s="64" t="e">
        <f>VLOOKUP(AX51,Лист1!$BM:$BM,1,0)</f>
        <v>#N/A</v>
      </c>
      <c r="AZ51" s="53" t="e">
        <f>IF(AX51=AY51,1,0)</f>
        <v>#N/A</v>
      </c>
      <c r="BA51" s="35" t="str">
        <f t="shared" si="116"/>
        <v>0</v>
      </c>
      <c r="BC51" s="63" t="str">
        <f>CONCATENATE(H51,".",I51,)</f>
        <v>.</v>
      </c>
      <c r="BD51" s="64" t="str">
        <f>VLOOKUP(BC51,Лист1!$BQ:$BQ,1,0)</f>
        <v>.</v>
      </c>
      <c r="BE51" s="53">
        <f>IF(BC51=BD51,1,0)</f>
        <v>1</v>
      </c>
      <c r="BF51" s="35">
        <f t="shared" si="119"/>
        <v>1</v>
      </c>
      <c r="BR51" s="63" t="str">
        <f>CONCATENATE(C51,".",E51,".",F51,".",L51)</f>
        <v>...</v>
      </c>
      <c r="BS51" s="64" t="e">
        <f>VLOOKUP(BR51,Лист1!$CC:$CC,1,0)</f>
        <v>#N/A</v>
      </c>
      <c r="BT51" s="53" t="e">
        <f>IF(BR51=BS51,1,0)</f>
        <v>#N/A</v>
      </c>
      <c r="BU51" s="35" t="str">
        <f t="shared" si="122"/>
        <v>0</v>
      </c>
      <c r="CB51" s="63" t="str">
        <f>CONCATENATE(L51,".",N51)</f>
        <v>.</v>
      </c>
      <c r="CC51" s="64" t="e">
        <f>VLOOKUP(CB51,Лист1!$CK:$CK,1,0)</f>
        <v>#N/A</v>
      </c>
      <c r="CD51" s="53" t="e">
        <f>IF(CB51=CC51,1,0)</f>
        <v>#N/A</v>
      </c>
      <c r="CE51" s="35" t="str">
        <f t="shared" si="125"/>
        <v>0</v>
      </c>
    </row>
    <row r="52" spans="1:83">
      <c r="A52" s="24" t="str">
        <f>CONCATENATE(C52,".",D52)</f>
        <v>.</v>
      </c>
      <c r="B52" s="82">
        <v>6</v>
      </c>
      <c r="C52" s="452"/>
      <c r="D52" s="453"/>
      <c r="E52" s="454"/>
      <c r="F52" s="452"/>
      <c r="G52" s="455"/>
      <c r="H52" s="452"/>
      <c r="I52" s="848"/>
      <c r="J52" s="848"/>
      <c r="K52" s="849"/>
      <c r="L52" s="850"/>
      <c r="M52" s="848"/>
      <c r="N52" s="464"/>
      <c r="O52" s="452"/>
      <c r="P52" s="464"/>
      <c r="Q52" s="454"/>
      <c r="R52" s="199"/>
      <c r="S52" s="114"/>
      <c r="T52" s="194" t="str">
        <f>IF(OR(W52="",W52="0"),"",W52)</f>
        <v/>
      </c>
      <c r="U52" s="202" t="str">
        <f>IF(R52="","",IF(NOT(AC52=0),"Ошибка в строке",""))</f>
        <v/>
      </c>
      <c r="W52" s="131" t="str">
        <f>IF(OR(ISNA(X52),NOT(AC52=0)),"0",X52)</f>
        <v>0</v>
      </c>
      <c r="X52" s="128" t="str">
        <f>IF(OR(R52="",R52=0),"",ORDER!H76)</f>
        <v/>
      </c>
      <c r="Y52" s="64" t="str">
        <f>CONCATENATE(C52,".",E52,".",F52)</f>
        <v>..</v>
      </c>
      <c r="AB52" s="34">
        <f>AG52+AL52+AQ52+AV52+BA52+BF52+BK52+BP52+BU52+BZ52+CE52</f>
        <v>1</v>
      </c>
      <c r="AC52" s="72">
        <f t="shared" si="101"/>
        <v>7</v>
      </c>
      <c r="AD52" s="63" t="str">
        <f>CONCATENATE(C52,".",D52)</f>
        <v>.</v>
      </c>
      <c r="AE52" s="64" t="e">
        <f>VLOOKUP(AD52,Лист1!$AW:$AW,1,0)</f>
        <v>#N/A</v>
      </c>
      <c r="AF52" s="53" t="e">
        <f>IF(AD52=AE52,1,0)</f>
        <v>#N/A</v>
      </c>
      <c r="AG52" s="35" t="str">
        <f t="shared" si="104"/>
        <v>0</v>
      </c>
      <c r="AI52" s="63" t="str">
        <f>CONCATENATE(C52,".",D52,".",E52)</f>
        <v>..</v>
      </c>
      <c r="AJ52" s="64" t="e">
        <f>VLOOKUP(AI52,Лист1!$BA:$BA,1,0)</f>
        <v>#N/A</v>
      </c>
      <c r="AK52" s="53" t="e">
        <f>IF(AI52=AJ52,1,0)</f>
        <v>#N/A</v>
      </c>
      <c r="AL52" s="35" t="str">
        <f t="shared" si="107"/>
        <v>0</v>
      </c>
      <c r="AN52" s="63" t="str">
        <f>CONCATENATE(E52,".",F52,)</f>
        <v>.</v>
      </c>
      <c r="AO52" s="64" t="e">
        <f>VLOOKUP(AN52,Лист1!$BE:$BE,1,0)</f>
        <v>#N/A</v>
      </c>
      <c r="AP52" s="53" t="e">
        <f>IF(AN52=AO52,1,0)</f>
        <v>#N/A</v>
      </c>
      <c r="AQ52" s="35" t="str">
        <f t="shared" si="110"/>
        <v>0</v>
      </c>
      <c r="AS52" s="63" t="str">
        <f>CONCATENATE(F52,".",G52,)</f>
        <v>.</v>
      </c>
      <c r="AT52" s="64" t="e">
        <f>VLOOKUP(AS52,Лист1!$BI:$BI,1,0)</f>
        <v>#N/A</v>
      </c>
      <c r="AU52" s="53" t="e">
        <f>IF(AS52=AT52,1,0)</f>
        <v>#N/A</v>
      </c>
      <c r="AV52" s="35" t="str">
        <f t="shared" si="113"/>
        <v>0</v>
      </c>
      <c r="AX52" s="63" t="str">
        <f>CONCATENATE(C52,".",H52,)</f>
        <v>.</v>
      </c>
      <c r="AY52" s="64" t="e">
        <f>VLOOKUP(AX52,Лист1!$BM:$BM,1,0)</f>
        <v>#N/A</v>
      </c>
      <c r="AZ52" s="53" t="e">
        <f>IF(AX52=AY52,1,0)</f>
        <v>#N/A</v>
      </c>
      <c r="BA52" s="35" t="str">
        <f t="shared" si="116"/>
        <v>0</v>
      </c>
      <c r="BC52" s="63" t="str">
        <f>CONCATENATE(H52,".",I52,)</f>
        <v>.</v>
      </c>
      <c r="BD52" s="64" t="str">
        <f>VLOOKUP(BC52,Лист1!$BQ:$BQ,1,0)</f>
        <v>.</v>
      </c>
      <c r="BE52" s="53">
        <f>IF(BC52=BD52,1,0)</f>
        <v>1</v>
      </c>
      <c r="BF52" s="35">
        <f t="shared" si="119"/>
        <v>1</v>
      </c>
      <c r="BR52" s="63" t="str">
        <f>CONCATENATE(C52,".",E52,".",F52,".",L52)</f>
        <v>...</v>
      </c>
      <c r="BS52" s="64" t="e">
        <f>VLOOKUP(BR52,Лист1!$CC:$CC,1,0)</f>
        <v>#N/A</v>
      </c>
      <c r="BT52" s="53" t="e">
        <f>IF(BR52=BS52,1,0)</f>
        <v>#N/A</v>
      </c>
      <c r="BU52" s="35" t="str">
        <f t="shared" si="122"/>
        <v>0</v>
      </c>
      <c r="CB52" s="63" t="str">
        <f>CONCATENATE(L52,".",N52)</f>
        <v>.</v>
      </c>
      <c r="CC52" s="64" t="e">
        <f>VLOOKUP(CB52,Лист1!$CK:$CK,1,0)</f>
        <v>#N/A</v>
      </c>
      <c r="CD52" s="53" t="e">
        <f>IF(CB52=CC52,1,0)</f>
        <v>#N/A</v>
      </c>
      <c r="CE52" s="35" t="str">
        <f t="shared" si="125"/>
        <v>0</v>
      </c>
    </row>
    <row r="53" spans="1:83">
      <c r="A53" s="24" t="str">
        <f>CONCATENATE(C53,".",D53)</f>
        <v>.</v>
      </c>
      <c r="B53" s="82">
        <v>7</v>
      </c>
      <c r="C53" s="452"/>
      <c r="D53" s="453"/>
      <c r="E53" s="454"/>
      <c r="F53" s="452"/>
      <c r="G53" s="455"/>
      <c r="H53" s="452"/>
      <c r="I53" s="848"/>
      <c r="J53" s="848"/>
      <c r="K53" s="849"/>
      <c r="L53" s="850"/>
      <c r="M53" s="848"/>
      <c r="N53" s="464"/>
      <c r="O53" s="452"/>
      <c r="P53" s="464"/>
      <c r="Q53" s="454"/>
      <c r="R53" s="199"/>
      <c r="S53" s="114"/>
      <c r="T53" s="194" t="str">
        <f>IF(OR(W53="",W53="0"),"",W53)</f>
        <v/>
      </c>
      <c r="U53" s="202" t="str">
        <f>IF(R53="","",IF(NOT(AC53=0),"Ошибка в строке",""))</f>
        <v/>
      </c>
      <c r="W53" s="131" t="str">
        <f>IF(OR(ISNA(X53),NOT(AC53=0)),"0",X53)</f>
        <v>0</v>
      </c>
      <c r="X53" s="128" t="str">
        <f>IF(OR(R53="",R53=0),"",ORDER!H77)</f>
        <v/>
      </c>
      <c r="Y53" s="64" t="str">
        <f>CONCATENATE(C53,".",E53,".",F53)</f>
        <v>..</v>
      </c>
      <c r="AB53" s="34">
        <f>AG53+AL53+AQ53+AV53+BA53+BF53+BK53+BP53+BU53+BZ53+CE53</f>
        <v>1</v>
      </c>
      <c r="AC53" s="72">
        <f t="shared" si="101"/>
        <v>7</v>
      </c>
      <c r="AD53" s="63" t="str">
        <f>CONCATENATE(C53,".",D53)</f>
        <v>.</v>
      </c>
      <c r="AE53" s="64" t="e">
        <f>VLOOKUP(AD53,Лист1!$AW:$AW,1,0)</f>
        <v>#N/A</v>
      </c>
      <c r="AF53" s="53" t="e">
        <f>IF(AD53=AE53,1,0)</f>
        <v>#N/A</v>
      </c>
      <c r="AG53" s="35" t="str">
        <f t="shared" si="104"/>
        <v>0</v>
      </c>
      <c r="AI53" s="63" t="str">
        <f>CONCATENATE(C53,".",D53,".",E53)</f>
        <v>..</v>
      </c>
      <c r="AJ53" s="64" t="e">
        <f>VLOOKUP(AI53,Лист1!$BA:$BA,1,0)</f>
        <v>#N/A</v>
      </c>
      <c r="AK53" s="53" t="e">
        <f>IF(AI53=AJ53,1,0)</f>
        <v>#N/A</v>
      </c>
      <c r="AL53" s="35" t="str">
        <f t="shared" si="107"/>
        <v>0</v>
      </c>
      <c r="AN53" s="63" t="str">
        <f>CONCATENATE(E53,".",F53,)</f>
        <v>.</v>
      </c>
      <c r="AO53" s="64" t="e">
        <f>VLOOKUP(AN53,Лист1!$BE:$BE,1,0)</f>
        <v>#N/A</v>
      </c>
      <c r="AP53" s="53" t="e">
        <f>IF(AN53=AO53,1,0)</f>
        <v>#N/A</v>
      </c>
      <c r="AQ53" s="35" t="str">
        <f t="shared" si="110"/>
        <v>0</v>
      </c>
      <c r="AS53" s="63" t="str">
        <f>CONCATENATE(F53,".",G53,)</f>
        <v>.</v>
      </c>
      <c r="AT53" s="64" t="e">
        <f>VLOOKUP(AS53,Лист1!$BI:$BI,1,0)</f>
        <v>#N/A</v>
      </c>
      <c r="AU53" s="53" t="e">
        <f>IF(AS53=AT53,1,0)</f>
        <v>#N/A</v>
      </c>
      <c r="AV53" s="35" t="str">
        <f t="shared" si="113"/>
        <v>0</v>
      </c>
      <c r="AX53" s="63" t="str">
        <f>CONCATENATE(C53,".",H53,)</f>
        <v>.</v>
      </c>
      <c r="AY53" s="64" t="e">
        <f>VLOOKUP(AX53,Лист1!$BM:$BM,1,0)</f>
        <v>#N/A</v>
      </c>
      <c r="AZ53" s="53" t="e">
        <f>IF(AX53=AY53,1,0)</f>
        <v>#N/A</v>
      </c>
      <c r="BA53" s="35" t="str">
        <f t="shared" si="116"/>
        <v>0</v>
      </c>
      <c r="BC53" s="63" t="str">
        <f>CONCATENATE(H53,".",I53,)</f>
        <v>.</v>
      </c>
      <c r="BD53" s="64" t="str">
        <f>VLOOKUP(BC53,Лист1!$BQ:$BQ,1,0)</f>
        <v>.</v>
      </c>
      <c r="BE53" s="53">
        <f>IF(BC53=BD53,1,0)</f>
        <v>1</v>
      </c>
      <c r="BF53" s="35">
        <f t="shared" si="119"/>
        <v>1</v>
      </c>
      <c r="BR53" s="63" t="str">
        <f>CONCATENATE(C53,".",E53,".",F53,".",L53)</f>
        <v>...</v>
      </c>
      <c r="BS53" s="64" t="e">
        <f>VLOOKUP(BR53,Лист1!$CC:$CC,1,0)</f>
        <v>#N/A</v>
      </c>
      <c r="BT53" s="53" t="e">
        <f>IF(BR53=BS53,1,0)</f>
        <v>#N/A</v>
      </c>
      <c r="BU53" s="35" t="str">
        <f t="shared" si="122"/>
        <v>0</v>
      </c>
      <c r="CB53" s="63" t="str">
        <f>CONCATENATE(L53,".",N53)</f>
        <v>.</v>
      </c>
      <c r="CC53" s="64" t="e">
        <f>VLOOKUP(CB53,Лист1!$CK:$CK,1,0)</f>
        <v>#N/A</v>
      </c>
      <c r="CD53" s="53" t="e">
        <f>IF(CB53=CC53,1,0)</f>
        <v>#N/A</v>
      </c>
      <c r="CE53" s="35" t="str">
        <f t="shared" si="125"/>
        <v>0</v>
      </c>
    </row>
    <row r="54" spans="1:83">
      <c r="A54" s="24" t="str">
        <f>CONCATENATE(C54,".",D54)</f>
        <v>.</v>
      </c>
      <c r="B54" s="82">
        <v>8</v>
      </c>
      <c r="C54" s="452"/>
      <c r="D54" s="453"/>
      <c r="E54" s="454"/>
      <c r="F54" s="452"/>
      <c r="G54" s="455"/>
      <c r="H54" s="452"/>
      <c r="I54" s="848"/>
      <c r="J54" s="848"/>
      <c r="K54" s="849"/>
      <c r="L54" s="850"/>
      <c r="M54" s="848"/>
      <c r="N54" s="464"/>
      <c r="O54" s="452"/>
      <c r="P54" s="464"/>
      <c r="Q54" s="454"/>
      <c r="R54" s="199"/>
      <c r="S54" s="114"/>
      <c r="T54" s="194" t="str">
        <f>IF(OR(W54="",W54="0"),"",W54)</f>
        <v/>
      </c>
      <c r="U54" s="202" t="str">
        <f>IF(R54="","",IF(NOT(AC54=0),"Ошибка в строке",""))</f>
        <v/>
      </c>
      <c r="W54" s="131" t="str">
        <f>IF(OR(ISNA(X54),NOT(AC54=0)),"0",X54)</f>
        <v>0</v>
      </c>
      <c r="X54" s="128" t="str">
        <f>IF(OR(R54="",R54=0),"",ORDER!H78)</f>
        <v/>
      </c>
      <c r="Y54" s="64" t="str">
        <f>CONCATENATE(C54,".",E54,".",F54)</f>
        <v>..</v>
      </c>
      <c r="AB54" s="34">
        <f>AG54+AL54+AQ54+AV54+BA54+BF54+BK54+BP54+BU54+BZ54+CE54</f>
        <v>1</v>
      </c>
      <c r="AC54" s="72">
        <f t="shared" si="101"/>
        <v>7</v>
      </c>
      <c r="AD54" s="63" t="str">
        <f>CONCATENATE(C54,".",D54)</f>
        <v>.</v>
      </c>
      <c r="AE54" s="64" t="e">
        <f>VLOOKUP(AD54,Лист1!$AW:$AW,1,0)</f>
        <v>#N/A</v>
      </c>
      <c r="AF54" s="53" t="e">
        <f>IF(AD54=AE54,1,0)</f>
        <v>#N/A</v>
      </c>
      <c r="AG54" s="35" t="str">
        <f t="shared" si="104"/>
        <v>0</v>
      </c>
      <c r="AI54" s="63" t="str">
        <f>CONCATENATE(C54,".",D54,".",E54)</f>
        <v>..</v>
      </c>
      <c r="AJ54" s="64" t="e">
        <f>VLOOKUP(AI54,Лист1!$BA:$BA,1,0)</f>
        <v>#N/A</v>
      </c>
      <c r="AK54" s="53" t="e">
        <f>IF(AI54=AJ54,1,0)</f>
        <v>#N/A</v>
      </c>
      <c r="AL54" s="35" t="str">
        <f t="shared" si="107"/>
        <v>0</v>
      </c>
      <c r="AN54" s="63" t="str">
        <f>CONCATENATE(E54,".",F54,)</f>
        <v>.</v>
      </c>
      <c r="AO54" s="64" t="e">
        <f>VLOOKUP(AN54,Лист1!$BE:$BE,1,0)</f>
        <v>#N/A</v>
      </c>
      <c r="AP54" s="53" t="e">
        <f>IF(AN54=AO54,1,0)</f>
        <v>#N/A</v>
      </c>
      <c r="AQ54" s="35" t="str">
        <f t="shared" si="110"/>
        <v>0</v>
      </c>
      <c r="AS54" s="63" t="str">
        <f>CONCATENATE(F54,".",G54,)</f>
        <v>.</v>
      </c>
      <c r="AT54" s="64" t="e">
        <f>VLOOKUP(AS54,Лист1!$BI:$BI,1,0)</f>
        <v>#N/A</v>
      </c>
      <c r="AU54" s="53" t="e">
        <f>IF(AS54=AT54,1,0)</f>
        <v>#N/A</v>
      </c>
      <c r="AV54" s="35" t="str">
        <f t="shared" si="113"/>
        <v>0</v>
      </c>
      <c r="AX54" s="63" t="str">
        <f>CONCATENATE(C54,".",H54,)</f>
        <v>.</v>
      </c>
      <c r="AY54" s="64" t="e">
        <f>VLOOKUP(AX54,Лист1!$BM:$BM,1,0)</f>
        <v>#N/A</v>
      </c>
      <c r="AZ54" s="53" t="e">
        <f>IF(AX54=AY54,1,0)</f>
        <v>#N/A</v>
      </c>
      <c r="BA54" s="35" t="str">
        <f t="shared" si="116"/>
        <v>0</v>
      </c>
      <c r="BC54" s="63" t="str">
        <f>CONCATENATE(H54,".",I54,)</f>
        <v>.</v>
      </c>
      <c r="BD54" s="64" t="str">
        <f>VLOOKUP(BC54,Лист1!$BQ:$BQ,1,0)</f>
        <v>.</v>
      </c>
      <c r="BE54" s="53">
        <f>IF(BC54=BD54,1,0)</f>
        <v>1</v>
      </c>
      <c r="BF54" s="35">
        <f t="shared" si="119"/>
        <v>1</v>
      </c>
      <c r="BR54" s="63" t="str">
        <f>CONCATENATE(C54,".",E54,".",F54,".",L54)</f>
        <v>...</v>
      </c>
      <c r="BS54" s="64" t="e">
        <f>VLOOKUP(BR54,Лист1!$CC:$CC,1,0)</f>
        <v>#N/A</v>
      </c>
      <c r="BT54" s="53" t="e">
        <f>IF(BR54=BS54,1,0)</f>
        <v>#N/A</v>
      </c>
      <c r="BU54" s="35" t="str">
        <f t="shared" si="122"/>
        <v>0</v>
      </c>
      <c r="CB54" s="63" t="str">
        <f>CONCATENATE(L54,".",N54)</f>
        <v>.</v>
      </c>
      <c r="CC54" s="64" t="e">
        <f>VLOOKUP(CB54,Лист1!$CK:$CK,1,0)</f>
        <v>#N/A</v>
      </c>
      <c r="CD54" s="53" t="e">
        <f>IF(CB54=CC54,1,0)</f>
        <v>#N/A</v>
      </c>
      <c r="CE54" s="35" t="str">
        <f t="shared" si="125"/>
        <v>0</v>
      </c>
    </row>
    <row r="55" spans="1:83">
      <c r="A55" s="24" t="str">
        <f t="shared" si="95"/>
        <v>.</v>
      </c>
      <c r="B55" s="82">
        <v>9</v>
      </c>
      <c r="C55" s="452"/>
      <c r="D55" s="453"/>
      <c r="E55" s="454"/>
      <c r="F55" s="452"/>
      <c r="G55" s="455"/>
      <c r="H55" s="452"/>
      <c r="I55" s="848"/>
      <c r="J55" s="848"/>
      <c r="K55" s="849"/>
      <c r="L55" s="850"/>
      <c r="M55" s="848"/>
      <c r="N55" s="464"/>
      <c r="O55" s="452"/>
      <c r="P55" s="464"/>
      <c r="Q55" s="454"/>
      <c r="R55" s="199"/>
      <c r="S55" s="115"/>
      <c r="T55" s="194" t="str">
        <f t="shared" si="96"/>
        <v/>
      </c>
      <c r="U55" s="202" t="str">
        <f t="shared" si="97"/>
        <v/>
      </c>
      <c r="W55" s="131" t="str">
        <f t="shared" si="98"/>
        <v>0</v>
      </c>
      <c r="X55" s="128" t="str">
        <f>IF(OR(R55="",R55=0),"",ORDER!H79)</f>
        <v/>
      </c>
      <c r="Y55" s="64" t="str">
        <f t="shared" si="99"/>
        <v>..</v>
      </c>
      <c r="AB55" s="34">
        <f t="shared" si="100"/>
        <v>1</v>
      </c>
      <c r="AC55" s="72">
        <f t="shared" si="101"/>
        <v>7</v>
      </c>
      <c r="AD55" s="63" t="str">
        <f t="shared" si="102"/>
        <v>.</v>
      </c>
      <c r="AE55" s="64" t="e">
        <f>VLOOKUP(AD55,Лист1!$AW:$AW,1,0)</f>
        <v>#N/A</v>
      </c>
      <c r="AF55" s="53" t="e">
        <f t="shared" si="103"/>
        <v>#N/A</v>
      </c>
      <c r="AG55" s="35" t="str">
        <f t="shared" si="104"/>
        <v>0</v>
      </c>
      <c r="AI55" s="63" t="str">
        <f t="shared" si="105"/>
        <v>..</v>
      </c>
      <c r="AJ55" s="64" t="e">
        <f>VLOOKUP(AI55,Лист1!$BA:$BA,1,0)</f>
        <v>#N/A</v>
      </c>
      <c r="AK55" s="53" t="e">
        <f t="shared" si="106"/>
        <v>#N/A</v>
      </c>
      <c r="AL55" s="35" t="str">
        <f t="shared" si="107"/>
        <v>0</v>
      </c>
      <c r="AN55" s="63" t="str">
        <f t="shared" si="108"/>
        <v>.</v>
      </c>
      <c r="AO55" s="64" t="e">
        <f>VLOOKUP(AN55,Лист1!$BE:$BE,1,0)</f>
        <v>#N/A</v>
      </c>
      <c r="AP55" s="53" t="e">
        <f t="shared" si="109"/>
        <v>#N/A</v>
      </c>
      <c r="AQ55" s="35" t="str">
        <f t="shared" si="110"/>
        <v>0</v>
      </c>
      <c r="AS55" s="63" t="str">
        <f t="shared" si="111"/>
        <v>.</v>
      </c>
      <c r="AT55" s="64" t="e">
        <f>VLOOKUP(AS55,Лист1!$BI:$BI,1,0)</f>
        <v>#N/A</v>
      </c>
      <c r="AU55" s="53" t="e">
        <f t="shared" si="112"/>
        <v>#N/A</v>
      </c>
      <c r="AV55" s="35" t="str">
        <f t="shared" si="113"/>
        <v>0</v>
      </c>
      <c r="AX55" s="63" t="str">
        <f t="shared" si="114"/>
        <v>.</v>
      </c>
      <c r="AY55" s="64" t="e">
        <f>VLOOKUP(AX55,Лист1!$BM:$BM,1,0)</f>
        <v>#N/A</v>
      </c>
      <c r="AZ55" s="53" t="e">
        <f t="shared" si="115"/>
        <v>#N/A</v>
      </c>
      <c r="BA55" s="35" t="str">
        <f t="shared" si="116"/>
        <v>0</v>
      </c>
      <c r="BC55" s="63" t="str">
        <f t="shared" si="117"/>
        <v>.</v>
      </c>
      <c r="BD55" s="64" t="str">
        <f>VLOOKUP(BC55,Лист1!$BQ:$BQ,1,0)</f>
        <v>.</v>
      </c>
      <c r="BE55" s="53">
        <f t="shared" si="118"/>
        <v>1</v>
      </c>
      <c r="BF55" s="35">
        <f t="shared" si="119"/>
        <v>1</v>
      </c>
      <c r="BR55" s="63" t="str">
        <f t="shared" si="120"/>
        <v>...</v>
      </c>
      <c r="BS55" s="64" t="e">
        <f>VLOOKUP(BR55,Лист1!$CC:$CC,1,0)</f>
        <v>#N/A</v>
      </c>
      <c r="BT55" s="53" t="e">
        <f t="shared" si="121"/>
        <v>#N/A</v>
      </c>
      <c r="BU55" s="35" t="str">
        <f t="shared" si="122"/>
        <v>0</v>
      </c>
      <c r="CB55" s="63" t="str">
        <f t="shared" si="123"/>
        <v>.</v>
      </c>
      <c r="CC55" s="64" t="e">
        <f>VLOOKUP(CB55,Лист1!$CK:$CK,1,0)</f>
        <v>#N/A</v>
      </c>
      <c r="CD55" s="53" t="e">
        <f t="shared" si="124"/>
        <v>#N/A</v>
      </c>
      <c r="CE55" s="35" t="str">
        <f t="shared" si="125"/>
        <v>0</v>
      </c>
    </row>
    <row r="56" spans="1:83">
      <c r="A56" s="24" t="str">
        <f t="shared" si="95"/>
        <v>.</v>
      </c>
      <c r="B56" s="82">
        <v>10</v>
      </c>
      <c r="C56" s="452"/>
      <c r="D56" s="453"/>
      <c r="E56" s="454"/>
      <c r="F56" s="452"/>
      <c r="G56" s="455"/>
      <c r="H56" s="452"/>
      <c r="I56" s="848"/>
      <c r="J56" s="848"/>
      <c r="K56" s="849"/>
      <c r="L56" s="850"/>
      <c r="M56" s="848"/>
      <c r="N56" s="464"/>
      <c r="O56" s="452"/>
      <c r="P56" s="464"/>
      <c r="Q56" s="454"/>
      <c r="R56" s="199"/>
      <c r="S56" s="114"/>
      <c r="T56" s="194" t="str">
        <f t="shared" si="96"/>
        <v/>
      </c>
      <c r="U56" s="202" t="str">
        <f t="shared" si="97"/>
        <v/>
      </c>
      <c r="W56" s="131" t="str">
        <f t="shared" si="98"/>
        <v>0</v>
      </c>
      <c r="X56" s="128" t="str">
        <f>IF(OR(R56="",R56=0),"",ORDER!H80)</f>
        <v/>
      </c>
      <c r="Y56" s="64" t="str">
        <f t="shared" si="99"/>
        <v>..</v>
      </c>
      <c r="AB56" s="34">
        <f t="shared" si="100"/>
        <v>1</v>
      </c>
      <c r="AC56" s="72">
        <f t="shared" si="101"/>
        <v>7</v>
      </c>
      <c r="AD56" s="63" t="str">
        <f t="shared" si="102"/>
        <v>.</v>
      </c>
      <c r="AE56" s="64" t="e">
        <f>VLOOKUP(AD56,Лист1!$AW:$AW,1,0)</f>
        <v>#N/A</v>
      </c>
      <c r="AF56" s="53" t="e">
        <f t="shared" si="103"/>
        <v>#N/A</v>
      </c>
      <c r="AG56" s="35" t="str">
        <f t="shared" si="104"/>
        <v>0</v>
      </c>
      <c r="AI56" s="63" t="str">
        <f t="shared" si="105"/>
        <v>..</v>
      </c>
      <c r="AJ56" s="64" t="e">
        <f>VLOOKUP(AI56,Лист1!$BA:$BA,1,0)</f>
        <v>#N/A</v>
      </c>
      <c r="AK56" s="53" t="e">
        <f t="shared" si="106"/>
        <v>#N/A</v>
      </c>
      <c r="AL56" s="35" t="str">
        <f t="shared" si="107"/>
        <v>0</v>
      </c>
      <c r="AN56" s="63" t="str">
        <f t="shared" si="108"/>
        <v>.</v>
      </c>
      <c r="AO56" s="64" t="e">
        <f>VLOOKUP(AN56,Лист1!$BE:$BE,1,0)</f>
        <v>#N/A</v>
      </c>
      <c r="AP56" s="53" t="e">
        <f t="shared" si="109"/>
        <v>#N/A</v>
      </c>
      <c r="AQ56" s="35" t="str">
        <f t="shared" si="110"/>
        <v>0</v>
      </c>
      <c r="AS56" s="63" t="str">
        <f t="shared" si="111"/>
        <v>.</v>
      </c>
      <c r="AT56" s="64" t="e">
        <f>VLOOKUP(AS56,Лист1!$BI:$BI,1,0)</f>
        <v>#N/A</v>
      </c>
      <c r="AU56" s="53" t="e">
        <f t="shared" si="112"/>
        <v>#N/A</v>
      </c>
      <c r="AV56" s="35" t="str">
        <f t="shared" si="113"/>
        <v>0</v>
      </c>
      <c r="AX56" s="63" t="str">
        <f t="shared" si="114"/>
        <v>.</v>
      </c>
      <c r="AY56" s="64" t="e">
        <f>VLOOKUP(AX56,Лист1!$BM:$BM,1,0)</f>
        <v>#N/A</v>
      </c>
      <c r="AZ56" s="53" t="e">
        <f t="shared" si="115"/>
        <v>#N/A</v>
      </c>
      <c r="BA56" s="35" t="str">
        <f t="shared" si="116"/>
        <v>0</v>
      </c>
      <c r="BC56" s="63" t="str">
        <f t="shared" si="117"/>
        <v>.</v>
      </c>
      <c r="BD56" s="64" t="str">
        <f>VLOOKUP(BC56,Лист1!$BQ:$BQ,1,0)</f>
        <v>.</v>
      </c>
      <c r="BE56" s="53">
        <f t="shared" si="118"/>
        <v>1</v>
      </c>
      <c r="BF56" s="35">
        <f t="shared" si="119"/>
        <v>1</v>
      </c>
      <c r="BR56" s="63" t="str">
        <f t="shared" si="120"/>
        <v>...</v>
      </c>
      <c r="BS56" s="64" t="e">
        <f>VLOOKUP(BR56,Лист1!$CC:$CC,1,0)</f>
        <v>#N/A</v>
      </c>
      <c r="BT56" s="53" t="e">
        <f t="shared" si="121"/>
        <v>#N/A</v>
      </c>
      <c r="BU56" s="35" t="str">
        <f t="shared" si="122"/>
        <v>0</v>
      </c>
      <c r="CB56" s="63" t="str">
        <f t="shared" si="123"/>
        <v>.</v>
      </c>
      <c r="CC56" s="64" t="e">
        <f>VLOOKUP(CB56,Лист1!$CK:$CK,1,0)</f>
        <v>#N/A</v>
      </c>
      <c r="CD56" s="53" t="e">
        <f t="shared" si="124"/>
        <v>#N/A</v>
      </c>
      <c r="CE56" s="35" t="str">
        <f t="shared" si="125"/>
        <v>0</v>
      </c>
    </row>
    <row r="57" spans="1:83">
      <c r="A57" s="24" t="str">
        <f t="shared" si="95"/>
        <v>.</v>
      </c>
      <c r="B57" s="82">
        <v>11</v>
      </c>
      <c r="C57" s="452"/>
      <c r="D57" s="453"/>
      <c r="E57" s="454"/>
      <c r="F57" s="452"/>
      <c r="G57" s="455"/>
      <c r="H57" s="452"/>
      <c r="I57" s="848"/>
      <c r="J57" s="848"/>
      <c r="K57" s="849"/>
      <c r="L57" s="850"/>
      <c r="M57" s="848"/>
      <c r="N57" s="464"/>
      <c r="O57" s="452"/>
      <c r="P57" s="464"/>
      <c r="Q57" s="454"/>
      <c r="R57" s="199"/>
      <c r="S57" s="114"/>
      <c r="T57" s="194" t="str">
        <f t="shared" si="96"/>
        <v/>
      </c>
      <c r="U57" s="202" t="str">
        <f t="shared" si="97"/>
        <v/>
      </c>
      <c r="W57" s="131" t="str">
        <f t="shared" si="98"/>
        <v>0</v>
      </c>
      <c r="X57" s="128" t="str">
        <f>IF(OR(R57="",R57=0),"",ORDER!H81)</f>
        <v/>
      </c>
      <c r="Y57" s="64" t="str">
        <f t="shared" si="99"/>
        <v>..</v>
      </c>
      <c r="AB57" s="34">
        <f t="shared" si="100"/>
        <v>1</v>
      </c>
      <c r="AC57" s="72">
        <f t="shared" si="101"/>
        <v>7</v>
      </c>
      <c r="AD57" s="63" t="str">
        <f t="shared" si="102"/>
        <v>.</v>
      </c>
      <c r="AE57" s="64" t="e">
        <f>VLOOKUP(AD57,Лист1!$AW:$AW,1,0)</f>
        <v>#N/A</v>
      </c>
      <c r="AF57" s="53" t="e">
        <f t="shared" si="103"/>
        <v>#N/A</v>
      </c>
      <c r="AG57" s="35" t="str">
        <f t="shared" si="104"/>
        <v>0</v>
      </c>
      <c r="AI57" s="63" t="str">
        <f t="shared" si="105"/>
        <v>..</v>
      </c>
      <c r="AJ57" s="64" t="e">
        <f>VLOOKUP(AI57,Лист1!$BA:$BA,1,0)</f>
        <v>#N/A</v>
      </c>
      <c r="AK57" s="53" t="e">
        <f t="shared" si="106"/>
        <v>#N/A</v>
      </c>
      <c r="AL57" s="35" t="str">
        <f t="shared" si="107"/>
        <v>0</v>
      </c>
      <c r="AN57" s="63" t="str">
        <f t="shared" si="108"/>
        <v>.</v>
      </c>
      <c r="AO57" s="64" t="e">
        <f>VLOOKUP(AN57,Лист1!$BE:$BE,1,0)</f>
        <v>#N/A</v>
      </c>
      <c r="AP57" s="53" t="e">
        <f t="shared" si="109"/>
        <v>#N/A</v>
      </c>
      <c r="AQ57" s="35" t="str">
        <f t="shared" si="110"/>
        <v>0</v>
      </c>
      <c r="AS57" s="63" t="str">
        <f t="shared" si="111"/>
        <v>.</v>
      </c>
      <c r="AT57" s="64" t="e">
        <f>VLOOKUP(AS57,Лист1!$BI:$BI,1,0)</f>
        <v>#N/A</v>
      </c>
      <c r="AU57" s="53" t="e">
        <f t="shared" si="112"/>
        <v>#N/A</v>
      </c>
      <c r="AV57" s="35" t="str">
        <f t="shared" si="113"/>
        <v>0</v>
      </c>
      <c r="AX57" s="63" t="str">
        <f t="shared" si="114"/>
        <v>.</v>
      </c>
      <c r="AY57" s="64" t="e">
        <f>VLOOKUP(AX57,Лист1!$BM:$BM,1,0)</f>
        <v>#N/A</v>
      </c>
      <c r="AZ57" s="53" t="e">
        <f t="shared" si="115"/>
        <v>#N/A</v>
      </c>
      <c r="BA57" s="35" t="str">
        <f t="shared" si="116"/>
        <v>0</v>
      </c>
      <c r="BC57" s="63" t="str">
        <f t="shared" si="117"/>
        <v>.</v>
      </c>
      <c r="BD57" s="64" t="str">
        <f>VLOOKUP(BC57,Лист1!$BQ:$BQ,1,0)</f>
        <v>.</v>
      </c>
      <c r="BE57" s="53">
        <f t="shared" si="118"/>
        <v>1</v>
      </c>
      <c r="BF57" s="35">
        <f t="shared" si="119"/>
        <v>1</v>
      </c>
      <c r="BR57" s="63" t="str">
        <f t="shared" si="120"/>
        <v>...</v>
      </c>
      <c r="BS57" s="64" t="e">
        <f>VLOOKUP(BR57,Лист1!$CC:$CC,1,0)</f>
        <v>#N/A</v>
      </c>
      <c r="BT57" s="53" t="e">
        <f t="shared" si="121"/>
        <v>#N/A</v>
      </c>
      <c r="BU57" s="35" t="str">
        <f t="shared" si="122"/>
        <v>0</v>
      </c>
      <c r="CB57" s="63" t="str">
        <f t="shared" si="123"/>
        <v>.</v>
      </c>
      <c r="CC57" s="64" t="e">
        <f>VLOOKUP(CB57,Лист1!$CK:$CK,1,0)</f>
        <v>#N/A</v>
      </c>
      <c r="CD57" s="53" t="e">
        <f t="shared" si="124"/>
        <v>#N/A</v>
      </c>
      <c r="CE57" s="35" t="str">
        <f t="shared" si="125"/>
        <v>0</v>
      </c>
    </row>
    <row r="58" spans="1:83">
      <c r="A58" s="24" t="str">
        <f t="shared" si="95"/>
        <v>.</v>
      </c>
      <c r="B58" s="82">
        <v>12</v>
      </c>
      <c r="C58" s="452"/>
      <c r="D58" s="453"/>
      <c r="E58" s="454"/>
      <c r="F58" s="452"/>
      <c r="G58" s="455"/>
      <c r="H58" s="452"/>
      <c r="I58" s="848"/>
      <c r="J58" s="848"/>
      <c r="K58" s="849"/>
      <c r="L58" s="850"/>
      <c r="M58" s="848"/>
      <c r="N58" s="464"/>
      <c r="O58" s="452"/>
      <c r="P58" s="464"/>
      <c r="Q58" s="454"/>
      <c r="R58" s="199"/>
      <c r="S58" s="114"/>
      <c r="T58" s="194" t="str">
        <f t="shared" si="96"/>
        <v/>
      </c>
      <c r="U58" s="202" t="str">
        <f t="shared" si="97"/>
        <v/>
      </c>
      <c r="W58" s="131" t="str">
        <f t="shared" si="98"/>
        <v>0</v>
      </c>
      <c r="X58" s="128" t="str">
        <f>IF(OR(R58="",R58=0),"",ORDER!H82)</f>
        <v/>
      </c>
      <c r="Y58" s="64" t="str">
        <f t="shared" si="99"/>
        <v>..</v>
      </c>
      <c r="AB58" s="34">
        <f t="shared" si="100"/>
        <v>1</v>
      </c>
      <c r="AC58" s="72">
        <f t="shared" si="101"/>
        <v>7</v>
      </c>
      <c r="AD58" s="63" t="str">
        <f t="shared" si="102"/>
        <v>.</v>
      </c>
      <c r="AE58" s="64" t="e">
        <f>VLOOKUP(AD58,Лист1!$AW:$AW,1,0)</f>
        <v>#N/A</v>
      </c>
      <c r="AF58" s="53" t="e">
        <f t="shared" si="103"/>
        <v>#N/A</v>
      </c>
      <c r="AG58" s="35" t="str">
        <f t="shared" si="104"/>
        <v>0</v>
      </c>
      <c r="AI58" s="63" t="str">
        <f t="shared" si="105"/>
        <v>..</v>
      </c>
      <c r="AJ58" s="64" t="e">
        <f>VLOOKUP(AI58,Лист1!$BA:$BA,1,0)</f>
        <v>#N/A</v>
      </c>
      <c r="AK58" s="53" t="e">
        <f t="shared" si="106"/>
        <v>#N/A</v>
      </c>
      <c r="AL58" s="35" t="str">
        <f t="shared" si="107"/>
        <v>0</v>
      </c>
      <c r="AN58" s="63" t="str">
        <f t="shared" si="108"/>
        <v>.</v>
      </c>
      <c r="AO58" s="64" t="e">
        <f>VLOOKUP(AN58,Лист1!$BE:$BE,1,0)</f>
        <v>#N/A</v>
      </c>
      <c r="AP58" s="53" t="e">
        <f t="shared" si="109"/>
        <v>#N/A</v>
      </c>
      <c r="AQ58" s="35" t="str">
        <f t="shared" si="110"/>
        <v>0</v>
      </c>
      <c r="AS58" s="63" t="str">
        <f t="shared" si="111"/>
        <v>.</v>
      </c>
      <c r="AT58" s="64" t="e">
        <f>VLOOKUP(AS58,Лист1!$BI:$BI,1,0)</f>
        <v>#N/A</v>
      </c>
      <c r="AU58" s="53" t="e">
        <f t="shared" si="112"/>
        <v>#N/A</v>
      </c>
      <c r="AV58" s="35" t="str">
        <f t="shared" si="113"/>
        <v>0</v>
      </c>
      <c r="AX58" s="63" t="str">
        <f t="shared" si="114"/>
        <v>.</v>
      </c>
      <c r="AY58" s="64" t="e">
        <f>VLOOKUP(AX58,Лист1!$BM:$BM,1,0)</f>
        <v>#N/A</v>
      </c>
      <c r="AZ58" s="53" t="e">
        <f t="shared" si="115"/>
        <v>#N/A</v>
      </c>
      <c r="BA58" s="35" t="str">
        <f t="shared" si="116"/>
        <v>0</v>
      </c>
      <c r="BC58" s="63" t="str">
        <f t="shared" si="117"/>
        <v>.</v>
      </c>
      <c r="BD58" s="64" t="str">
        <f>VLOOKUP(BC58,Лист1!$BQ:$BQ,1,0)</f>
        <v>.</v>
      </c>
      <c r="BE58" s="53">
        <f t="shared" si="118"/>
        <v>1</v>
      </c>
      <c r="BF58" s="35">
        <f t="shared" si="119"/>
        <v>1</v>
      </c>
      <c r="BR58" s="63" t="str">
        <f t="shared" si="120"/>
        <v>...</v>
      </c>
      <c r="BS58" s="64" t="e">
        <f>VLOOKUP(BR58,Лист1!$CC:$CC,1,0)</f>
        <v>#N/A</v>
      </c>
      <c r="BT58" s="53" t="e">
        <f t="shared" si="121"/>
        <v>#N/A</v>
      </c>
      <c r="BU58" s="35" t="str">
        <f t="shared" si="122"/>
        <v>0</v>
      </c>
      <c r="CB58" s="63" t="str">
        <f t="shared" si="123"/>
        <v>.</v>
      </c>
      <c r="CC58" s="64" t="e">
        <f>VLOOKUP(CB58,Лист1!$CK:$CK,1,0)</f>
        <v>#N/A</v>
      </c>
      <c r="CD58" s="53" t="e">
        <f t="shared" si="124"/>
        <v>#N/A</v>
      </c>
      <c r="CE58" s="35" t="str">
        <f t="shared" si="125"/>
        <v>0</v>
      </c>
    </row>
    <row r="59" spans="1:83">
      <c r="A59" s="24" t="str">
        <f t="shared" si="95"/>
        <v>.</v>
      </c>
      <c r="B59" s="82">
        <v>13</v>
      </c>
      <c r="C59" s="452"/>
      <c r="D59" s="453"/>
      <c r="E59" s="454"/>
      <c r="F59" s="452"/>
      <c r="G59" s="455"/>
      <c r="H59" s="452"/>
      <c r="I59" s="848"/>
      <c r="J59" s="848"/>
      <c r="K59" s="849"/>
      <c r="L59" s="850"/>
      <c r="M59" s="848"/>
      <c r="N59" s="464"/>
      <c r="O59" s="452"/>
      <c r="P59" s="464"/>
      <c r="Q59" s="454"/>
      <c r="R59" s="199"/>
      <c r="S59" s="114"/>
      <c r="T59" s="194" t="str">
        <f t="shared" si="96"/>
        <v/>
      </c>
      <c r="U59" s="202" t="str">
        <f t="shared" si="97"/>
        <v/>
      </c>
      <c r="W59" s="131" t="str">
        <f t="shared" si="98"/>
        <v>0</v>
      </c>
      <c r="X59" s="128" t="str">
        <f>IF(OR(R59="",R59=0),"",ORDER!H83)</f>
        <v/>
      </c>
      <c r="Y59" s="64" t="str">
        <f t="shared" si="99"/>
        <v>..</v>
      </c>
      <c r="AB59" s="34">
        <f t="shared" si="100"/>
        <v>1</v>
      </c>
      <c r="AC59" s="72">
        <f t="shared" si="101"/>
        <v>7</v>
      </c>
      <c r="AD59" s="63" t="str">
        <f t="shared" si="102"/>
        <v>.</v>
      </c>
      <c r="AE59" s="64" t="e">
        <f>VLOOKUP(AD59,Лист1!$AW:$AW,1,0)</f>
        <v>#N/A</v>
      </c>
      <c r="AF59" s="53" t="e">
        <f t="shared" si="103"/>
        <v>#N/A</v>
      </c>
      <c r="AG59" s="35" t="str">
        <f t="shared" si="104"/>
        <v>0</v>
      </c>
      <c r="AI59" s="63" t="str">
        <f t="shared" si="105"/>
        <v>..</v>
      </c>
      <c r="AJ59" s="64" t="e">
        <f>VLOOKUP(AI59,Лист1!$BA:$BA,1,0)</f>
        <v>#N/A</v>
      </c>
      <c r="AK59" s="53" t="e">
        <f t="shared" si="106"/>
        <v>#N/A</v>
      </c>
      <c r="AL59" s="35" t="str">
        <f t="shared" si="107"/>
        <v>0</v>
      </c>
      <c r="AN59" s="63" t="str">
        <f t="shared" si="108"/>
        <v>.</v>
      </c>
      <c r="AO59" s="64" t="e">
        <f>VLOOKUP(AN59,Лист1!$BE:$BE,1,0)</f>
        <v>#N/A</v>
      </c>
      <c r="AP59" s="53" t="e">
        <f t="shared" si="109"/>
        <v>#N/A</v>
      </c>
      <c r="AQ59" s="35" t="str">
        <f t="shared" si="110"/>
        <v>0</v>
      </c>
      <c r="AS59" s="63" t="str">
        <f t="shared" si="111"/>
        <v>.</v>
      </c>
      <c r="AT59" s="64" t="e">
        <f>VLOOKUP(AS59,Лист1!$BI:$BI,1,0)</f>
        <v>#N/A</v>
      </c>
      <c r="AU59" s="53" t="e">
        <f t="shared" si="112"/>
        <v>#N/A</v>
      </c>
      <c r="AV59" s="35" t="str">
        <f t="shared" si="113"/>
        <v>0</v>
      </c>
      <c r="AX59" s="63" t="str">
        <f t="shared" si="114"/>
        <v>.</v>
      </c>
      <c r="AY59" s="64" t="e">
        <f>VLOOKUP(AX59,Лист1!$BM:$BM,1,0)</f>
        <v>#N/A</v>
      </c>
      <c r="AZ59" s="53" t="e">
        <f t="shared" si="115"/>
        <v>#N/A</v>
      </c>
      <c r="BA59" s="35" t="str">
        <f t="shared" si="116"/>
        <v>0</v>
      </c>
      <c r="BC59" s="63" t="str">
        <f t="shared" si="117"/>
        <v>.</v>
      </c>
      <c r="BD59" s="64" t="str">
        <f>VLOOKUP(BC59,Лист1!$BQ:$BQ,1,0)</f>
        <v>.</v>
      </c>
      <c r="BE59" s="53">
        <f t="shared" si="118"/>
        <v>1</v>
      </c>
      <c r="BF59" s="35">
        <f t="shared" si="119"/>
        <v>1</v>
      </c>
      <c r="BR59" s="63" t="str">
        <f t="shared" si="120"/>
        <v>...</v>
      </c>
      <c r="BS59" s="64" t="e">
        <f>VLOOKUP(BR59,Лист1!$CC:$CC,1,0)</f>
        <v>#N/A</v>
      </c>
      <c r="BT59" s="53" t="e">
        <f t="shared" si="121"/>
        <v>#N/A</v>
      </c>
      <c r="BU59" s="35" t="str">
        <f t="shared" si="122"/>
        <v>0</v>
      </c>
      <c r="CB59" s="63" t="str">
        <f t="shared" si="123"/>
        <v>.</v>
      </c>
      <c r="CC59" s="64" t="e">
        <f>VLOOKUP(CB59,Лист1!$CK:$CK,1,0)</f>
        <v>#N/A</v>
      </c>
      <c r="CD59" s="53" t="e">
        <f t="shared" si="124"/>
        <v>#N/A</v>
      </c>
      <c r="CE59" s="35" t="str">
        <f t="shared" si="125"/>
        <v>0</v>
      </c>
    </row>
    <row r="60" spans="1:83">
      <c r="A60" s="24" t="str">
        <f t="shared" si="95"/>
        <v>.</v>
      </c>
      <c r="B60" s="82">
        <v>14</v>
      </c>
      <c r="C60" s="452"/>
      <c r="D60" s="453"/>
      <c r="E60" s="454"/>
      <c r="F60" s="452"/>
      <c r="G60" s="455"/>
      <c r="H60" s="452"/>
      <c r="I60" s="848"/>
      <c r="J60" s="848"/>
      <c r="K60" s="849"/>
      <c r="L60" s="850"/>
      <c r="M60" s="848"/>
      <c r="N60" s="464"/>
      <c r="O60" s="452"/>
      <c r="P60" s="464"/>
      <c r="Q60" s="454"/>
      <c r="R60" s="199"/>
      <c r="S60" s="114"/>
      <c r="T60" s="194" t="str">
        <f t="shared" si="96"/>
        <v/>
      </c>
      <c r="U60" s="202" t="str">
        <f t="shared" si="97"/>
        <v/>
      </c>
      <c r="W60" s="131" t="str">
        <f t="shared" si="98"/>
        <v>0</v>
      </c>
      <c r="X60" s="128" t="str">
        <f>IF(OR(R60="",R60=0),"",ORDER!H84)</f>
        <v/>
      </c>
      <c r="Y60" s="64" t="str">
        <f t="shared" si="99"/>
        <v>..</v>
      </c>
      <c r="AB60" s="34">
        <f t="shared" si="100"/>
        <v>1</v>
      </c>
      <c r="AC60" s="72">
        <f t="shared" si="101"/>
        <v>7</v>
      </c>
      <c r="AD60" s="63" t="str">
        <f t="shared" si="102"/>
        <v>.</v>
      </c>
      <c r="AE60" s="64" t="e">
        <f>VLOOKUP(AD60,Лист1!$AW:$AW,1,0)</f>
        <v>#N/A</v>
      </c>
      <c r="AF60" s="53" t="e">
        <f t="shared" si="103"/>
        <v>#N/A</v>
      </c>
      <c r="AG60" s="35" t="str">
        <f t="shared" si="104"/>
        <v>0</v>
      </c>
      <c r="AI60" s="63" t="str">
        <f t="shared" si="105"/>
        <v>..</v>
      </c>
      <c r="AJ60" s="64" t="e">
        <f>VLOOKUP(AI60,Лист1!$BA:$BA,1,0)</f>
        <v>#N/A</v>
      </c>
      <c r="AK60" s="53" t="e">
        <f t="shared" si="106"/>
        <v>#N/A</v>
      </c>
      <c r="AL60" s="35" t="str">
        <f t="shared" si="107"/>
        <v>0</v>
      </c>
      <c r="AN60" s="63" t="str">
        <f t="shared" si="108"/>
        <v>.</v>
      </c>
      <c r="AO60" s="64" t="e">
        <f>VLOOKUP(AN60,Лист1!$BE:$BE,1,0)</f>
        <v>#N/A</v>
      </c>
      <c r="AP60" s="53" t="e">
        <f t="shared" si="109"/>
        <v>#N/A</v>
      </c>
      <c r="AQ60" s="35" t="str">
        <f t="shared" si="110"/>
        <v>0</v>
      </c>
      <c r="AS60" s="63" t="str">
        <f t="shared" si="111"/>
        <v>.</v>
      </c>
      <c r="AT60" s="64" t="e">
        <f>VLOOKUP(AS60,Лист1!$BI:$BI,1,0)</f>
        <v>#N/A</v>
      </c>
      <c r="AU60" s="53" t="e">
        <f t="shared" si="112"/>
        <v>#N/A</v>
      </c>
      <c r="AV60" s="35" t="str">
        <f t="shared" si="113"/>
        <v>0</v>
      </c>
      <c r="AX60" s="63" t="str">
        <f t="shared" si="114"/>
        <v>.</v>
      </c>
      <c r="AY60" s="64" t="e">
        <f>VLOOKUP(AX60,Лист1!$BM:$BM,1,0)</f>
        <v>#N/A</v>
      </c>
      <c r="AZ60" s="53" t="e">
        <f t="shared" si="115"/>
        <v>#N/A</v>
      </c>
      <c r="BA60" s="35" t="str">
        <f t="shared" si="116"/>
        <v>0</v>
      </c>
      <c r="BC60" s="63" t="str">
        <f t="shared" si="117"/>
        <v>.</v>
      </c>
      <c r="BD60" s="64" t="str">
        <f>VLOOKUP(BC60,Лист1!$BQ:$BQ,1,0)</f>
        <v>.</v>
      </c>
      <c r="BE60" s="53">
        <f t="shared" si="118"/>
        <v>1</v>
      </c>
      <c r="BF60" s="35">
        <f t="shared" si="119"/>
        <v>1</v>
      </c>
      <c r="BR60" s="63" t="str">
        <f t="shared" si="120"/>
        <v>...</v>
      </c>
      <c r="BS60" s="64" t="e">
        <f>VLOOKUP(BR60,Лист1!$CC:$CC,1,0)</f>
        <v>#N/A</v>
      </c>
      <c r="BT60" s="53" t="e">
        <f t="shared" si="121"/>
        <v>#N/A</v>
      </c>
      <c r="BU60" s="35" t="str">
        <f t="shared" si="122"/>
        <v>0</v>
      </c>
      <c r="CB60" s="63" t="str">
        <f t="shared" si="123"/>
        <v>.</v>
      </c>
      <c r="CC60" s="64" t="e">
        <f>VLOOKUP(CB60,Лист1!$CK:$CK,1,0)</f>
        <v>#N/A</v>
      </c>
      <c r="CD60" s="53" t="e">
        <f t="shared" si="124"/>
        <v>#N/A</v>
      </c>
      <c r="CE60" s="35" t="str">
        <f t="shared" si="125"/>
        <v>0</v>
      </c>
    </row>
    <row r="61" spans="1:83">
      <c r="A61" s="24" t="str">
        <f t="shared" si="95"/>
        <v>.</v>
      </c>
      <c r="B61" s="82">
        <v>15</v>
      </c>
      <c r="C61" s="452"/>
      <c r="D61" s="453"/>
      <c r="E61" s="454"/>
      <c r="F61" s="445"/>
      <c r="G61" s="448"/>
      <c r="H61" s="452"/>
      <c r="I61" s="848"/>
      <c r="J61" s="848"/>
      <c r="K61" s="849"/>
      <c r="L61" s="855"/>
      <c r="M61" s="842"/>
      <c r="N61" s="465"/>
      <c r="O61" s="449"/>
      <c r="P61" s="466"/>
      <c r="Q61" s="467"/>
      <c r="R61" s="201"/>
      <c r="S61" s="182"/>
      <c r="T61" s="195" t="str">
        <f t="shared" si="96"/>
        <v/>
      </c>
      <c r="U61" s="204" t="str">
        <f t="shared" si="97"/>
        <v/>
      </c>
      <c r="W61" s="131" t="str">
        <f t="shared" si="98"/>
        <v>0</v>
      </c>
      <c r="X61" s="128" t="str">
        <f>IF(OR(R61="",R61=0),"",ORDER!H85)</f>
        <v/>
      </c>
      <c r="Y61" s="64" t="str">
        <f t="shared" si="99"/>
        <v>..</v>
      </c>
      <c r="AB61" s="34">
        <f t="shared" si="100"/>
        <v>1</v>
      </c>
      <c r="AC61" s="72">
        <f t="shared" si="101"/>
        <v>7</v>
      </c>
      <c r="AD61" s="63" t="str">
        <f t="shared" si="102"/>
        <v>.</v>
      </c>
      <c r="AE61" s="64" t="e">
        <f>VLOOKUP(AD61,Лист1!$AW:$AW,1,0)</f>
        <v>#N/A</v>
      </c>
      <c r="AF61" s="53" t="e">
        <f t="shared" si="103"/>
        <v>#N/A</v>
      </c>
      <c r="AG61" s="35" t="str">
        <f t="shared" si="104"/>
        <v>0</v>
      </c>
      <c r="AI61" s="63" t="str">
        <f t="shared" si="105"/>
        <v>..</v>
      </c>
      <c r="AJ61" s="64" t="e">
        <f>VLOOKUP(AI61,Лист1!$BA:$BA,1,0)</f>
        <v>#N/A</v>
      </c>
      <c r="AK61" s="53" t="e">
        <f t="shared" si="106"/>
        <v>#N/A</v>
      </c>
      <c r="AL61" s="35" t="str">
        <f t="shared" si="107"/>
        <v>0</v>
      </c>
      <c r="AN61" s="63" t="str">
        <f t="shared" si="108"/>
        <v>.</v>
      </c>
      <c r="AO61" s="64" t="e">
        <f>VLOOKUP(AN61,Лист1!$BE:$BE,1,0)</f>
        <v>#N/A</v>
      </c>
      <c r="AP61" s="53" t="e">
        <f t="shared" si="109"/>
        <v>#N/A</v>
      </c>
      <c r="AQ61" s="35" t="str">
        <f t="shared" si="110"/>
        <v>0</v>
      </c>
      <c r="AS61" s="63" t="str">
        <f t="shared" si="111"/>
        <v>.</v>
      </c>
      <c r="AT61" s="64" t="e">
        <f>VLOOKUP(AS61,Лист1!$BI:$BI,1,0)</f>
        <v>#N/A</v>
      </c>
      <c r="AU61" s="53" t="e">
        <f t="shared" si="112"/>
        <v>#N/A</v>
      </c>
      <c r="AV61" s="35" t="str">
        <f t="shared" si="113"/>
        <v>0</v>
      </c>
      <c r="AX61" s="63" t="str">
        <f t="shared" si="114"/>
        <v>.</v>
      </c>
      <c r="AY61" s="64" t="e">
        <f>VLOOKUP(AX61,Лист1!$BM:$BM,1,0)</f>
        <v>#N/A</v>
      </c>
      <c r="AZ61" s="53" t="e">
        <f t="shared" si="115"/>
        <v>#N/A</v>
      </c>
      <c r="BA61" s="35" t="str">
        <f t="shared" si="116"/>
        <v>0</v>
      </c>
      <c r="BC61" s="63" t="str">
        <f t="shared" si="117"/>
        <v>.</v>
      </c>
      <c r="BD61" s="64" t="str">
        <f>VLOOKUP(BC61,Лист1!$BQ:$BQ,1,0)</f>
        <v>.</v>
      </c>
      <c r="BE61" s="53">
        <f t="shared" si="118"/>
        <v>1</v>
      </c>
      <c r="BF61" s="35">
        <f t="shared" si="119"/>
        <v>1</v>
      </c>
      <c r="BR61" s="63" t="str">
        <f t="shared" si="120"/>
        <v>...</v>
      </c>
      <c r="BS61" s="64" t="e">
        <f>VLOOKUP(BR61,Лист1!$CC:$CC,1,0)</f>
        <v>#N/A</v>
      </c>
      <c r="BT61" s="53" t="e">
        <f t="shared" si="121"/>
        <v>#N/A</v>
      </c>
      <c r="BU61" s="35" t="str">
        <f t="shared" si="122"/>
        <v>0</v>
      </c>
      <c r="CB61" s="63" t="str">
        <f t="shared" si="123"/>
        <v>.</v>
      </c>
      <c r="CC61" s="64" t="e">
        <f>VLOOKUP(CB61,Лист1!$CK:$CK,1,0)</f>
        <v>#N/A</v>
      </c>
      <c r="CD61" s="53" t="e">
        <f t="shared" si="124"/>
        <v>#N/A</v>
      </c>
      <c r="CE61" s="35" t="str">
        <f t="shared" si="125"/>
        <v>0</v>
      </c>
    </row>
    <row r="62" spans="1:83" ht="5.0999999999999996" customHeight="1">
      <c r="B62" s="183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W62" s="132"/>
      <c r="X62" s="129"/>
    </row>
    <row r="63" spans="1:83">
      <c r="B63" s="73" t="s">
        <v>5413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5"/>
      <c r="W63" s="132"/>
      <c r="X63" s="129"/>
    </row>
    <row r="64" spans="1:83" ht="21">
      <c r="B64" s="71" t="s">
        <v>480</v>
      </c>
      <c r="C64" s="735" t="s">
        <v>5395</v>
      </c>
      <c r="D64" s="37" t="s">
        <v>551</v>
      </c>
      <c r="E64" s="36" t="s">
        <v>5394</v>
      </c>
      <c r="F64" s="51" t="s">
        <v>5408</v>
      </c>
      <c r="G64" s="52" t="s">
        <v>836</v>
      </c>
      <c r="H64" s="10" t="s">
        <v>559</v>
      </c>
      <c r="I64" s="861" t="s">
        <v>5407</v>
      </c>
      <c r="J64" s="861"/>
      <c r="K64" s="859" t="s">
        <v>5398</v>
      </c>
      <c r="L64" s="860"/>
      <c r="M64" s="860"/>
      <c r="N64" s="860"/>
      <c r="O64" s="167"/>
      <c r="P64" s="168"/>
      <c r="Q64" s="241"/>
      <c r="R64" s="87" t="s">
        <v>5403</v>
      </c>
      <c r="S64" s="71" t="s">
        <v>5404</v>
      </c>
      <c r="T64" s="84" t="s">
        <v>5405</v>
      </c>
      <c r="U64" s="50" t="s">
        <v>5406</v>
      </c>
      <c r="W64" s="132"/>
      <c r="X64" s="129"/>
      <c r="AD64" s="847" t="str">
        <f>D64</f>
        <v>мод</v>
      </c>
      <c r="AE64" s="847"/>
      <c r="AF64" s="847"/>
      <c r="AG64" s="847"/>
      <c r="AI64" s="847" t="str">
        <f>E64</f>
        <v xml:space="preserve">
викон.</v>
      </c>
      <c r="AJ64" s="847"/>
      <c r="AK64" s="847"/>
      <c r="AL64" s="847"/>
      <c r="AN64" s="847" t="str">
        <f t="shared" ref="AN64:AN69" si="126">F64</f>
        <v>вис.мм</v>
      </c>
      <c r="AO64" s="847"/>
      <c r="AP64" s="847"/>
      <c r="AQ64" s="847"/>
      <c r="AS64" s="847" t="str">
        <f t="shared" ref="AS64:AS69" si="127">G64</f>
        <v>шир.мм</v>
      </c>
      <c r="AT64" s="847"/>
      <c r="AU64" s="847"/>
      <c r="AV64" s="847"/>
      <c r="AX64" s="847" t="str">
        <f>H64</f>
        <v>декор</v>
      </c>
      <c r="AY64" s="847"/>
      <c r="AZ64" s="847"/>
      <c r="BA64" s="847"/>
      <c r="BC64" s="847" t="str">
        <f>I64</f>
        <v>колір</v>
      </c>
      <c r="BD64" s="847"/>
      <c r="BE64" s="847"/>
      <c r="BF64" s="847"/>
      <c r="BM64" s="847" t="str">
        <f>K64</f>
        <v>скло</v>
      </c>
      <c r="BN64" s="847"/>
      <c r="BO64" s="847"/>
      <c r="BP64" s="847"/>
    </row>
    <row r="65" spans="1:68">
      <c r="A65" s="24" t="str">
        <f>CONCATENATE(C65,".",D65)</f>
        <v>.</v>
      </c>
      <c r="B65" s="185">
        <v>1</v>
      </c>
      <c r="C65" s="452"/>
      <c r="D65" s="453"/>
      <c r="E65" s="454"/>
      <c r="F65" s="468"/>
      <c r="G65" s="469"/>
      <c r="H65" s="452"/>
      <c r="I65" s="848"/>
      <c r="J65" s="848"/>
      <c r="K65" s="850"/>
      <c r="L65" s="848"/>
      <c r="M65" s="848"/>
      <c r="N65" s="848"/>
      <c r="O65" s="452"/>
      <c r="P65" s="464"/>
      <c r="Q65" s="454"/>
      <c r="R65" s="199"/>
      <c r="S65" s="116"/>
      <c r="T65" s="193" t="str">
        <f>IF(OR(W65="",W65="0"),"",W65)</f>
        <v/>
      </c>
      <c r="U65" s="203" t="str">
        <f>IF(R65="","",IF(NOT(AC65=0),"Ошибка в строке",""))</f>
        <v/>
      </c>
      <c r="W65" s="131" t="str">
        <f>IF(OR(ISNA(X65),NOT(AC65=0)),"0",X65)</f>
        <v>0</v>
      </c>
      <c r="X65" s="128" t="str">
        <f>IF(OR(R65="",R65=0),"",ORDER!H87)</f>
        <v/>
      </c>
      <c r="Y65" s="64" t="str">
        <f>CONCATENATE(C65,".",E65,".",F65)</f>
        <v>..</v>
      </c>
      <c r="AB65" s="34">
        <f>AG65+AL65+AQ65+AV65+BA65+BF65+BK65+BP65+BU65+BZ65+CE65</f>
        <v>3</v>
      </c>
      <c r="AC65" s="72">
        <f>7-AB65</f>
        <v>4</v>
      </c>
      <c r="AD65" s="63" t="str">
        <f>CONCATENATE(C65,".",D65)</f>
        <v>.</v>
      </c>
      <c r="AE65" s="64" t="e">
        <f>VLOOKUP(AD65,Лист1!$AW:$AW,1,0)</f>
        <v>#N/A</v>
      </c>
      <c r="AF65" s="53" t="e">
        <f>IF(AD65=AE65,1,0)</f>
        <v>#N/A</v>
      </c>
      <c r="AG65" s="35" t="str">
        <f>IF(ISNA(AF65),"0",AF65)</f>
        <v>0</v>
      </c>
      <c r="AI65" s="63" t="str">
        <f>CONCATENATE(C65,".",D65,".",E65)</f>
        <v>..</v>
      </c>
      <c r="AJ65" s="64" t="e">
        <f>VLOOKUP(AI65,Лист1!$BA:$BA,1,0)</f>
        <v>#N/A</v>
      </c>
      <c r="AK65" s="53" t="e">
        <f>IF(AI65=AJ65,1,0)</f>
        <v>#N/A</v>
      </c>
      <c r="AL65" s="35" t="str">
        <f>IF(ISNA(AK65),"0",AK65)</f>
        <v>0</v>
      </c>
      <c r="AN65" s="83">
        <f t="shared" si="126"/>
        <v>0</v>
      </c>
      <c r="AO65" s="64">
        <f>IF(AND(AN65&gt;=200,AN65&lt;=2070),AN65,0)</f>
        <v>0</v>
      </c>
      <c r="AP65" s="53">
        <f>IF(AN65=AO65,1,0)</f>
        <v>1</v>
      </c>
      <c r="AQ65" s="35">
        <f>IF(ISNA(AP65),"0",AP65)</f>
        <v>1</v>
      </c>
      <c r="AS65" s="83">
        <f t="shared" si="127"/>
        <v>0</v>
      </c>
      <c r="AT65" s="64">
        <f>IF(AND(AS65&gt;=200,AS65&lt;=2070),AS65,0)</f>
        <v>0</v>
      </c>
      <c r="AU65" s="53">
        <f>IF(AS65=AT65,1,0)</f>
        <v>1</v>
      </c>
      <c r="AV65" s="35">
        <f>IF(ISNA(AU65),"0",AU65)</f>
        <v>1</v>
      </c>
      <c r="AX65" s="63" t="str">
        <f>CONCATENATE(C65,".",H65,)</f>
        <v>.</v>
      </c>
      <c r="AY65" s="64" t="e">
        <f>VLOOKUP(AX65,Лист1!$BM:$BM,1,0)</f>
        <v>#N/A</v>
      </c>
      <c r="AZ65" s="53" t="e">
        <f>IF(AX65=AY65,1,0)</f>
        <v>#N/A</v>
      </c>
      <c r="BA65" s="35" t="str">
        <f>IF(ISNA(AZ65),"0",AZ65)</f>
        <v>0</v>
      </c>
      <c r="BC65" s="63" t="str">
        <f>CONCATENATE(H65,".",I65,)</f>
        <v>.</v>
      </c>
      <c r="BD65" s="64" t="str">
        <f>VLOOKUP(BC65,Лист1!$BQ:$BQ,1,0)</f>
        <v>.</v>
      </c>
      <c r="BE65" s="53">
        <f>IF(BC65=BD65,1,0)</f>
        <v>1</v>
      </c>
      <c r="BF65" s="35">
        <f>IF(ISNA(BE65),"0",BE65)</f>
        <v>1</v>
      </c>
      <c r="BM65" s="63" t="str">
        <f>CONCATENATE(C65,".",D65,".",K65)</f>
        <v>..</v>
      </c>
      <c r="BN65" s="64" t="e">
        <f>VLOOKUP(BM65,Лист1!$BY:$BY,1,0)</f>
        <v>#N/A</v>
      </c>
      <c r="BO65" s="53" t="e">
        <f>IF(BM65=BN65,1,0)</f>
        <v>#N/A</v>
      </c>
      <c r="BP65" s="35" t="str">
        <f>IF(ISNA(BO65),"0",BO65)</f>
        <v>0</v>
      </c>
    </row>
    <row r="66" spans="1:68">
      <c r="A66" s="24" t="str">
        <f>CONCATENATE(C66,".",D66)</f>
        <v>.</v>
      </c>
      <c r="B66" s="82">
        <v>2</v>
      </c>
      <c r="C66" s="452"/>
      <c r="D66" s="453"/>
      <c r="E66" s="454"/>
      <c r="F66" s="468"/>
      <c r="G66" s="469"/>
      <c r="H66" s="452"/>
      <c r="I66" s="848"/>
      <c r="J66" s="848"/>
      <c r="K66" s="850"/>
      <c r="L66" s="848"/>
      <c r="M66" s="848"/>
      <c r="N66" s="848"/>
      <c r="O66" s="452"/>
      <c r="P66" s="464"/>
      <c r="Q66" s="454"/>
      <c r="R66" s="199"/>
      <c r="S66" s="113"/>
      <c r="T66" s="194" t="str">
        <f>IF(OR(W66="",W66="0"),"",W66)</f>
        <v/>
      </c>
      <c r="U66" s="202" t="str">
        <f>IF(R66="","",IF(NOT(AC66=0),"Ошибка в строке",""))</f>
        <v/>
      </c>
      <c r="W66" s="131" t="str">
        <f>IF(OR(ISNA(X66),NOT(AC66=0)),"0",X66)</f>
        <v>0</v>
      </c>
      <c r="X66" s="128" t="str">
        <f>IF(OR(R66="",R66=0),"",ORDER!H88)</f>
        <v/>
      </c>
      <c r="Y66" s="64" t="str">
        <f>CONCATENATE(C66,".",E66,".",F66)</f>
        <v>..</v>
      </c>
      <c r="AB66" s="34">
        <f>AG66+AL66+AQ66+AV66+BA66+BF66+BK66+BP66+BU66+BZ66+CE66</f>
        <v>3</v>
      </c>
      <c r="AC66" s="72">
        <f>7-AB66</f>
        <v>4</v>
      </c>
      <c r="AD66" s="63" t="str">
        <f>CONCATENATE(C66,".",D66)</f>
        <v>.</v>
      </c>
      <c r="AE66" s="64" t="e">
        <f>VLOOKUP(AD66,Лист1!$AW:$AW,1,0)</f>
        <v>#N/A</v>
      </c>
      <c r="AF66" s="53" t="e">
        <f>IF(AD66=AE66,1,0)</f>
        <v>#N/A</v>
      </c>
      <c r="AG66" s="35" t="str">
        <f>IF(ISNA(AF66),"0",AF66)</f>
        <v>0</v>
      </c>
      <c r="AI66" s="63" t="str">
        <f>CONCATENATE(C66,".",D66,".",E66)</f>
        <v>..</v>
      </c>
      <c r="AJ66" s="64" t="e">
        <f>VLOOKUP(AI66,Лист1!$BA:$BA,1,0)</f>
        <v>#N/A</v>
      </c>
      <c r="AK66" s="53" t="e">
        <f>IF(AI66=AJ66,1,0)</f>
        <v>#N/A</v>
      </c>
      <c r="AL66" s="35" t="str">
        <f>IF(ISNA(AK66),"0",AK66)</f>
        <v>0</v>
      </c>
      <c r="AN66" s="83">
        <f t="shared" si="126"/>
        <v>0</v>
      </c>
      <c r="AO66" s="64">
        <f>IF(AND(AN66&gt;=200,AN66&lt;=2070),AN66,0)</f>
        <v>0</v>
      </c>
      <c r="AP66" s="53">
        <f>IF(AN66=AO66,1,0)</f>
        <v>1</v>
      </c>
      <c r="AQ66" s="35">
        <f>IF(ISNA(AP66),"0",AP66)</f>
        <v>1</v>
      </c>
      <c r="AS66" s="83">
        <f t="shared" si="127"/>
        <v>0</v>
      </c>
      <c r="AT66" s="64">
        <f>IF(AND(AS66&gt;=200,AS66&lt;=2070),AS66,0)</f>
        <v>0</v>
      </c>
      <c r="AU66" s="53">
        <f>IF(AS66=AT66,1,0)</f>
        <v>1</v>
      </c>
      <c r="AV66" s="35">
        <f>IF(ISNA(AU66),"0",AU66)</f>
        <v>1</v>
      </c>
      <c r="AX66" s="63" t="str">
        <f>CONCATENATE(C66,".",H66,)</f>
        <v>.</v>
      </c>
      <c r="AY66" s="64" t="e">
        <f>VLOOKUP(AX66,Лист1!$BM:$BM,1,0)</f>
        <v>#N/A</v>
      </c>
      <c r="AZ66" s="53" t="e">
        <f>IF(AX66=AY66,1,0)</f>
        <v>#N/A</v>
      </c>
      <c r="BA66" s="35" t="str">
        <f>IF(ISNA(AZ66),"0",AZ66)</f>
        <v>0</v>
      </c>
      <c r="BC66" s="63" t="str">
        <f>CONCATENATE(H66,".",I66,)</f>
        <v>.</v>
      </c>
      <c r="BD66" s="64" t="str">
        <f>VLOOKUP(BC66,Лист1!$BQ:$BQ,1,0)</f>
        <v>.</v>
      </c>
      <c r="BE66" s="53">
        <f>IF(BC66=BD66,1,0)</f>
        <v>1</v>
      </c>
      <c r="BF66" s="35">
        <f>IF(ISNA(BE66),"0",BE66)</f>
        <v>1</v>
      </c>
      <c r="BM66" s="63" t="str">
        <f>CONCATENATE(C66,".",D66,".",K66)</f>
        <v>..</v>
      </c>
      <c r="BN66" s="64" t="e">
        <f>VLOOKUP(BM66,Лист1!$BY:$BY,1,0)</f>
        <v>#N/A</v>
      </c>
      <c r="BO66" s="53" t="e">
        <f>IF(BM66=BN66,1,0)</f>
        <v>#N/A</v>
      </c>
      <c r="BP66" s="35" t="str">
        <f>IF(ISNA(BO66),"0",BO66)</f>
        <v>0</v>
      </c>
    </row>
    <row r="67" spans="1:68">
      <c r="A67" s="24" t="str">
        <f>CONCATENATE(C67,".",D67)</f>
        <v>.</v>
      </c>
      <c r="B67" s="185">
        <v>3</v>
      </c>
      <c r="C67" s="438"/>
      <c r="D67" s="439"/>
      <c r="E67" s="440"/>
      <c r="F67" s="470"/>
      <c r="G67" s="471"/>
      <c r="H67" s="438"/>
      <c r="I67" s="846"/>
      <c r="J67" s="846"/>
      <c r="K67" s="845"/>
      <c r="L67" s="846"/>
      <c r="M67" s="846"/>
      <c r="N67" s="846"/>
      <c r="O67" s="438"/>
      <c r="P67" s="472"/>
      <c r="Q67" s="440"/>
      <c r="R67" s="200"/>
      <c r="S67" s="113"/>
      <c r="T67" s="194" t="str">
        <f>IF(OR(W67="",W67="0"),"",W67)</f>
        <v/>
      </c>
      <c r="U67" s="202" t="str">
        <f>IF(R67="","",IF(NOT(AC67=0),"Ошибка в строке",""))</f>
        <v/>
      </c>
      <c r="W67" s="131" t="str">
        <f>IF(OR(ISNA(X67),NOT(AC67=0)),"0",X67)</f>
        <v>0</v>
      </c>
      <c r="X67" s="128" t="str">
        <f>IF(OR(R67="",R67=0),"",ORDER!H89)</f>
        <v/>
      </c>
      <c r="Y67" s="64" t="str">
        <f>CONCATENATE(C67,".",E67,".",F67)</f>
        <v>..</v>
      </c>
      <c r="AB67" s="34">
        <f>AG67+AL67+AQ67+AV67+BA67+BF67+BK67+BP67+BU67+BZ67+CE67</f>
        <v>3</v>
      </c>
      <c r="AC67" s="72">
        <f>7-AB67</f>
        <v>4</v>
      </c>
      <c r="AD67" s="63" t="str">
        <f>CONCATENATE(C67,".",D67)</f>
        <v>.</v>
      </c>
      <c r="AE67" s="64" t="e">
        <f>VLOOKUP(AD67,Лист1!$AW:$AW,1,0)</f>
        <v>#N/A</v>
      </c>
      <c r="AF67" s="53" t="e">
        <f>IF(AD67=AE67,1,0)</f>
        <v>#N/A</v>
      </c>
      <c r="AG67" s="35" t="str">
        <f>IF(ISNA(AF67),"0",AF67)</f>
        <v>0</v>
      </c>
      <c r="AI67" s="63" t="str">
        <f>CONCATENATE(C67,".",D67,".",E67)</f>
        <v>..</v>
      </c>
      <c r="AJ67" s="64" t="e">
        <f>VLOOKUP(AI67,Лист1!$BA:$BA,1,0)</f>
        <v>#N/A</v>
      </c>
      <c r="AK67" s="53" t="e">
        <f>IF(AI67=AJ67,1,0)</f>
        <v>#N/A</v>
      </c>
      <c r="AL67" s="35" t="str">
        <f>IF(ISNA(AK67),"0",AK67)</f>
        <v>0</v>
      </c>
      <c r="AN67" s="83">
        <f t="shared" si="126"/>
        <v>0</v>
      </c>
      <c r="AO67" s="64">
        <f>IF(AND(AN67&gt;=200,AN67&lt;=2070),AN67,0)</f>
        <v>0</v>
      </c>
      <c r="AP67" s="53">
        <f>IF(AN67=AO67,1,0)</f>
        <v>1</v>
      </c>
      <c r="AQ67" s="35">
        <f>IF(ISNA(AP67),"0",AP67)</f>
        <v>1</v>
      </c>
      <c r="AS67" s="83">
        <f t="shared" si="127"/>
        <v>0</v>
      </c>
      <c r="AT67" s="64">
        <f>IF(AND(AS67&gt;=200,AS67&lt;=2070),AS67,0)</f>
        <v>0</v>
      </c>
      <c r="AU67" s="53">
        <f>IF(AS67=AT67,1,0)</f>
        <v>1</v>
      </c>
      <c r="AV67" s="35">
        <f>IF(ISNA(AU67),"0",AU67)</f>
        <v>1</v>
      </c>
      <c r="AX67" s="63" t="str">
        <f>CONCATENATE(C67,".",H67,)</f>
        <v>.</v>
      </c>
      <c r="AY67" s="64" t="e">
        <f>VLOOKUP(AX67,Лист1!$BM:$BM,1,0)</f>
        <v>#N/A</v>
      </c>
      <c r="AZ67" s="53" t="e">
        <f>IF(AX67=AY67,1,0)</f>
        <v>#N/A</v>
      </c>
      <c r="BA67" s="35" t="str">
        <f>IF(ISNA(AZ67),"0",AZ67)</f>
        <v>0</v>
      </c>
      <c r="BC67" s="63" t="str">
        <f>CONCATENATE(H67,".",I67,)</f>
        <v>.</v>
      </c>
      <c r="BD67" s="64" t="str">
        <f>VLOOKUP(BC67,Лист1!$BQ:$BQ,1,0)</f>
        <v>.</v>
      </c>
      <c r="BE67" s="53">
        <f>IF(BC67=BD67,1,0)</f>
        <v>1</v>
      </c>
      <c r="BF67" s="35">
        <f>IF(ISNA(BE67),"0",BE67)</f>
        <v>1</v>
      </c>
      <c r="BM67" s="63" t="str">
        <f>CONCATENATE(C67,".",D67,".",K67)</f>
        <v>..</v>
      </c>
      <c r="BN67" s="64" t="e">
        <f>VLOOKUP(BM67,Лист1!$BY:$BY,1,0)</f>
        <v>#N/A</v>
      </c>
      <c r="BO67" s="53" t="e">
        <f>IF(BM67=BN67,1,0)</f>
        <v>#N/A</v>
      </c>
      <c r="BP67" s="35" t="str">
        <f>IF(ISNA(BO67),"0",BO67)</f>
        <v>0</v>
      </c>
    </row>
    <row r="68" spans="1:68">
      <c r="A68" s="24" t="str">
        <f>CONCATENATE(C68,".",D68)</f>
        <v>.</v>
      </c>
      <c r="B68" s="82">
        <v>4</v>
      </c>
      <c r="C68" s="438"/>
      <c r="D68" s="439"/>
      <c r="E68" s="440"/>
      <c r="F68" s="470"/>
      <c r="G68" s="471"/>
      <c r="H68" s="438"/>
      <c r="I68" s="846"/>
      <c r="J68" s="846"/>
      <c r="K68" s="845"/>
      <c r="L68" s="846"/>
      <c r="M68" s="846"/>
      <c r="N68" s="846"/>
      <c r="O68" s="438"/>
      <c r="P68" s="472"/>
      <c r="Q68" s="440"/>
      <c r="R68" s="200"/>
      <c r="S68" s="113"/>
      <c r="T68" s="194" t="str">
        <f>IF(OR(W68="",W68="0"),"",W68)</f>
        <v/>
      </c>
      <c r="U68" s="202" t="str">
        <f>IF(R68="","",IF(NOT(AC68=0),"Ошибка в строке",""))</f>
        <v/>
      </c>
      <c r="W68" s="131" t="str">
        <f>IF(OR(ISNA(X68),NOT(AC68=0)),"0",X68)</f>
        <v>0</v>
      </c>
      <c r="X68" s="128" t="str">
        <f>IF(OR(R68="",R68=0),"",ORDER!H90)</f>
        <v/>
      </c>
      <c r="Y68" s="64" t="str">
        <f>CONCATENATE(C68,".",E68,".",F68)</f>
        <v>..</v>
      </c>
      <c r="AB68" s="34">
        <f>AG68+AL68+AQ68+AV68+BA68+BF68+BK68+BP68+BU68+BZ68+CE68</f>
        <v>3</v>
      </c>
      <c r="AC68" s="72">
        <f>7-AB68</f>
        <v>4</v>
      </c>
      <c r="AD68" s="63" t="str">
        <f>CONCATENATE(C68,".",D68)</f>
        <v>.</v>
      </c>
      <c r="AE68" s="64" t="e">
        <f>VLOOKUP(AD68,Лист1!$AW:$AW,1,0)</f>
        <v>#N/A</v>
      </c>
      <c r="AF68" s="53" t="e">
        <f>IF(AD68=AE68,1,0)</f>
        <v>#N/A</v>
      </c>
      <c r="AG68" s="35" t="str">
        <f>IF(ISNA(AF68),"0",AF68)</f>
        <v>0</v>
      </c>
      <c r="AI68" s="63" t="str">
        <f>CONCATENATE(C68,".",D68,".",E68)</f>
        <v>..</v>
      </c>
      <c r="AJ68" s="64" t="e">
        <f>VLOOKUP(AI68,Лист1!$BA:$BA,1,0)</f>
        <v>#N/A</v>
      </c>
      <c r="AK68" s="53" t="e">
        <f>IF(AI68=AJ68,1,0)</f>
        <v>#N/A</v>
      </c>
      <c r="AL68" s="35" t="str">
        <f>IF(ISNA(AK68),"0",AK68)</f>
        <v>0</v>
      </c>
      <c r="AN68" s="83">
        <f t="shared" si="126"/>
        <v>0</v>
      </c>
      <c r="AO68" s="64">
        <f>IF(AND(AN68&gt;=200,AN68&lt;=2070),AN68,0)</f>
        <v>0</v>
      </c>
      <c r="AP68" s="53">
        <f>IF(AN68=AO68,1,0)</f>
        <v>1</v>
      </c>
      <c r="AQ68" s="35">
        <f>IF(ISNA(AP68),"0",AP68)</f>
        <v>1</v>
      </c>
      <c r="AS68" s="83">
        <f t="shared" si="127"/>
        <v>0</v>
      </c>
      <c r="AT68" s="64">
        <f>IF(AND(AS68&gt;=200,AS68&lt;=2070),AS68,0)</f>
        <v>0</v>
      </c>
      <c r="AU68" s="53">
        <f>IF(AS68=AT68,1,0)</f>
        <v>1</v>
      </c>
      <c r="AV68" s="35">
        <f>IF(ISNA(AU68),"0",AU68)</f>
        <v>1</v>
      </c>
      <c r="AX68" s="63" t="str">
        <f>CONCATENATE(C68,".",H68,)</f>
        <v>.</v>
      </c>
      <c r="AY68" s="64" t="e">
        <f>VLOOKUP(AX68,Лист1!$BM:$BM,1,0)</f>
        <v>#N/A</v>
      </c>
      <c r="AZ68" s="53" t="e">
        <f>IF(AX68=AY68,1,0)</f>
        <v>#N/A</v>
      </c>
      <c r="BA68" s="35" t="str">
        <f>IF(ISNA(AZ68),"0",AZ68)</f>
        <v>0</v>
      </c>
      <c r="BC68" s="63" t="str">
        <f>CONCATENATE(H68,".",I68,)</f>
        <v>.</v>
      </c>
      <c r="BD68" s="64" t="str">
        <f>VLOOKUP(BC68,Лист1!$BQ:$BQ,1,0)</f>
        <v>.</v>
      </c>
      <c r="BE68" s="53">
        <f>IF(BC68=BD68,1,0)</f>
        <v>1</v>
      </c>
      <c r="BF68" s="35">
        <f>IF(ISNA(BE68),"0",BE68)</f>
        <v>1</v>
      </c>
      <c r="BM68" s="63" t="str">
        <f>CONCATENATE(C68,".",D68,".",K68)</f>
        <v>..</v>
      </c>
      <c r="BN68" s="64" t="e">
        <f>VLOOKUP(BM68,Лист1!$BY:$BY,1,0)</f>
        <v>#N/A</v>
      </c>
      <c r="BO68" s="53" t="e">
        <f>IF(BM68=BN68,1,0)</f>
        <v>#N/A</v>
      </c>
      <c r="BP68" s="35" t="str">
        <f>IF(ISNA(BO68),"0",BO68)</f>
        <v>0</v>
      </c>
    </row>
    <row r="69" spans="1:68">
      <c r="A69" s="24" t="str">
        <f>CONCATENATE(C69,".",D69)</f>
        <v>.</v>
      </c>
      <c r="B69" s="185">
        <v>5</v>
      </c>
      <c r="C69" s="445"/>
      <c r="D69" s="446"/>
      <c r="E69" s="447"/>
      <c r="F69" s="473"/>
      <c r="G69" s="474"/>
      <c r="H69" s="445"/>
      <c r="I69" s="842"/>
      <c r="J69" s="842"/>
      <c r="K69" s="855"/>
      <c r="L69" s="842"/>
      <c r="M69" s="842"/>
      <c r="N69" s="842"/>
      <c r="O69" s="449"/>
      <c r="P69" s="466"/>
      <c r="Q69" s="467"/>
      <c r="R69" s="201"/>
      <c r="S69" s="188"/>
      <c r="T69" s="195" t="str">
        <f>IF(OR(W69="",W69="0"),"",W69)</f>
        <v/>
      </c>
      <c r="U69" s="204" t="str">
        <f>IF(R69="","",IF(NOT(AC69=0),"Ошибка в строке",""))</f>
        <v/>
      </c>
      <c r="W69" s="131" t="str">
        <f>IF(OR(ISNA(X69),NOT(AC69=0)),"0",X69)</f>
        <v>0</v>
      </c>
      <c r="X69" s="128" t="str">
        <f>IF(OR(R69="",R69=0),"",ORDER!H91)</f>
        <v/>
      </c>
      <c r="Y69" s="64" t="str">
        <f>CONCATENATE(C69,".",E69,".",F69)</f>
        <v>..</v>
      </c>
      <c r="AB69" s="34">
        <f>AG69+AL69+AQ69+AV69+BA69+BF69+BK69+BP69+BU69+BZ69+CE69</f>
        <v>3</v>
      </c>
      <c r="AC69" s="72">
        <f>7-AB69</f>
        <v>4</v>
      </c>
      <c r="AD69" s="63" t="str">
        <f>CONCATENATE(C69,".",D69)</f>
        <v>.</v>
      </c>
      <c r="AE69" s="64" t="e">
        <f>VLOOKUP(AD69,Лист1!$AW:$AW,1,0)</f>
        <v>#N/A</v>
      </c>
      <c r="AF69" s="53" t="e">
        <f>IF(AD69=AE69,1,0)</f>
        <v>#N/A</v>
      </c>
      <c r="AG69" s="35" t="str">
        <f>IF(ISNA(AF69),"0",AF69)</f>
        <v>0</v>
      </c>
      <c r="AI69" s="63" t="str">
        <f>CONCATENATE(C69,".",D69,".",E69)</f>
        <v>..</v>
      </c>
      <c r="AJ69" s="64" t="e">
        <f>VLOOKUP(AI69,Лист1!$BA:$BA,1,0)</f>
        <v>#N/A</v>
      </c>
      <c r="AK69" s="53" t="e">
        <f>IF(AI69=AJ69,1,0)</f>
        <v>#N/A</v>
      </c>
      <c r="AL69" s="35" t="str">
        <f>IF(ISNA(AK69),"0",AK69)</f>
        <v>0</v>
      </c>
      <c r="AN69" s="83">
        <f t="shared" si="126"/>
        <v>0</v>
      </c>
      <c r="AO69" s="64">
        <f>IF(AND(AN69&gt;=200,AN69&lt;=2070),AN69,0)</f>
        <v>0</v>
      </c>
      <c r="AP69" s="53">
        <f>IF(AN69=AO69,1,0)</f>
        <v>1</v>
      </c>
      <c r="AQ69" s="35">
        <f>IF(ISNA(AP69),"0",AP69)</f>
        <v>1</v>
      </c>
      <c r="AS69" s="83">
        <f t="shared" si="127"/>
        <v>0</v>
      </c>
      <c r="AT69" s="64">
        <f>IF(AND(AS69&gt;=200,AS69&lt;=2070),AS69,0)</f>
        <v>0</v>
      </c>
      <c r="AU69" s="53">
        <f>IF(AS69=AT69,1,0)</f>
        <v>1</v>
      </c>
      <c r="AV69" s="35">
        <f>IF(ISNA(AU69),"0",AU69)</f>
        <v>1</v>
      </c>
      <c r="AX69" s="63" t="str">
        <f>CONCATENATE(C69,".",H69,)</f>
        <v>.</v>
      </c>
      <c r="AY69" s="64" t="e">
        <f>VLOOKUP(AX69,Лист1!$BM:$BM,1,0)</f>
        <v>#N/A</v>
      </c>
      <c r="AZ69" s="53" t="e">
        <f>IF(AX69=AY69,1,0)</f>
        <v>#N/A</v>
      </c>
      <c r="BA69" s="35" t="str">
        <f>IF(ISNA(AZ69),"0",AZ69)</f>
        <v>0</v>
      </c>
      <c r="BC69" s="63" t="str">
        <f>CONCATENATE(H69,".",I69,)</f>
        <v>.</v>
      </c>
      <c r="BD69" s="64" t="str">
        <f>VLOOKUP(BC69,Лист1!$BQ:$BQ,1,0)</f>
        <v>.</v>
      </c>
      <c r="BE69" s="53">
        <f>IF(BC69=BD69,1,0)</f>
        <v>1</v>
      </c>
      <c r="BF69" s="35">
        <f>IF(ISNA(BE69),"0",BE69)</f>
        <v>1</v>
      </c>
      <c r="BM69" s="63" t="str">
        <f>CONCATENATE(C69,".",D69,".",K69)</f>
        <v>..</v>
      </c>
      <c r="BN69" s="64" t="e">
        <f>VLOOKUP(BM69,Лист1!$BY:$BY,1,0)</f>
        <v>#N/A</v>
      </c>
      <c r="BO69" s="53" t="e">
        <f>IF(BM69=BN69,1,0)</f>
        <v>#N/A</v>
      </c>
      <c r="BP69" s="35" t="str">
        <f>IF(ISNA(BO69),"0",BO69)</f>
        <v>0</v>
      </c>
    </row>
    <row r="70" spans="1:68" ht="5.0999999999999996" customHeight="1">
      <c r="B70" s="191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W70" s="132"/>
      <c r="X70" s="129"/>
    </row>
    <row r="71" spans="1:68">
      <c r="B71" s="73" t="s">
        <v>5414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5"/>
      <c r="W71" s="132"/>
      <c r="X71" s="129"/>
    </row>
    <row r="72" spans="1:68" ht="21">
      <c r="B72" s="71" t="s">
        <v>480</v>
      </c>
      <c r="C72" s="851" t="s">
        <v>5409</v>
      </c>
      <c r="D72" s="852"/>
      <c r="E72" s="36" t="s">
        <v>5394</v>
      </c>
      <c r="F72" s="51" t="s">
        <v>5410</v>
      </c>
      <c r="G72" s="52" t="s">
        <v>339</v>
      </c>
      <c r="H72" s="10" t="s">
        <v>559</v>
      </c>
      <c r="I72" s="861" t="s">
        <v>5407</v>
      </c>
      <c r="J72" s="861"/>
      <c r="K72" s="861"/>
      <c r="L72" s="861"/>
      <c r="M72" s="861"/>
      <c r="N72" s="862"/>
      <c r="O72" s="219"/>
      <c r="P72" s="170"/>
      <c r="Q72" s="171"/>
      <c r="R72" s="87" t="s">
        <v>5403</v>
      </c>
      <c r="S72" s="71" t="s">
        <v>5404</v>
      </c>
      <c r="T72" s="84" t="s">
        <v>5405</v>
      </c>
      <c r="U72" s="50" t="s">
        <v>5406</v>
      </c>
      <c r="W72" s="132"/>
      <c r="X72" s="129"/>
      <c r="AI72" s="847" t="str">
        <f>E72</f>
        <v xml:space="preserve">
викон.</v>
      </c>
      <c r="AJ72" s="847"/>
      <c r="AK72" s="847"/>
      <c r="AL72" s="847"/>
      <c r="AN72" s="847" t="str">
        <f>F72</f>
        <v>розмір</v>
      </c>
      <c r="AO72" s="847"/>
      <c r="AP72" s="847"/>
      <c r="AQ72" s="847"/>
      <c r="AS72" s="847" t="str">
        <f>G72</f>
        <v>ширина</v>
      </c>
      <c r="AT72" s="847"/>
      <c r="AU72" s="847"/>
      <c r="AV72" s="847"/>
      <c r="AX72" s="847" t="str">
        <f>H72</f>
        <v>декор</v>
      </c>
      <c r="AY72" s="847"/>
      <c r="AZ72" s="847"/>
      <c r="BA72" s="847"/>
      <c r="BC72" s="847" t="str">
        <f>I72</f>
        <v>колір</v>
      </c>
      <c r="BD72" s="847"/>
      <c r="BE72" s="847"/>
      <c r="BF72" s="847"/>
    </row>
    <row r="73" spans="1:68">
      <c r="A73" s="24" t="str">
        <f>CONCATENATE(C73)</f>
        <v/>
      </c>
      <c r="B73" s="185">
        <v>1</v>
      </c>
      <c r="C73" s="850"/>
      <c r="D73" s="848"/>
      <c r="E73" s="454"/>
      <c r="F73" s="452"/>
      <c r="G73" s="455"/>
      <c r="H73" s="452"/>
      <c r="I73" s="848"/>
      <c r="J73" s="848"/>
      <c r="K73" s="848"/>
      <c r="L73" s="848"/>
      <c r="M73" s="848"/>
      <c r="N73" s="849"/>
      <c r="O73" s="452"/>
      <c r="P73" s="464"/>
      <c r="Q73" s="454"/>
      <c r="R73" s="199"/>
      <c r="S73" s="186"/>
      <c r="T73" s="196" t="str">
        <f t="shared" ref="T73:T82" si="128">IF(OR(W73="",W73="0"),"",W73)</f>
        <v/>
      </c>
      <c r="U73" s="205" t="str">
        <f t="shared" ref="U73:U82" si="129">IF(R73="","",IF(NOT(AC73=0),"Ошибка в строке",""))</f>
        <v/>
      </c>
      <c r="W73" s="131" t="str">
        <f>IF(OR(ISNA(X73),NOT(AC73=0)),"0",X73)</f>
        <v>0</v>
      </c>
      <c r="X73" s="128" t="str">
        <f>IF(OR(R73="",R73=0),"",ORDER!H93)</f>
        <v/>
      </c>
      <c r="Y73" s="64" t="str">
        <f>CONCATENATE(C73,".",E73,".",F73)</f>
        <v>..</v>
      </c>
      <c r="AB73" s="34">
        <f>AG73+AL73+AQ73+AV73+BA73+BF73+BK73+BP73+BU73+BZ73+CE73</f>
        <v>1</v>
      </c>
      <c r="AC73" s="72">
        <f>5-AB73</f>
        <v>4</v>
      </c>
      <c r="AI73" s="63" t="str">
        <f>CONCATENATE(C73,".",E73)</f>
        <v>.</v>
      </c>
      <c r="AJ73" s="64" t="e">
        <f>VLOOKUP(AI73,Лист1!$BA:$BA,1,0)</f>
        <v>#N/A</v>
      </c>
      <c r="AK73" s="53" t="e">
        <f>IF(AI73=AJ73,1,0)</f>
        <v>#N/A</v>
      </c>
      <c r="AL73" s="35" t="str">
        <f>IF(ISNA(AK73),"0",AK73)</f>
        <v>0</v>
      </c>
      <c r="AN73" s="63" t="str">
        <f>CONCATENATE(E73,".",F73,)</f>
        <v>.</v>
      </c>
      <c r="AO73" s="64" t="e">
        <f>VLOOKUP(AN73,Лист1!$BE:$BE,1,0)</f>
        <v>#N/A</v>
      </c>
      <c r="AP73" s="53" t="e">
        <f>IF(AN73=AO73,1,0)</f>
        <v>#N/A</v>
      </c>
      <c r="AQ73" s="35" t="str">
        <f>IF(ISNA(AP73),"0",AP73)</f>
        <v>0</v>
      </c>
      <c r="AS73" s="63" t="str">
        <f>CONCATENATE(F73,".",G73,)</f>
        <v>.</v>
      </c>
      <c r="AT73" s="64" t="e">
        <f>VLOOKUP(AS73,Лист1!$BI:$BI,1,0)</f>
        <v>#N/A</v>
      </c>
      <c r="AU73" s="53" t="e">
        <f>IF(AS73=AT73,1,0)</f>
        <v>#N/A</v>
      </c>
      <c r="AV73" s="35" t="str">
        <f>IF(ISNA(AU73),"0",AU73)</f>
        <v>0</v>
      </c>
      <c r="AX73" s="63" t="str">
        <f>CONCATENATE(C73,".",H73,)</f>
        <v>.</v>
      </c>
      <c r="AY73" s="64" t="e">
        <f>VLOOKUP(AX73,Лист1!$BM:$BM,1,0)</f>
        <v>#N/A</v>
      </c>
      <c r="AZ73" s="53" t="e">
        <f>IF(AX73=AY73,1,0)</f>
        <v>#N/A</v>
      </c>
      <c r="BA73" s="35" t="str">
        <f>IF(ISNA(AZ73),"0",AZ73)</f>
        <v>0</v>
      </c>
      <c r="BC73" s="63" t="str">
        <f>CONCATENATE(H73,".",I73,)</f>
        <v>.</v>
      </c>
      <c r="BD73" s="64" t="str">
        <f>VLOOKUP(BC73,Лист1!$BQ:$BQ,1,0)</f>
        <v>.</v>
      </c>
      <c r="BE73" s="53">
        <f>IF(BC73=BD73,1,0)</f>
        <v>1</v>
      </c>
      <c r="BF73" s="35">
        <f>IF(ISNA(BE73),"0",BE73)</f>
        <v>1</v>
      </c>
    </row>
    <row r="74" spans="1:68">
      <c r="A74" s="24" t="str">
        <f>CONCATENATE(C74)</f>
        <v/>
      </c>
      <c r="B74" s="82">
        <v>2</v>
      </c>
      <c r="C74" s="850"/>
      <c r="D74" s="848"/>
      <c r="E74" s="454"/>
      <c r="F74" s="452"/>
      <c r="G74" s="455"/>
      <c r="H74" s="452"/>
      <c r="I74" s="848"/>
      <c r="J74" s="848"/>
      <c r="K74" s="848"/>
      <c r="L74" s="848"/>
      <c r="M74" s="848"/>
      <c r="N74" s="849"/>
      <c r="O74" s="452"/>
      <c r="P74" s="464"/>
      <c r="Q74" s="454"/>
      <c r="R74" s="199"/>
      <c r="S74" s="111"/>
      <c r="T74" s="196" t="str">
        <f t="shared" si="128"/>
        <v/>
      </c>
      <c r="U74" s="206" t="str">
        <f>IF(R74="","",IF(NOT(AC74=0),"Ошибка в строке",""))</f>
        <v/>
      </c>
      <c r="W74" s="131" t="str">
        <f t="shared" ref="W74:W82" si="130">IF(OR(ISNA(X74),NOT(AC74=0)),"0",X74)</f>
        <v>0</v>
      </c>
      <c r="X74" s="128" t="str">
        <f>IF(OR(R74="",R74=0),"",ORDER!H94)</f>
        <v/>
      </c>
      <c r="Y74" s="64" t="str">
        <f t="shared" ref="Y74:Y82" si="131">CONCATENATE(C74,".",E74,".",F74)</f>
        <v>..</v>
      </c>
      <c r="AB74" s="34">
        <f t="shared" ref="AB74:AB82" si="132">AG74+AL74+AQ74+AV74+BA74+BF74+BK74+BP74+BU74+BZ74+CE74</f>
        <v>1</v>
      </c>
      <c r="AC74" s="72">
        <f t="shared" ref="AC74:AC82" si="133">5-AB74</f>
        <v>4</v>
      </c>
      <c r="AI74" s="63" t="str">
        <f t="shared" ref="AI74:AI82" si="134">CONCATENATE(C74,".",E74)</f>
        <v>.</v>
      </c>
      <c r="AJ74" s="64" t="e">
        <f>VLOOKUP(AI74,Лист1!$BA:$BA,1,0)</f>
        <v>#N/A</v>
      </c>
      <c r="AK74" s="53" t="e">
        <f t="shared" ref="AK74:AK82" si="135">IF(AI74=AJ74,1,0)</f>
        <v>#N/A</v>
      </c>
      <c r="AL74" s="35" t="str">
        <f t="shared" ref="AL74:AL82" si="136">IF(ISNA(AK74),"0",AK74)</f>
        <v>0</v>
      </c>
      <c r="AN74" s="63" t="str">
        <f t="shared" ref="AN74:AN82" si="137">CONCATENATE(E74,".",F74,)</f>
        <v>.</v>
      </c>
      <c r="AO74" s="64" t="e">
        <f>VLOOKUP(AN74,Лист1!$BE:$BE,1,0)</f>
        <v>#N/A</v>
      </c>
      <c r="AP74" s="53" t="e">
        <f t="shared" ref="AP74:AP82" si="138">IF(AN74=AO74,1,0)</f>
        <v>#N/A</v>
      </c>
      <c r="AQ74" s="35" t="str">
        <f t="shared" ref="AQ74:AQ82" si="139">IF(ISNA(AP74),"0",AP74)</f>
        <v>0</v>
      </c>
      <c r="AS74" s="63" t="str">
        <f t="shared" ref="AS74:AS82" si="140">CONCATENATE(F74,".",G74,)</f>
        <v>.</v>
      </c>
      <c r="AT74" s="64" t="e">
        <f>VLOOKUP(AS74,Лист1!$BI:$BI,1,0)</f>
        <v>#N/A</v>
      </c>
      <c r="AU74" s="53" t="e">
        <f t="shared" ref="AU74:AU82" si="141">IF(AS74=AT74,1,0)</f>
        <v>#N/A</v>
      </c>
      <c r="AV74" s="35" t="str">
        <f t="shared" ref="AV74:AV82" si="142">IF(ISNA(AU74),"0",AU74)</f>
        <v>0</v>
      </c>
      <c r="AX74" s="63" t="str">
        <f t="shared" ref="AX74:AX82" si="143">CONCATENATE(C74,".",H74,)</f>
        <v>.</v>
      </c>
      <c r="AY74" s="64" t="e">
        <f>VLOOKUP(AX74,Лист1!$BM:$BM,1,0)</f>
        <v>#N/A</v>
      </c>
      <c r="AZ74" s="53" t="e">
        <f t="shared" ref="AZ74:AZ82" si="144">IF(AX74=AY74,1,0)</f>
        <v>#N/A</v>
      </c>
      <c r="BA74" s="35" t="str">
        <f t="shared" ref="BA74:BA82" si="145">IF(ISNA(AZ74),"0",AZ74)</f>
        <v>0</v>
      </c>
      <c r="BC74" s="63" t="str">
        <f t="shared" ref="BC74:BC82" si="146">CONCATENATE(H74,".",I74,)</f>
        <v>.</v>
      </c>
      <c r="BD74" s="64" t="str">
        <f>VLOOKUP(BC74,Лист1!$BQ:$BQ,1,0)</f>
        <v>.</v>
      </c>
      <c r="BE74" s="53">
        <f t="shared" ref="BE74:BE82" si="147">IF(BC74=BD74,1,0)</f>
        <v>1</v>
      </c>
      <c r="BF74" s="35">
        <f t="shared" ref="BF74:BF82" si="148">IF(ISNA(BE74),"0",BE74)</f>
        <v>1</v>
      </c>
    </row>
    <row r="75" spans="1:68">
      <c r="A75" s="24" t="str">
        <f>CONCATENATE(C75)</f>
        <v/>
      </c>
      <c r="B75" s="82">
        <v>3</v>
      </c>
      <c r="C75" s="850"/>
      <c r="D75" s="848"/>
      <c r="E75" s="454"/>
      <c r="F75" s="452"/>
      <c r="G75" s="455"/>
      <c r="H75" s="452"/>
      <c r="I75" s="848"/>
      <c r="J75" s="848"/>
      <c r="K75" s="848"/>
      <c r="L75" s="848"/>
      <c r="M75" s="848"/>
      <c r="N75" s="849"/>
      <c r="O75" s="452"/>
      <c r="P75" s="464"/>
      <c r="Q75" s="454"/>
      <c r="R75" s="199"/>
      <c r="S75" s="111"/>
      <c r="T75" s="196" t="str">
        <f t="shared" si="128"/>
        <v/>
      </c>
      <c r="U75" s="206" t="str">
        <f t="shared" si="129"/>
        <v/>
      </c>
      <c r="W75" s="131" t="str">
        <f t="shared" si="130"/>
        <v>0</v>
      </c>
      <c r="X75" s="128" t="str">
        <f>IF(OR(R75="",R75=0),"",ORDER!H95)</f>
        <v/>
      </c>
      <c r="Y75" s="64" t="str">
        <f t="shared" si="131"/>
        <v>..</v>
      </c>
      <c r="AB75" s="34">
        <f t="shared" si="132"/>
        <v>1</v>
      </c>
      <c r="AC75" s="72">
        <f t="shared" si="133"/>
        <v>4</v>
      </c>
      <c r="AI75" s="63" t="str">
        <f t="shared" si="134"/>
        <v>.</v>
      </c>
      <c r="AJ75" s="64" t="e">
        <f>VLOOKUP(AI75,Лист1!$BA:$BA,1,0)</f>
        <v>#N/A</v>
      </c>
      <c r="AK75" s="53" t="e">
        <f t="shared" si="135"/>
        <v>#N/A</v>
      </c>
      <c r="AL75" s="35" t="str">
        <f t="shared" si="136"/>
        <v>0</v>
      </c>
      <c r="AN75" s="63" t="str">
        <f t="shared" si="137"/>
        <v>.</v>
      </c>
      <c r="AO75" s="64" t="e">
        <f>VLOOKUP(AN75,Лист1!$BE:$BE,1,0)</f>
        <v>#N/A</v>
      </c>
      <c r="AP75" s="53" t="e">
        <f t="shared" si="138"/>
        <v>#N/A</v>
      </c>
      <c r="AQ75" s="35" t="str">
        <f t="shared" si="139"/>
        <v>0</v>
      </c>
      <c r="AS75" s="63" t="str">
        <f t="shared" si="140"/>
        <v>.</v>
      </c>
      <c r="AT75" s="64" t="e">
        <f>VLOOKUP(AS75,Лист1!$BI:$BI,1,0)</f>
        <v>#N/A</v>
      </c>
      <c r="AU75" s="53" t="e">
        <f t="shared" si="141"/>
        <v>#N/A</v>
      </c>
      <c r="AV75" s="35" t="str">
        <f t="shared" si="142"/>
        <v>0</v>
      </c>
      <c r="AX75" s="63" t="str">
        <f t="shared" si="143"/>
        <v>.</v>
      </c>
      <c r="AY75" s="64" t="e">
        <f>VLOOKUP(AX75,Лист1!$BM:$BM,1,0)</f>
        <v>#N/A</v>
      </c>
      <c r="AZ75" s="53" t="e">
        <f t="shared" si="144"/>
        <v>#N/A</v>
      </c>
      <c r="BA75" s="35" t="str">
        <f t="shared" si="145"/>
        <v>0</v>
      </c>
      <c r="BC75" s="63" t="str">
        <f t="shared" si="146"/>
        <v>.</v>
      </c>
      <c r="BD75" s="64" t="str">
        <f>VLOOKUP(BC75,Лист1!$BQ:$BQ,1,0)</f>
        <v>.</v>
      </c>
      <c r="BE75" s="53">
        <f t="shared" si="147"/>
        <v>1</v>
      </c>
      <c r="BF75" s="35">
        <f t="shared" si="148"/>
        <v>1</v>
      </c>
    </row>
    <row r="76" spans="1:68">
      <c r="A76" s="24" t="str">
        <f t="shared" ref="A76:A93" si="149">CONCATENATE(C76)</f>
        <v/>
      </c>
      <c r="B76" s="82">
        <v>4</v>
      </c>
      <c r="C76" s="845"/>
      <c r="D76" s="846"/>
      <c r="E76" s="454"/>
      <c r="F76" s="452"/>
      <c r="G76" s="455"/>
      <c r="H76" s="452"/>
      <c r="I76" s="848"/>
      <c r="J76" s="848"/>
      <c r="K76" s="848"/>
      <c r="L76" s="848"/>
      <c r="M76" s="848"/>
      <c r="N76" s="849"/>
      <c r="O76" s="452"/>
      <c r="P76" s="464"/>
      <c r="Q76" s="454"/>
      <c r="R76" s="199"/>
      <c r="S76" s="111"/>
      <c r="T76" s="196" t="str">
        <f t="shared" si="128"/>
        <v/>
      </c>
      <c r="U76" s="206" t="str">
        <f t="shared" si="129"/>
        <v/>
      </c>
      <c r="W76" s="131" t="str">
        <f t="shared" si="130"/>
        <v>0</v>
      </c>
      <c r="X76" s="128" t="str">
        <f>IF(OR(R76="",R76=0),"",ORDER!H96)</f>
        <v/>
      </c>
      <c r="Y76" s="64" t="str">
        <f t="shared" si="131"/>
        <v>..</v>
      </c>
      <c r="AB76" s="34">
        <f t="shared" si="132"/>
        <v>1</v>
      </c>
      <c r="AC76" s="72">
        <f t="shared" si="133"/>
        <v>4</v>
      </c>
      <c r="AI76" s="63" t="str">
        <f t="shared" si="134"/>
        <v>.</v>
      </c>
      <c r="AJ76" s="64" t="e">
        <f>VLOOKUP(AI76,Лист1!$BA:$BA,1,0)</f>
        <v>#N/A</v>
      </c>
      <c r="AK76" s="53" t="e">
        <f t="shared" si="135"/>
        <v>#N/A</v>
      </c>
      <c r="AL76" s="35" t="str">
        <f t="shared" si="136"/>
        <v>0</v>
      </c>
      <c r="AN76" s="63" t="str">
        <f t="shared" si="137"/>
        <v>.</v>
      </c>
      <c r="AO76" s="64" t="e">
        <f>VLOOKUP(AN76,Лист1!$BE:$BE,1,0)</f>
        <v>#N/A</v>
      </c>
      <c r="AP76" s="53" t="e">
        <f t="shared" si="138"/>
        <v>#N/A</v>
      </c>
      <c r="AQ76" s="35" t="str">
        <f t="shared" si="139"/>
        <v>0</v>
      </c>
      <c r="AS76" s="63" t="str">
        <f t="shared" si="140"/>
        <v>.</v>
      </c>
      <c r="AT76" s="64" t="e">
        <f>VLOOKUP(AS76,Лист1!$BI:$BI,1,0)</f>
        <v>#N/A</v>
      </c>
      <c r="AU76" s="53" t="e">
        <f t="shared" si="141"/>
        <v>#N/A</v>
      </c>
      <c r="AV76" s="35" t="str">
        <f t="shared" si="142"/>
        <v>0</v>
      </c>
      <c r="AX76" s="63" t="str">
        <f t="shared" si="143"/>
        <v>.</v>
      </c>
      <c r="AY76" s="64" t="e">
        <f>VLOOKUP(AX76,Лист1!$BM:$BM,1,0)</f>
        <v>#N/A</v>
      </c>
      <c r="AZ76" s="53" t="e">
        <f t="shared" si="144"/>
        <v>#N/A</v>
      </c>
      <c r="BA76" s="35" t="str">
        <f t="shared" si="145"/>
        <v>0</v>
      </c>
      <c r="BC76" s="63" t="str">
        <f t="shared" si="146"/>
        <v>.</v>
      </c>
      <c r="BD76" s="64" t="str">
        <f>VLOOKUP(BC76,Лист1!$BQ:$BQ,1,0)</f>
        <v>.</v>
      </c>
      <c r="BE76" s="53">
        <f t="shared" si="147"/>
        <v>1</v>
      </c>
      <c r="BF76" s="35">
        <f t="shared" si="148"/>
        <v>1</v>
      </c>
    </row>
    <row r="77" spans="1:68">
      <c r="A77" s="24" t="str">
        <f t="shared" si="149"/>
        <v/>
      </c>
      <c r="B77" s="82">
        <v>5</v>
      </c>
      <c r="C77" s="850"/>
      <c r="D77" s="848"/>
      <c r="E77" s="454"/>
      <c r="F77" s="452"/>
      <c r="G77" s="455"/>
      <c r="H77" s="452"/>
      <c r="I77" s="848"/>
      <c r="J77" s="848"/>
      <c r="K77" s="848"/>
      <c r="L77" s="848"/>
      <c r="M77" s="848"/>
      <c r="N77" s="849"/>
      <c r="O77" s="452"/>
      <c r="P77" s="464"/>
      <c r="Q77" s="454"/>
      <c r="R77" s="199"/>
      <c r="S77" s="111"/>
      <c r="T77" s="196" t="str">
        <f t="shared" si="128"/>
        <v/>
      </c>
      <c r="U77" s="206" t="str">
        <f t="shared" si="129"/>
        <v/>
      </c>
      <c r="W77" s="131" t="str">
        <f t="shared" si="130"/>
        <v>0</v>
      </c>
      <c r="X77" s="128" t="str">
        <f>IF(OR(R77="",R77=0),"",ORDER!H97)</f>
        <v/>
      </c>
      <c r="Y77" s="64" t="str">
        <f t="shared" si="131"/>
        <v>..</v>
      </c>
      <c r="AB77" s="34">
        <f t="shared" si="132"/>
        <v>1</v>
      </c>
      <c r="AC77" s="72">
        <f t="shared" si="133"/>
        <v>4</v>
      </c>
      <c r="AI77" s="63" t="str">
        <f t="shared" si="134"/>
        <v>.</v>
      </c>
      <c r="AJ77" s="64" t="e">
        <f>VLOOKUP(AI77,Лист1!$BA:$BA,1,0)</f>
        <v>#N/A</v>
      </c>
      <c r="AK77" s="53" t="e">
        <f t="shared" si="135"/>
        <v>#N/A</v>
      </c>
      <c r="AL77" s="35" t="str">
        <f t="shared" si="136"/>
        <v>0</v>
      </c>
      <c r="AN77" s="63" t="str">
        <f t="shared" si="137"/>
        <v>.</v>
      </c>
      <c r="AO77" s="64" t="e">
        <f>VLOOKUP(AN77,Лист1!$BE:$BE,1,0)</f>
        <v>#N/A</v>
      </c>
      <c r="AP77" s="53" t="e">
        <f t="shared" si="138"/>
        <v>#N/A</v>
      </c>
      <c r="AQ77" s="35" t="str">
        <f t="shared" si="139"/>
        <v>0</v>
      </c>
      <c r="AS77" s="63" t="str">
        <f t="shared" si="140"/>
        <v>.</v>
      </c>
      <c r="AT77" s="64" t="e">
        <f>VLOOKUP(AS77,Лист1!$BI:$BI,1,0)</f>
        <v>#N/A</v>
      </c>
      <c r="AU77" s="53" t="e">
        <f t="shared" si="141"/>
        <v>#N/A</v>
      </c>
      <c r="AV77" s="35" t="str">
        <f t="shared" si="142"/>
        <v>0</v>
      </c>
      <c r="AX77" s="63" t="str">
        <f t="shared" si="143"/>
        <v>.</v>
      </c>
      <c r="AY77" s="64" t="e">
        <f>VLOOKUP(AX77,Лист1!$BM:$BM,1,0)</f>
        <v>#N/A</v>
      </c>
      <c r="AZ77" s="53" t="e">
        <f t="shared" si="144"/>
        <v>#N/A</v>
      </c>
      <c r="BA77" s="35" t="str">
        <f t="shared" si="145"/>
        <v>0</v>
      </c>
      <c r="BC77" s="63" t="str">
        <f t="shared" si="146"/>
        <v>.</v>
      </c>
      <c r="BD77" s="64" t="str">
        <f>VLOOKUP(BC77,Лист1!$BQ:$BQ,1,0)</f>
        <v>.</v>
      </c>
      <c r="BE77" s="53">
        <f t="shared" si="147"/>
        <v>1</v>
      </c>
      <c r="BF77" s="35">
        <f t="shared" si="148"/>
        <v>1</v>
      </c>
    </row>
    <row r="78" spans="1:68">
      <c r="A78" s="24" t="str">
        <f>CONCATENATE(C78)</f>
        <v/>
      </c>
      <c r="B78" s="82">
        <v>6</v>
      </c>
      <c r="C78" s="845"/>
      <c r="D78" s="846"/>
      <c r="E78" s="454"/>
      <c r="F78" s="452"/>
      <c r="G78" s="455"/>
      <c r="H78" s="452"/>
      <c r="I78" s="848"/>
      <c r="J78" s="848"/>
      <c r="K78" s="848"/>
      <c r="L78" s="848"/>
      <c r="M78" s="848"/>
      <c r="N78" s="849"/>
      <c r="O78" s="452"/>
      <c r="P78" s="464"/>
      <c r="Q78" s="454"/>
      <c r="R78" s="199"/>
      <c r="S78" s="111"/>
      <c r="T78" s="196" t="str">
        <f t="shared" si="128"/>
        <v/>
      </c>
      <c r="U78" s="206" t="str">
        <f t="shared" si="129"/>
        <v/>
      </c>
      <c r="W78" s="131" t="str">
        <f t="shared" si="130"/>
        <v>0</v>
      </c>
      <c r="X78" s="128" t="str">
        <f>IF(OR(R78="",R78=0),"",ORDER!H98)</f>
        <v/>
      </c>
      <c r="Y78" s="64" t="str">
        <f t="shared" si="131"/>
        <v>..</v>
      </c>
      <c r="AB78" s="34">
        <f t="shared" si="132"/>
        <v>1</v>
      </c>
      <c r="AC78" s="72">
        <f t="shared" si="133"/>
        <v>4</v>
      </c>
      <c r="AI78" s="63" t="str">
        <f t="shared" si="134"/>
        <v>.</v>
      </c>
      <c r="AJ78" s="64" t="e">
        <f>VLOOKUP(AI78,Лист1!$BA:$BA,1,0)</f>
        <v>#N/A</v>
      </c>
      <c r="AK78" s="53" t="e">
        <f t="shared" si="135"/>
        <v>#N/A</v>
      </c>
      <c r="AL78" s="35" t="str">
        <f t="shared" si="136"/>
        <v>0</v>
      </c>
      <c r="AN78" s="63" t="str">
        <f t="shared" si="137"/>
        <v>.</v>
      </c>
      <c r="AO78" s="64" t="e">
        <f>VLOOKUP(AN78,Лист1!$BE:$BE,1,0)</f>
        <v>#N/A</v>
      </c>
      <c r="AP78" s="53" t="e">
        <f t="shared" si="138"/>
        <v>#N/A</v>
      </c>
      <c r="AQ78" s="35" t="str">
        <f t="shared" si="139"/>
        <v>0</v>
      </c>
      <c r="AS78" s="63" t="str">
        <f t="shared" si="140"/>
        <v>.</v>
      </c>
      <c r="AT78" s="64" t="e">
        <f>VLOOKUP(AS78,Лист1!$BI:$BI,1,0)</f>
        <v>#N/A</v>
      </c>
      <c r="AU78" s="53" t="e">
        <f t="shared" si="141"/>
        <v>#N/A</v>
      </c>
      <c r="AV78" s="35" t="str">
        <f t="shared" si="142"/>
        <v>0</v>
      </c>
      <c r="AX78" s="63" t="str">
        <f t="shared" si="143"/>
        <v>.</v>
      </c>
      <c r="AY78" s="64" t="e">
        <f>VLOOKUP(AX78,Лист1!$BM:$BM,1,0)</f>
        <v>#N/A</v>
      </c>
      <c r="AZ78" s="53" t="e">
        <f t="shared" si="144"/>
        <v>#N/A</v>
      </c>
      <c r="BA78" s="35" t="str">
        <f t="shared" si="145"/>
        <v>0</v>
      </c>
      <c r="BC78" s="63" t="str">
        <f t="shared" si="146"/>
        <v>.</v>
      </c>
      <c r="BD78" s="64" t="str">
        <f>VLOOKUP(BC78,Лист1!$BQ:$BQ,1,0)</f>
        <v>.</v>
      </c>
      <c r="BE78" s="53">
        <f t="shared" si="147"/>
        <v>1</v>
      </c>
      <c r="BF78" s="35">
        <f t="shared" si="148"/>
        <v>1</v>
      </c>
    </row>
    <row r="79" spans="1:68">
      <c r="A79" s="24" t="str">
        <f>CONCATENATE(C79)</f>
        <v/>
      </c>
      <c r="B79" s="82">
        <v>7</v>
      </c>
      <c r="C79" s="850"/>
      <c r="D79" s="848"/>
      <c r="E79" s="454"/>
      <c r="F79" s="452"/>
      <c r="G79" s="455"/>
      <c r="H79" s="452"/>
      <c r="I79" s="848"/>
      <c r="J79" s="848"/>
      <c r="K79" s="848"/>
      <c r="L79" s="848"/>
      <c r="M79" s="848"/>
      <c r="N79" s="849"/>
      <c r="O79" s="452"/>
      <c r="P79" s="464"/>
      <c r="Q79" s="454"/>
      <c r="R79" s="199"/>
      <c r="S79" s="111"/>
      <c r="T79" s="196" t="str">
        <f t="shared" si="128"/>
        <v/>
      </c>
      <c r="U79" s="206" t="str">
        <f t="shared" si="129"/>
        <v/>
      </c>
      <c r="W79" s="131" t="str">
        <f t="shared" si="130"/>
        <v>0</v>
      </c>
      <c r="X79" s="128" t="str">
        <f>IF(OR(R79="",R79=0),"",ORDER!H99)</f>
        <v/>
      </c>
      <c r="Y79" s="64" t="str">
        <f t="shared" si="131"/>
        <v>..</v>
      </c>
      <c r="AB79" s="34">
        <f t="shared" si="132"/>
        <v>1</v>
      </c>
      <c r="AC79" s="72">
        <f t="shared" si="133"/>
        <v>4</v>
      </c>
      <c r="AI79" s="63" t="str">
        <f t="shared" si="134"/>
        <v>.</v>
      </c>
      <c r="AJ79" s="64" t="e">
        <f>VLOOKUP(AI79,Лист1!$BA:$BA,1,0)</f>
        <v>#N/A</v>
      </c>
      <c r="AK79" s="53" t="e">
        <f t="shared" si="135"/>
        <v>#N/A</v>
      </c>
      <c r="AL79" s="35" t="str">
        <f t="shared" si="136"/>
        <v>0</v>
      </c>
      <c r="AN79" s="63" t="str">
        <f t="shared" si="137"/>
        <v>.</v>
      </c>
      <c r="AO79" s="64" t="e">
        <f>VLOOKUP(AN79,Лист1!$BE:$BE,1,0)</f>
        <v>#N/A</v>
      </c>
      <c r="AP79" s="53" t="e">
        <f t="shared" si="138"/>
        <v>#N/A</v>
      </c>
      <c r="AQ79" s="35" t="str">
        <f t="shared" si="139"/>
        <v>0</v>
      </c>
      <c r="AS79" s="63" t="str">
        <f t="shared" si="140"/>
        <v>.</v>
      </c>
      <c r="AT79" s="64" t="e">
        <f>VLOOKUP(AS79,Лист1!$BI:$BI,1,0)</f>
        <v>#N/A</v>
      </c>
      <c r="AU79" s="53" t="e">
        <f t="shared" si="141"/>
        <v>#N/A</v>
      </c>
      <c r="AV79" s="35" t="str">
        <f t="shared" si="142"/>
        <v>0</v>
      </c>
      <c r="AX79" s="63" t="str">
        <f t="shared" si="143"/>
        <v>.</v>
      </c>
      <c r="AY79" s="64" t="e">
        <f>VLOOKUP(AX79,Лист1!$BM:$BM,1,0)</f>
        <v>#N/A</v>
      </c>
      <c r="AZ79" s="53" t="e">
        <f t="shared" si="144"/>
        <v>#N/A</v>
      </c>
      <c r="BA79" s="35" t="str">
        <f t="shared" si="145"/>
        <v>0</v>
      </c>
      <c r="BC79" s="63" t="str">
        <f t="shared" si="146"/>
        <v>.</v>
      </c>
      <c r="BD79" s="64" t="str">
        <f>VLOOKUP(BC79,Лист1!$BQ:$BQ,1,0)</f>
        <v>.</v>
      </c>
      <c r="BE79" s="53">
        <f t="shared" si="147"/>
        <v>1</v>
      </c>
      <c r="BF79" s="35">
        <f t="shared" si="148"/>
        <v>1</v>
      </c>
    </row>
    <row r="80" spans="1:68">
      <c r="A80" s="24" t="str">
        <f t="shared" si="149"/>
        <v/>
      </c>
      <c r="B80" s="82">
        <v>8</v>
      </c>
      <c r="C80" s="845"/>
      <c r="D80" s="846"/>
      <c r="E80" s="454"/>
      <c r="F80" s="452"/>
      <c r="G80" s="455"/>
      <c r="H80" s="452"/>
      <c r="I80" s="848"/>
      <c r="J80" s="848"/>
      <c r="K80" s="848"/>
      <c r="L80" s="848"/>
      <c r="M80" s="848"/>
      <c r="N80" s="849"/>
      <c r="O80" s="452"/>
      <c r="P80" s="464"/>
      <c r="Q80" s="454"/>
      <c r="R80" s="199"/>
      <c r="S80" s="111"/>
      <c r="T80" s="196" t="str">
        <f t="shared" si="128"/>
        <v/>
      </c>
      <c r="U80" s="206" t="str">
        <f t="shared" si="129"/>
        <v/>
      </c>
      <c r="W80" s="131" t="str">
        <f t="shared" si="130"/>
        <v>0</v>
      </c>
      <c r="X80" s="128" t="str">
        <f>IF(OR(R80="",R80=0),"",ORDER!H100)</f>
        <v/>
      </c>
      <c r="Y80" s="64" t="str">
        <f t="shared" si="131"/>
        <v>..</v>
      </c>
      <c r="AB80" s="34">
        <f t="shared" si="132"/>
        <v>1</v>
      </c>
      <c r="AC80" s="72">
        <f t="shared" si="133"/>
        <v>4</v>
      </c>
      <c r="AI80" s="63" t="str">
        <f t="shared" si="134"/>
        <v>.</v>
      </c>
      <c r="AJ80" s="64" t="e">
        <f>VLOOKUP(AI80,Лист1!$BA:$BA,1,0)</f>
        <v>#N/A</v>
      </c>
      <c r="AK80" s="53" t="e">
        <f t="shared" si="135"/>
        <v>#N/A</v>
      </c>
      <c r="AL80" s="35" t="str">
        <f t="shared" si="136"/>
        <v>0</v>
      </c>
      <c r="AN80" s="63" t="str">
        <f t="shared" si="137"/>
        <v>.</v>
      </c>
      <c r="AO80" s="64" t="e">
        <f>VLOOKUP(AN80,Лист1!$BE:$BE,1,0)</f>
        <v>#N/A</v>
      </c>
      <c r="AP80" s="53" t="e">
        <f t="shared" si="138"/>
        <v>#N/A</v>
      </c>
      <c r="AQ80" s="35" t="str">
        <f t="shared" si="139"/>
        <v>0</v>
      </c>
      <c r="AS80" s="63" t="str">
        <f t="shared" si="140"/>
        <v>.</v>
      </c>
      <c r="AT80" s="64" t="e">
        <f>VLOOKUP(AS80,Лист1!$BI:$BI,1,0)</f>
        <v>#N/A</v>
      </c>
      <c r="AU80" s="53" t="e">
        <f t="shared" si="141"/>
        <v>#N/A</v>
      </c>
      <c r="AV80" s="35" t="str">
        <f t="shared" si="142"/>
        <v>0</v>
      </c>
      <c r="AX80" s="63" t="str">
        <f t="shared" si="143"/>
        <v>.</v>
      </c>
      <c r="AY80" s="64" t="e">
        <f>VLOOKUP(AX80,Лист1!$BM:$BM,1,0)</f>
        <v>#N/A</v>
      </c>
      <c r="AZ80" s="53" t="e">
        <f t="shared" si="144"/>
        <v>#N/A</v>
      </c>
      <c r="BA80" s="35" t="str">
        <f t="shared" si="145"/>
        <v>0</v>
      </c>
      <c r="BC80" s="63" t="str">
        <f t="shared" si="146"/>
        <v>.</v>
      </c>
      <c r="BD80" s="64" t="str">
        <f>VLOOKUP(BC80,Лист1!$BQ:$BQ,1,0)</f>
        <v>.</v>
      </c>
      <c r="BE80" s="53">
        <f t="shared" si="147"/>
        <v>1</v>
      </c>
      <c r="BF80" s="35">
        <f t="shared" si="148"/>
        <v>1</v>
      </c>
    </row>
    <row r="81" spans="1:58">
      <c r="A81" s="24" t="str">
        <f t="shared" si="149"/>
        <v/>
      </c>
      <c r="B81" s="82">
        <v>9</v>
      </c>
      <c r="C81" s="845"/>
      <c r="D81" s="846"/>
      <c r="E81" s="440"/>
      <c r="F81" s="438"/>
      <c r="G81" s="441"/>
      <c r="H81" s="438"/>
      <c r="I81" s="846"/>
      <c r="J81" s="846"/>
      <c r="K81" s="846"/>
      <c r="L81" s="846"/>
      <c r="M81" s="846"/>
      <c r="N81" s="854"/>
      <c r="O81" s="438"/>
      <c r="P81" s="472"/>
      <c r="Q81" s="440"/>
      <c r="R81" s="200"/>
      <c r="S81" s="111"/>
      <c r="T81" s="196" t="str">
        <f t="shared" si="128"/>
        <v/>
      </c>
      <c r="U81" s="206" t="str">
        <f t="shared" si="129"/>
        <v/>
      </c>
      <c r="W81" s="131" t="str">
        <f t="shared" si="130"/>
        <v>0</v>
      </c>
      <c r="X81" s="128" t="str">
        <f>IF(OR(R81="",R81=0),"",ORDER!H101)</f>
        <v/>
      </c>
      <c r="Y81" s="64" t="str">
        <f t="shared" si="131"/>
        <v>..</v>
      </c>
      <c r="AB81" s="34">
        <f t="shared" si="132"/>
        <v>1</v>
      </c>
      <c r="AC81" s="72">
        <f t="shared" si="133"/>
        <v>4</v>
      </c>
      <c r="AI81" s="63" t="str">
        <f t="shared" si="134"/>
        <v>.</v>
      </c>
      <c r="AJ81" s="64" t="e">
        <f>VLOOKUP(AI81,Лист1!$BA:$BA,1,0)</f>
        <v>#N/A</v>
      </c>
      <c r="AK81" s="53" t="e">
        <f t="shared" si="135"/>
        <v>#N/A</v>
      </c>
      <c r="AL81" s="35" t="str">
        <f t="shared" si="136"/>
        <v>0</v>
      </c>
      <c r="AN81" s="63" t="str">
        <f t="shared" si="137"/>
        <v>.</v>
      </c>
      <c r="AO81" s="64" t="e">
        <f>VLOOKUP(AN81,Лист1!$BE:$BE,1,0)</f>
        <v>#N/A</v>
      </c>
      <c r="AP81" s="53" t="e">
        <f t="shared" si="138"/>
        <v>#N/A</v>
      </c>
      <c r="AQ81" s="35" t="str">
        <f t="shared" si="139"/>
        <v>0</v>
      </c>
      <c r="AS81" s="63" t="str">
        <f t="shared" si="140"/>
        <v>.</v>
      </c>
      <c r="AT81" s="64" t="e">
        <f>VLOOKUP(AS81,Лист1!$BI:$BI,1,0)</f>
        <v>#N/A</v>
      </c>
      <c r="AU81" s="53" t="e">
        <f t="shared" si="141"/>
        <v>#N/A</v>
      </c>
      <c r="AV81" s="35" t="str">
        <f t="shared" si="142"/>
        <v>0</v>
      </c>
      <c r="AX81" s="63" t="str">
        <f t="shared" si="143"/>
        <v>.</v>
      </c>
      <c r="AY81" s="64" t="e">
        <f>VLOOKUP(AX81,Лист1!$BM:$BM,1,0)</f>
        <v>#N/A</v>
      </c>
      <c r="AZ81" s="53" t="e">
        <f t="shared" si="144"/>
        <v>#N/A</v>
      </c>
      <c r="BA81" s="35" t="str">
        <f t="shared" si="145"/>
        <v>0</v>
      </c>
      <c r="BC81" s="63" t="str">
        <f t="shared" si="146"/>
        <v>.</v>
      </c>
      <c r="BD81" s="64" t="str">
        <f>VLOOKUP(BC81,Лист1!$BQ:$BQ,1,0)</f>
        <v>.</v>
      </c>
      <c r="BE81" s="53">
        <f t="shared" si="147"/>
        <v>1</v>
      </c>
      <c r="BF81" s="35">
        <f t="shared" si="148"/>
        <v>1</v>
      </c>
    </row>
    <row r="82" spans="1:58">
      <c r="A82" s="24" t="str">
        <f t="shared" si="149"/>
        <v/>
      </c>
      <c r="B82" s="82">
        <v>10</v>
      </c>
      <c r="C82" s="855"/>
      <c r="D82" s="842"/>
      <c r="E82" s="447"/>
      <c r="F82" s="445"/>
      <c r="G82" s="448"/>
      <c r="H82" s="445"/>
      <c r="I82" s="842"/>
      <c r="J82" s="842"/>
      <c r="K82" s="842"/>
      <c r="L82" s="842"/>
      <c r="M82" s="842"/>
      <c r="N82" s="843"/>
      <c r="O82" s="449"/>
      <c r="P82" s="466"/>
      <c r="Q82" s="467"/>
      <c r="R82" s="201"/>
      <c r="S82" s="187"/>
      <c r="T82" s="196" t="str">
        <f t="shared" si="128"/>
        <v/>
      </c>
      <c r="U82" s="207" t="str">
        <f t="shared" si="129"/>
        <v/>
      </c>
      <c r="W82" s="131" t="str">
        <f t="shared" si="130"/>
        <v>0</v>
      </c>
      <c r="X82" s="128" t="str">
        <f>IF(OR(R82="",R82=0),"",ORDER!H102)</f>
        <v/>
      </c>
      <c r="Y82" s="64" t="str">
        <f t="shared" si="131"/>
        <v>..</v>
      </c>
      <c r="AB82" s="34">
        <f t="shared" si="132"/>
        <v>1</v>
      </c>
      <c r="AC82" s="72">
        <f t="shared" si="133"/>
        <v>4</v>
      </c>
      <c r="AI82" s="63" t="str">
        <f t="shared" si="134"/>
        <v>.</v>
      </c>
      <c r="AJ82" s="64" t="e">
        <f>VLOOKUP(AI82,Лист1!$BA:$BA,1,0)</f>
        <v>#N/A</v>
      </c>
      <c r="AK82" s="53" t="e">
        <f t="shared" si="135"/>
        <v>#N/A</v>
      </c>
      <c r="AL82" s="35" t="str">
        <f t="shared" si="136"/>
        <v>0</v>
      </c>
      <c r="AN82" s="63" t="str">
        <f t="shared" si="137"/>
        <v>.</v>
      </c>
      <c r="AO82" s="64" t="e">
        <f>VLOOKUP(AN82,Лист1!$BE:$BE,1,0)</f>
        <v>#N/A</v>
      </c>
      <c r="AP82" s="53" t="e">
        <f t="shared" si="138"/>
        <v>#N/A</v>
      </c>
      <c r="AQ82" s="35" t="str">
        <f t="shared" si="139"/>
        <v>0</v>
      </c>
      <c r="AS82" s="63" t="str">
        <f t="shared" si="140"/>
        <v>.</v>
      </c>
      <c r="AT82" s="64" t="e">
        <f>VLOOKUP(AS82,Лист1!$BI:$BI,1,0)</f>
        <v>#N/A</v>
      </c>
      <c r="AU82" s="53" t="e">
        <f t="shared" si="141"/>
        <v>#N/A</v>
      </c>
      <c r="AV82" s="35" t="str">
        <f t="shared" si="142"/>
        <v>0</v>
      </c>
      <c r="AX82" s="63" t="str">
        <f t="shared" si="143"/>
        <v>.</v>
      </c>
      <c r="AY82" s="64" t="e">
        <f>VLOOKUP(AX82,Лист1!$BM:$BM,1,0)</f>
        <v>#N/A</v>
      </c>
      <c r="AZ82" s="53" t="e">
        <f t="shared" si="144"/>
        <v>#N/A</v>
      </c>
      <c r="BA82" s="35" t="str">
        <f t="shared" si="145"/>
        <v>0</v>
      </c>
      <c r="BC82" s="63" t="str">
        <f t="shared" si="146"/>
        <v>.</v>
      </c>
      <c r="BD82" s="64" t="str">
        <f>VLOOKUP(BC82,Лист1!$BQ:$BQ,1,0)</f>
        <v>.</v>
      </c>
      <c r="BE82" s="53">
        <f t="shared" si="147"/>
        <v>1</v>
      </c>
      <c r="BF82" s="35">
        <f t="shared" si="148"/>
        <v>1</v>
      </c>
    </row>
    <row r="83" spans="1:58" ht="12.75" customHeight="1">
      <c r="A83" s="24"/>
      <c r="B83" s="71" t="s">
        <v>480</v>
      </c>
      <c r="C83" s="857" t="s">
        <v>5415</v>
      </c>
      <c r="D83" s="858"/>
      <c r="E83" s="858"/>
      <c r="F83" s="858"/>
      <c r="G83" s="858"/>
      <c r="H83" s="37"/>
      <c r="I83" s="37"/>
      <c r="J83" s="37"/>
      <c r="K83" s="37"/>
      <c r="L83" s="37"/>
      <c r="M83" s="37"/>
      <c r="N83" s="37"/>
      <c r="O83" s="242"/>
      <c r="P83" s="243"/>
      <c r="Q83" s="243"/>
      <c r="R83" s="37"/>
      <c r="S83" s="37"/>
      <c r="T83" s="109"/>
      <c r="U83" s="36"/>
      <c r="W83" s="132"/>
      <c r="X83" s="129"/>
      <c r="AD83" s="841" t="str">
        <f t="shared" ref="AD83:AD93" si="150">C83</f>
        <v>ІНШІ АКСЕСУАРИ</v>
      </c>
      <c r="AE83" s="841"/>
      <c r="AF83" s="841"/>
      <c r="AG83" s="841"/>
      <c r="AX83" s="63"/>
      <c r="AY83" s="64"/>
      <c r="AZ83" s="53"/>
      <c r="BA83" s="35"/>
      <c r="BC83" s="63"/>
      <c r="BD83" s="64"/>
      <c r="BE83" s="53"/>
      <c r="BF83" s="35"/>
    </row>
    <row r="84" spans="1:58">
      <c r="A84" s="24" t="str">
        <f t="shared" si="149"/>
        <v/>
      </c>
      <c r="B84" s="185">
        <v>1</v>
      </c>
      <c r="C84" s="850"/>
      <c r="D84" s="848"/>
      <c r="E84" s="848"/>
      <c r="F84" s="848"/>
      <c r="G84" s="848"/>
      <c r="H84" s="848"/>
      <c r="I84" s="848"/>
      <c r="J84" s="848"/>
      <c r="K84" s="848"/>
      <c r="L84" s="848"/>
      <c r="M84" s="848"/>
      <c r="N84" s="848"/>
      <c r="O84" s="452"/>
      <c r="P84" s="464"/>
      <c r="Q84" s="464"/>
      <c r="R84" s="199"/>
      <c r="S84" s="186"/>
      <c r="T84" s="198" t="str">
        <f t="shared" ref="T84:T93" si="151">IF(OR(W84="",W84="0"),"",W84)</f>
        <v/>
      </c>
      <c r="U84" s="203"/>
      <c r="W84" s="131" t="str">
        <f t="shared" ref="W84:W93" si="152">IF(OR(ISNA(X84),NOT(AC84=0)),"0",X84)</f>
        <v>0</v>
      </c>
      <c r="X84" s="128" t="str">
        <f>IF(OR(R84="",R84=0),"",ORDER!H103)</f>
        <v/>
      </c>
      <c r="Y84" s="64" t="str">
        <f t="shared" ref="Y84:Y93" si="153">CONCATENATE(C84,".",E84,".",F84)</f>
        <v>..</v>
      </c>
      <c r="AB84" s="34">
        <f t="shared" ref="AB84:AB93" si="154">AG84+AL84+AQ84+AV84+BA84+BF84+BK84+BP84+BU84+BZ84+CE84</f>
        <v>0</v>
      </c>
      <c r="AC84" s="72">
        <f t="shared" ref="AC84:AC93" si="155">1-AB84</f>
        <v>1</v>
      </c>
      <c r="AD84" s="63">
        <f t="shared" si="150"/>
        <v>0</v>
      </c>
      <c r="AE84" s="64" t="e">
        <f>VLOOKUP(AD84,Лист1!$C:$C,1,0)</f>
        <v>#N/A</v>
      </c>
      <c r="AF84" s="53" t="e">
        <f t="shared" ref="AF84:AF93" si="156">IF(AD84=AE84,1,0)</f>
        <v>#N/A</v>
      </c>
      <c r="AG84" s="35" t="str">
        <f t="shared" ref="AG84:AG93" si="157">IF(ISNA(AF84),"0",AF84)</f>
        <v>0</v>
      </c>
    </row>
    <row r="85" spans="1:58">
      <c r="A85" s="24" t="str">
        <f>CONCATENATE(C85)</f>
        <v/>
      </c>
      <c r="B85" s="82">
        <v>2</v>
      </c>
      <c r="C85" s="845"/>
      <c r="D85" s="846"/>
      <c r="E85" s="846"/>
      <c r="F85" s="846"/>
      <c r="G85" s="846"/>
      <c r="H85" s="846"/>
      <c r="I85" s="846"/>
      <c r="J85" s="846"/>
      <c r="K85" s="846"/>
      <c r="L85" s="846"/>
      <c r="M85" s="846"/>
      <c r="N85" s="846"/>
      <c r="O85" s="438"/>
      <c r="P85" s="472"/>
      <c r="Q85" s="472"/>
      <c r="R85" s="200"/>
      <c r="S85" s="111"/>
      <c r="T85" s="198" t="str">
        <f t="shared" si="151"/>
        <v/>
      </c>
      <c r="U85" s="202" t="str">
        <f t="shared" ref="U85:U93" si="158">IF(R85="","",IF(NOT(AC85=0),"Ошибка в строке",""))</f>
        <v/>
      </c>
      <c r="W85" s="131" t="str">
        <f t="shared" si="152"/>
        <v>0</v>
      </c>
      <c r="X85" s="128" t="str">
        <f>IF(OR(R85="",R85=0),"",ORDER!H104)</f>
        <v/>
      </c>
      <c r="Y85" s="64" t="str">
        <f t="shared" si="153"/>
        <v>..</v>
      </c>
      <c r="AB85" s="34">
        <f t="shared" si="154"/>
        <v>0</v>
      </c>
      <c r="AC85" s="72">
        <f t="shared" si="155"/>
        <v>1</v>
      </c>
      <c r="AD85" s="63">
        <f t="shared" si="150"/>
        <v>0</v>
      </c>
      <c r="AE85" s="64" t="e">
        <f>VLOOKUP(AD85,Лист1!$C:$C,1,0)</f>
        <v>#N/A</v>
      </c>
      <c r="AF85" s="53" t="e">
        <f t="shared" si="156"/>
        <v>#N/A</v>
      </c>
      <c r="AG85" s="35" t="str">
        <f t="shared" si="157"/>
        <v>0</v>
      </c>
    </row>
    <row r="86" spans="1:58">
      <c r="A86" s="24" t="str">
        <f>CONCATENATE(C86)</f>
        <v/>
      </c>
      <c r="B86" s="82">
        <v>3</v>
      </c>
      <c r="C86" s="845"/>
      <c r="D86" s="846"/>
      <c r="E86" s="846"/>
      <c r="F86" s="846"/>
      <c r="G86" s="846"/>
      <c r="H86" s="846"/>
      <c r="I86" s="846"/>
      <c r="J86" s="846"/>
      <c r="K86" s="846"/>
      <c r="L86" s="846"/>
      <c r="M86" s="846"/>
      <c r="N86" s="846"/>
      <c r="O86" s="438"/>
      <c r="P86" s="472"/>
      <c r="Q86" s="472"/>
      <c r="R86" s="200"/>
      <c r="S86" s="111"/>
      <c r="T86" s="198" t="str">
        <f t="shared" si="151"/>
        <v/>
      </c>
      <c r="U86" s="202" t="str">
        <f t="shared" si="158"/>
        <v/>
      </c>
      <c r="W86" s="131" t="str">
        <f t="shared" si="152"/>
        <v>0</v>
      </c>
      <c r="X86" s="128" t="str">
        <f>IF(OR(R86="",R86=0),"",ORDER!H105)</f>
        <v/>
      </c>
      <c r="Y86" s="64" t="str">
        <f t="shared" si="153"/>
        <v>..</v>
      </c>
      <c r="AB86" s="34">
        <f t="shared" si="154"/>
        <v>0</v>
      </c>
      <c r="AC86" s="72">
        <f t="shared" si="155"/>
        <v>1</v>
      </c>
      <c r="AD86" s="63">
        <f t="shared" si="150"/>
        <v>0</v>
      </c>
      <c r="AE86" s="64" t="e">
        <f>VLOOKUP(AD86,Лист1!$C:$C,1,0)</f>
        <v>#N/A</v>
      </c>
      <c r="AF86" s="53" t="e">
        <f t="shared" si="156"/>
        <v>#N/A</v>
      </c>
      <c r="AG86" s="35" t="str">
        <f t="shared" si="157"/>
        <v>0</v>
      </c>
    </row>
    <row r="87" spans="1:58">
      <c r="A87" s="24" t="str">
        <f>CONCATENATE(C87)</f>
        <v/>
      </c>
      <c r="B87" s="82">
        <v>4</v>
      </c>
      <c r="C87" s="845"/>
      <c r="D87" s="846"/>
      <c r="E87" s="846"/>
      <c r="F87" s="846"/>
      <c r="G87" s="846"/>
      <c r="H87" s="846"/>
      <c r="I87" s="846"/>
      <c r="J87" s="846"/>
      <c r="K87" s="846"/>
      <c r="L87" s="846"/>
      <c r="M87" s="846"/>
      <c r="N87" s="846"/>
      <c r="O87" s="438"/>
      <c r="P87" s="472"/>
      <c r="Q87" s="472"/>
      <c r="R87" s="200"/>
      <c r="S87" s="111"/>
      <c r="T87" s="198" t="str">
        <f t="shared" si="151"/>
        <v/>
      </c>
      <c r="U87" s="202" t="str">
        <f t="shared" si="158"/>
        <v/>
      </c>
      <c r="W87" s="131" t="str">
        <f t="shared" si="152"/>
        <v>0</v>
      </c>
      <c r="X87" s="128" t="str">
        <f>IF(OR(R87="",R87=0),"",ORDER!H106)</f>
        <v/>
      </c>
      <c r="Y87" s="64" t="str">
        <f t="shared" si="153"/>
        <v>..</v>
      </c>
      <c r="AB87" s="34">
        <f t="shared" si="154"/>
        <v>0</v>
      </c>
      <c r="AC87" s="72">
        <f t="shared" si="155"/>
        <v>1</v>
      </c>
      <c r="AD87" s="63">
        <f t="shared" si="150"/>
        <v>0</v>
      </c>
      <c r="AE87" s="64" t="e">
        <f>VLOOKUP(AD87,Лист1!$C:$C,1,0)</f>
        <v>#N/A</v>
      </c>
      <c r="AF87" s="53" t="e">
        <f t="shared" si="156"/>
        <v>#N/A</v>
      </c>
      <c r="AG87" s="35" t="str">
        <f t="shared" si="157"/>
        <v>0</v>
      </c>
    </row>
    <row r="88" spans="1:58">
      <c r="A88" s="24" t="str">
        <f>CONCATENATE(C88)</f>
        <v/>
      </c>
      <c r="B88" s="82">
        <v>5</v>
      </c>
      <c r="C88" s="845"/>
      <c r="D88" s="846"/>
      <c r="E88" s="846"/>
      <c r="F88" s="846"/>
      <c r="G88" s="846"/>
      <c r="H88" s="846"/>
      <c r="I88" s="846"/>
      <c r="J88" s="846"/>
      <c r="K88" s="846"/>
      <c r="L88" s="846"/>
      <c r="M88" s="846"/>
      <c r="N88" s="846"/>
      <c r="O88" s="438"/>
      <c r="P88" s="472"/>
      <c r="Q88" s="472"/>
      <c r="R88" s="200"/>
      <c r="S88" s="111"/>
      <c r="T88" s="198" t="str">
        <f t="shared" si="151"/>
        <v/>
      </c>
      <c r="U88" s="202" t="str">
        <f t="shared" si="158"/>
        <v/>
      </c>
      <c r="W88" s="131" t="str">
        <f t="shared" si="152"/>
        <v>0</v>
      </c>
      <c r="X88" s="128" t="str">
        <f>IF(OR(R88="",R88=0),"",ORDER!H107)</f>
        <v/>
      </c>
      <c r="Y88" s="64" t="str">
        <f t="shared" si="153"/>
        <v>..</v>
      </c>
      <c r="AB88" s="34">
        <f t="shared" si="154"/>
        <v>0</v>
      </c>
      <c r="AC88" s="72">
        <f t="shared" si="155"/>
        <v>1</v>
      </c>
      <c r="AD88" s="63">
        <f t="shared" si="150"/>
        <v>0</v>
      </c>
      <c r="AE88" s="64" t="e">
        <f>VLOOKUP(AD88,Лист1!$C:$C,1,0)</f>
        <v>#N/A</v>
      </c>
      <c r="AF88" s="53" t="e">
        <f t="shared" si="156"/>
        <v>#N/A</v>
      </c>
      <c r="AG88" s="35" t="str">
        <f t="shared" si="157"/>
        <v>0</v>
      </c>
    </row>
    <row r="89" spans="1:58">
      <c r="A89" s="24" t="str">
        <f t="shared" si="149"/>
        <v/>
      </c>
      <c r="B89" s="82">
        <v>6</v>
      </c>
      <c r="C89" s="845"/>
      <c r="D89" s="846"/>
      <c r="E89" s="846"/>
      <c r="F89" s="846"/>
      <c r="G89" s="846"/>
      <c r="H89" s="846"/>
      <c r="I89" s="846"/>
      <c r="J89" s="846"/>
      <c r="K89" s="846"/>
      <c r="L89" s="846"/>
      <c r="M89" s="846"/>
      <c r="N89" s="846"/>
      <c r="O89" s="438"/>
      <c r="P89" s="472"/>
      <c r="Q89" s="472"/>
      <c r="R89" s="200"/>
      <c r="S89" s="111"/>
      <c r="T89" s="198" t="str">
        <f t="shared" si="151"/>
        <v/>
      </c>
      <c r="U89" s="202" t="str">
        <f t="shared" si="158"/>
        <v/>
      </c>
      <c r="W89" s="131" t="str">
        <f t="shared" si="152"/>
        <v>0</v>
      </c>
      <c r="X89" s="128" t="str">
        <f>IF(OR(R89="",R89=0),"",ORDER!H108)</f>
        <v/>
      </c>
      <c r="Y89" s="64" t="str">
        <f t="shared" si="153"/>
        <v>..</v>
      </c>
      <c r="AB89" s="34">
        <f t="shared" si="154"/>
        <v>0</v>
      </c>
      <c r="AC89" s="72">
        <f t="shared" si="155"/>
        <v>1</v>
      </c>
      <c r="AD89" s="63">
        <f t="shared" si="150"/>
        <v>0</v>
      </c>
      <c r="AE89" s="64" t="e">
        <f>VLOOKUP(AD89,Лист1!$C:$C,1,0)</f>
        <v>#N/A</v>
      </c>
      <c r="AF89" s="53" t="e">
        <f t="shared" si="156"/>
        <v>#N/A</v>
      </c>
      <c r="AG89" s="35" t="str">
        <f t="shared" si="157"/>
        <v>0</v>
      </c>
    </row>
    <row r="90" spans="1:58">
      <c r="A90" s="24" t="str">
        <f>CONCATENATE(C90)</f>
        <v/>
      </c>
      <c r="B90" s="82">
        <v>7</v>
      </c>
      <c r="C90" s="845"/>
      <c r="D90" s="846"/>
      <c r="E90" s="846"/>
      <c r="F90" s="846"/>
      <c r="G90" s="846"/>
      <c r="H90" s="846"/>
      <c r="I90" s="846"/>
      <c r="J90" s="846"/>
      <c r="K90" s="846"/>
      <c r="L90" s="846"/>
      <c r="M90" s="846"/>
      <c r="N90" s="846"/>
      <c r="O90" s="438"/>
      <c r="P90" s="472"/>
      <c r="Q90" s="472"/>
      <c r="R90" s="200"/>
      <c r="S90" s="111"/>
      <c r="T90" s="198" t="str">
        <f t="shared" si="151"/>
        <v/>
      </c>
      <c r="U90" s="202" t="str">
        <f t="shared" si="158"/>
        <v/>
      </c>
      <c r="W90" s="131" t="str">
        <f t="shared" si="152"/>
        <v>0</v>
      </c>
      <c r="X90" s="128" t="str">
        <f>IF(OR(R90="",R90=0),"",ORDER!H109)</f>
        <v/>
      </c>
      <c r="Y90" s="64" t="str">
        <f t="shared" si="153"/>
        <v>..</v>
      </c>
      <c r="AB90" s="34">
        <f t="shared" si="154"/>
        <v>0</v>
      </c>
      <c r="AC90" s="72">
        <f t="shared" si="155"/>
        <v>1</v>
      </c>
      <c r="AD90" s="63">
        <f t="shared" si="150"/>
        <v>0</v>
      </c>
      <c r="AE90" s="64" t="e">
        <f>VLOOKUP(AD90,Лист1!$C:$C,1,0)</f>
        <v>#N/A</v>
      </c>
      <c r="AF90" s="53" t="e">
        <f t="shared" si="156"/>
        <v>#N/A</v>
      </c>
      <c r="AG90" s="35" t="str">
        <f t="shared" si="157"/>
        <v>0</v>
      </c>
    </row>
    <row r="91" spans="1:58">
      <c r="A91" s="24" t="str">
        <f>CONCATENATE(C91)</f>
        <v/>
      </c>
      <c r="B91" s="82">
        <v>8</v>
      </c>
      <c r="C91" s="845"/>
      <c r="D91" s="846"/>
      <c r="E91" s="846"/>
      <c r="F91" s="846"/>
      <c r="G91" s="846"/>
      <c r="H91" s="846"/>
      <c r="I91" s="846"/>
      <c r="J91" s="846"/>
      <c r="K91" s="846"/>
      <c r="L91" s="846"/>
      <c r="M91" s="846"/>
      <c r="N91" s="846"/>
      <c r="O91" s="438"/>
      <c r="P91" s="472"/>
      <c r="Q91" s="472"/>
      <c r="R91" s="200"/>
      <c r="S91" s="111"/>
      <c r="T91" s="198" t="str">
        <f t="shared" si="151"/>
        <v/>
      </c>
      <c r="U91" s="202" t="str">
        <f t="shared" si="158"/>
        <v/>
      </c>
      <c r="W91" s="131" t="str">
        <f t="shared" si="152"/>
        <v>0</v>
      </c>
      <c r="X91" s="128" t="str">
        <f>IF(OR(R91="",R91=0),"",ORDER!H110)</f>
        <v/>
      </c>
      <c r="Y91" s="64" t="str">
        <f t="shared" si="153"/>
        <v>..</v>
      </c>
      <c r="AB91" s="34">
        <f t="shared" si="154"/>
        <v>0</v>
      </c>
      <c r="AC91" s="72">
        <f t="shared" si="155"/>
        <v>1</v>
      </c>
      <c r="AD91" s="63">
        <f t="shared" si="150"/>
        <v>0</v>
      </c>
      <c r="AE91" s="64" t="e">
        <f>VLOOKUP(AD91,Лист1!$C:$C,1,0)</f>
        <v>#N/A</v>
      </c>
      <c r="AF91" s="53" t="e">
        <f t="shared" si="156"/>
        <v>#N/A</v>
      </c>
      <c r="AG91" s="35" t="str">
        <f t="shared" si="157"/>
        <v>0</v>
      </c>
    </row>
    <row r="92" spans="1:58">
      <c r="A92" s="24" t="str">
        <f t="shared" si="149"/>
        <v/>
      </c>
      <c r="B92" s="82">
        <v>9</v>
      </c>
      <c r="C92" s="845"/>
      <c r="D92" s="846"/>
      <c r="E92" s="846"/>
      <c r="F92" s="846"/>
      <c r="G92" s="846"/>
      <c r="H92" s="846"/>
      <c r="I92" s="846"/>
      <c r="J92" s="846"/>
      <c r="K92" s="846"/>
      <c r="L92" s="846"/>
      <c r="M92" s="846"/>
      <c r="N92" s="846"/>
      <c r="O92" s="438"/>
      <c r="P92" s="472"/>
      <c r="Q92" s="472"/>
      <c r="R92" s="200"/>
      <c r="S92" s="111"/>
      <c r="T92" s="198" t="str">
        <f t="shared" si="151"/>
        <v/>
      </c>
      <c r="U92" s="202" t="str">
        <f t="shared" si="158"/>
        <v/>
      </c>
      <c r="W92" s="131" t="str">
        <f t="shared" si="152"/>
        <v>0</v>
      </c>
      <c r="X92" s="128" t="str">
        <f>IF(OR(R92="",R92=0),"",ORDER!H111)</f>
        <v/>
      </c>
      <c r="Y92" s="64" t="str">
        <f t="shared" si="153"/>
        <v>..</v>
      </c>
      <c r="AB92" s="34">
        <f t="shared" si="154"/>
        <v>0</v>
      </c>
      <c r="AC92" s="72">
        <f t="shared" si="155"/>
        <v>1</v>
      </c>
      <c r="AD92" s="63">
        <f t="shared" si="150"/>
        <v>0</v>
      </c>
      <c r="AE92" s="64" t="e">
        <f>VLOOKUP(AD92,Лист1!$C:$C,1,0)</f>
        <v>#N/A</v>
      </c>
      <c r="AF92" s="53" t="e">
        <f t="shared" si="156"/>
        <v>#N/A</v>
      </c>
      <c r="AG92" s="35" t="str">
        <f t="shared" si="157"/>
        <v>0</v>
      </c>
    </row>
    <row r="93" spans="1:58">
      <c r="A93" s="24" t="str">
        <f t="shared" si="149"/>
        <v/>
      </c>
      <c r="B93" s="82">
        <v>10</v>
      </c>
      <c r="C93" s="855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/>
      <c r="O93" s="449"/>
      <c r="P93" s="466"/>
      <c r="Q93" s="466"/>
      <c r="R93" s="201"/>
      <c r="S93" s="187"/>
      <c r="T93" s="197" t="str">
        <f t="shared" si="151"/>
        <v/>
      </c>
      <c r="U93" s="204" t="str">
        <f t="shared" si="158"/>
        <v/>
      </c>
      <c r="W93" s="131" t="str">
        <f t="shared" si="152"/>
        <v>0</v>
      </c>
      <c r="X93" s="128" t="str">
        <f>IF(OR(R93="",R93=0),"",ORDER!H112)</f>
        <v/>
      </c>
      <c r="Y93" s="64" t="str">
        <f t="shared" si="153"/>
        <v>..</v>
      </c>
      <c r="AB93" s="34">
        <f t="shared" si="154"/>
        <v>0</v>
      </c>
      <c r="AC93" s="72">
        <f t="shared" si="155"/>
        <v>1</v>
      </c>
      <c r="AD93" s="63">
        <f t="shared" si="150"/>
        <v>0</v>
      </c>
      <c r="AE93" s="64" t="e">
        <f>VLOOKUP(AD93,Лист1!$C:$C,1,0)</f>
        <v>#N/A</v>
      </c>
      <c r="AF93" s="53" t="e">
        <f t="shared" si="156"/>
        <v>#N/A</v>
      </c>
      <c r="AG93" s="35" t="str">
        <f t="shared" si="157"/>
        <v>0</v>
      </c>
    </row>
    <row r="94" spans="1:58">
      <c r="B94" s="189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W94" s="132"/>
      <c r="X94" s="128"/>
    </row>
    <row r="95" spans="1:58">
      <c r="B95" s="5" t="s">
        <v>5416</v>
      </c>
      <c r="D95" s="856"/>
      <c r="E95" s="856"/>
      <c r="F95" s="85"/>
      <c r="G95" s="13"/>
      <c r="J95" s="844"/>
      <c r="K95" s="844"/>
      <c r="L95" s="88"/>
      <c r="M95" s="88"/>
      <c r="N95" s="89"/>
      <c r="O95" s="209"/>
      <c r="P95" s="209"/>
      <c r="Q95" s="209"/>
      <c r="R95" s="14" t="s">
        <v>94</v>
      </c>
      <c r="W95" s="132"/>
      <c r="X95" s="130">
        <f>SUM(W10:W96)</f>
        <v>0</v>
      </c>
    </row>
    <row r="96" spans="1:58">
      <c r="B96" s="5"/>
      <c r="D96" s="853" t="s">
        <v>454</v>
      </c>
      <c r="E96" s="853"/>
      <c r="F96" s="853"/>
      <c r="G96" s="15"/>
      <c r="J96" s="853" t="s">
        <v>5417</v>
      </c>
      <c r="K96" s="853"/>
      <c r="L96" s="853"/>
      <c r="M96" s="853"/>
      <c r="N96" s="853"/>
      <c r="O96" s="210"/>
      <c r="P96" s="210"/>
      <c r="Q96" s="210"/>
    </row>
    <row r="97" spans="2:21" ht="13.8" thickBot="1">
      <c r="B97" s="16"/>
      <c r="C97" s="6"/>
      <c r="D97" s="6"/>
      <c r="E97" s="6"/>
      <c r="F97" s="6"/>
      <c r="G97" s="6"/>
      <c r="H97" s="17"/>
      <c r="I97" s="17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2:21" ht="5.0999999999999996" customHeight="1">
      <c r="B98" s="18"/>
      <c r="C98" s="8"/>
      <c r="D98" s="8"/>
      <c r="E98" s="8"/>
      <c r="F98" s="8"/>
      <c r="G98" s="8"/>
      <c r="H98" s="19"/>
      <c r="I98" s="19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2:21">
      <c r="C99" s="5"/>
      <c r="E99" s="5"/>
      <c r="F99" s="5"/>
      <c r="G99" s="5"/>
      <c r="H99" s="5"/>
      <c r="I99" s="5"/>
      <c r="K99" s="5"/>
      <c r="L99" s="5"/>
      <c r="M99" s="5"/>
      <c r="N99" s="5"/>
      <c r="O99" s="5"/>
      <c r="P99" s="5"/>
      <c r="Q99" s="5"/>
    </row>
  </sheetData>
  <sheetCalcPr fullCalcOnLoad="1"/>
  <sheetProtection password="DB76" sheet="1" objects="1" scenarios="1"/>
  <mergeCells count="144">
    <mergeCell ref="AX28:BA28"/>
    <mergeCell ref="CB46:CE46"/>
    <mergeCell ref="AD46:AG46"/>
    <mergeCell ref="AI46:AL46"/>
    <mergeCell ref="AN46:AQ46"/>
    <mergeCell ref="AS46:AV46"/>
    <mergeCell ref="AX46:BA46"/>
    <mergeCell ref="BR46:BU46"/>
    <mergeCell ref="AX10:BA10"/>
    <mergeCell ref="I53:K53"/>
    <mergeCell ref="O6:Q6"/>
    <mergeCell ref="O5:Q5"/>
    <mergeCell ref="CB28:CE28"/>
    <mergeCell ref="BH28:BK28"/>
    <mergeCell ref="BM28:BP28"/>
    <mergeCell ref="BR28:BU28"/>
    <mergeCell ref="BW28:BZ28"/>
    <mergeCell ref="AS28:AV28"/>
    <mergeCell ref="T2:U2"/>
    <mergeCell ref="I51:K51"/>
    <mergeCell ref="I50:K50"/>
    <mergeCell ref="L57:M57"/>
    <mergeCell ref="I5:K5"/>
    <mergeCell ref="BC46:BF46"/>
    <mergeCell ref="BC28:BF28"/>
    <mergeCell ref="AI10:AL10"/>
    <mergeCell ref="AN10:AQ10"/>
    <mergeCell ref="AS10:AV10"/>
    <mergeCell ref="L53:M53"/>
    <mergeCell ref="I48:K48"/>
    <mergeCell ref="L48:M48"/>
    <mergeCell ref="I52:K52"/>
    <mergeCell ref="BC64:BF64"/>
    <mergeCell ref="I49:K49"/>
    <mergeCell ref="I64:J64"/>
    <mergeCell ref="L59:M59"/>
    <mergeCell ref="T6:U6"/>
    <mergeCell ref="I59:K59"/>
    <mergeCell ref="BM64:BP64"/>
    <mergeCell ref="B2:D2"/>
    <mergeCell ref="G2:J2"/>
    <mergeCell ref="G4:H4"/>
    <mergeCell ref="G6:H6"/>
    <mergeCell ref="G5:H5"/>
    <mergeCell ref="I46:K46"/>
    <mergeCell ref="L49:M49"/>
    <mergeCell ref="L52:M52"/>
    <mergeCell ref="AD28:AG28"/>
    <mergeCell ref="AN28:AQ28"/>
    <mergeCell ref="L46:M46"/>
    <mergeCell ref="AI28:AL28"/>
    <mergeCell ref="AD10:AG10"/>
    <mergeCell ref="L50:M50"/>
    <mergeCell ref="L51:M51"/>
    <mergeCell ref="I6:K6"/>
    <mergeCell ref="AS72:AV72"/>
    <mergeCell ref="AD64:AG64"/>
    <mergeCell ref="AN72:AQ72"/>
    <mergeCell ref="I65:J65"/>
    <mergeCell ref="L61:M61"/>
    <mergeCell ref="I60:K60"/>
    <mergeCell ref="L47:M47"/>
    <mergeCell ref="I47:K47"/>
    <mergeCell ref="L60:M60"/>
    <mergeCell ref="AX64:BA64"/>
    <mergeCell ref="AI72:AL72"/>
    <mergeCell ref="I72:N72"/>
    <mergeCell ref="I61:K61"/>
    <mergeCell ref="O2:R2"/>
    <mergeCell ref="I4:R4"/>
    <mergeCell ref="L5:M5"/>
    <mergeCell ref="T4:U4"/>
    <mergeCell ref="T5:U5"/>
    <mergeCell ref="L6:M6"/>
    <mergeCell ref="I67:J67"/>
    <mergeCell ref="K69:N69"/>
    <mergeCell ref="K64:N64"/>
    <mergeCell ref="I68:J68"/>
    <mergeCell ref="I55:K55"/>
    <mergeCell ref="I54:K54"/>
    <mergeCell ref="K68:N68"/>
    <mergeCell ref="I69:J69"/>
    <mergeCell ref="I56:K56"/>
    <mergeCell ref="L56:M56"/>
    <mergeCell ref="BC72:BF72"/>
    <mergeCell ref="AI64:AL64"/>
    <mergeCell ref="AN64:AQ64"/>
    <mergeCell ref="AS64:AV64"/>
    <mergeCell ref="L55:M55"/>
    <mergeCell ref="L54:M54"/>
    <mergeCell ref="K65:N65"/>
    <mergeCell ref="K66:N66"/>
    <mergeCell ref="I57:K57"/>
    <mergeCell ref="AX72:BA72"/>
    <mergeCell ref="C73:D73"/>
    <mergeCell ref="I75:N75"/>
    <mergeCell ref="I79:N79"/>
    <mergeCell ref="C74:D74"/>
    <mergeCell ref="I74:N74"/>
    <mergeCell ref="C78:D78"/>
    <mergeCell ref="C77:D77"/>
    <mergeCell ref="C93:N93"/>
    <mergeCell ref="C86:N86"/>
    <mergeCell ref="C87:N87"/>
    <mergeCell ref="I78:N78"/>
    <mergeCell ref="C79:D79"/>
    <mergeCell ref="C76:D76"/>
    <mergeCell ref="C91:N91"/>
    <mergeCell ref="C89:N89"/>
    <mergeCell ref="C92:N92"/>
    <mergeCell ref="C84:N84"/>
    <mergeCell ref="C83:G83"/>
    <mergeCell ref="C85:N85"/>
    <mergeCell ref="C88:N88"/>
    <mergeCell ref="I66:J66"/>
    <mergeCell ref="L58:M58"/>
    <mergeCell ref="C72:D72"/>
    <mergeCell ref="I73:N73"/>
    <mergeCell ref="D96:F96"/>
    <mergeCell ref="J96:N96"/>
    <mergeCell ref="I81:N81"/>
    <mergeCell ref="C82:D82"/>
    <mergeCell ref="C81:D81"/>
    <mergeCell ref="D95:E95"/>
    <mergeCell ref="BM10:BP10"/>
    <mergeCell ref="BR10:BU10"/>
    <mergeCell ref="CL10:CO10"/>
    <mergeCell ref="I77:N77"/>
    <mergeCell ref="C75:D75"/>
    <mergeCell ref="C80:D80"/>
    <mergeCell ref="I80:N80"/>
    <mergeCell ref="I76:N76"/>
    <mergeCell ref="I58:K58"/>
    <mergeCell ref="K67:N67"/>
    <mergeCell ref="AD83:AG83"/>
    <mergeCell ref="I82:N82"/>
    <mergeCell ref="J95:K95"/>
    <mergeCell ref="C90:N90"/>
    <mergeCell ref="CQ10:CT10"/>
    <mergeCell ref="BW10:BZ10"/>
    <mergeCell ref="CB10:CE10"/>
    <mergeCell ref="CG10:CJ10"/>
    <mergeCell ref="BC10:BF10"/>
    <mergeCell ref="BH10:BK10"/>
  </mergeCells>
  <phoneticPr fontId="0" type="noConversion"/>
  <conditionalFormatting sqref="F65:G69">
    <cfRule type="expression" dxfId="4328" priority="4280" stopIfTrue="1">
      <formula>AND(NOT($C65=""),F65="")</formula>
    </cfRule>
  </conditionalFormatting>
  <conditionalFormatting sqref="M29:M43 M11:M25">
    <cfRule type="expression" dxfId="4327" priority="4281" stopIfTrue="1">
      <formula>BZ11="0"</formula>
    </cfRule>
  </conditionalFormatting>
  <conditionalFormatting sqref="D47:D61 D29:D43 D11:D25 D65:D69">
    <cfRule type="expression" dxfId="4326" priority="4282" stopIfTrue="1">
      <formula>AND(NOT($C11=""),D11="")</formula>
    </cfRule>
    <cfRule type="expression" dxfId="4325" priority="4283" stopIfTrue="1">
      <formula>AG11="0"</formula>
    </cfRule>
  </conditionalFormatting>
  <conditionalFormatting sqref="E73 E47:E61 E75:E82 E29:E43 E11:E25 E65:E69">
    <cfRule type="expression" dxfId="4324" priority="4284" stopIfTrue="1">
      <formula>AND(NOT($C11=""),E11="")</formula>
    </cfRule>
    <cfRule type="expression" dxfId="4323" priority="4285" stopIfTrue="1">
      <formula>AL11="0"</formula>
    </cfRule>
  </conditionalFormatting>
  <conditionalFormatting sqref="F73 F47:F61 F75:F82 F29:F43 F11:F25">
    <cfRule type="expression" dxfId="4322" priority="4286" stopIfTrue="1">
      <formula>AND(NOT($C11=""),F11="")</formula>
    </cfRule>
    <cfRule type="expression" dxfId="4321" priority="4287" stopIfTrue="1">
      <formula>AQ11="0"</formula>
    </cfRule>
  </conditionalFormatting>
  <conditionalFormatting sqref="G47:G61 G73:G82 G29:G43 G11:G25">
    <cfRule type="expression" dxfId="4320" priority="4288" stopIfTrue="1">
      <formula>AND(NOT($C11=""),G11="")</formula>
    </cfRule>
    <cfRule type="expression" dxfId="4319" priority="4289" stopIfTrue="1">
      <formula>AV11="0"</formula>
    </cfRule>
  </conditionalFormatting>
  <conditionalFormatting sqref="H47:H61 H73:H82 H29:H43 H11:H25 H65:H69">
    <cfRule type="expression" dxfId="4318" priority="4290" stopIfTrue="1">
      <formula>AND(NOT($C11=""),H11="")</formula>
    </cfRule>
    <cfRule type="expression" dxfId="4317" priority="4291" stopIfTrue="1">
      <formula>BA11="0"</formula>
    </cfRule>
  </conditionalFormatting>
  <conditionalFormatting sqref="I47:I61 I73:I82 I29:I43 I11:I25 I65:I69">
    <cfRule type="expression" dxfId="4316" priority="4292" stopIfTrue="1">
      <formula>AND(NOT($C11=""),I11="")</formula>
    </cfRule>
    <cfRule type="expression" dxfId="4315" priority="4293" stopIfTrue="1">
      <formula>BF11="0"</formula>
    </cfRule>
  </conditionalFormatting>
  <conditionalFormatting sqref="J29:J43 J11:J25">
    <cfRule type="expression" dxfId="4314" priority="4294" stopIfTrue="1">
      <formula>AND(NOT($C11=""),J11="")</formula>
    </cfRule>
    <cfRule type="expression" dxfId="4313" priority="4295" stopIfTrue="1">
      <formula>BK11="0"</formula>
    </cfRule>
  </conditionalFormatting>
  <conditionalFormatting sqref="K29:K43 K11:K25 K65:K69">
    <cfRule type="expression" dxfId="4312" priority="4296" stopIfTrue="1">
      <formula>AND(NOT($C11=""),K11="")</formula>
    </cfRule>
    <cfRule type="expression" dxfId="4311" priority="4297" stopIfTrue="1">
      <formula>BP11="0"</formula>
    </cfRule>
  </conditionalFormatting>
  <conditionalFormatting sqref="L47:L61 L29:L43 L11:L25">
    <cfRule type="expression" dxfId="4310" priority="4298" stopIfTrue="1">
      <formula>AND(NOT($C11=""),L11="")</formula>
    </cfRule>
    <cfRule type="expression" dxfId="4309" priority="4299" stopIfTrue="1">
      <formula>BU11="0"</formula>
    </cfRule>
  </conditionalFormatting>
  <conditionalFormatting sqref="N47:N61 N29:N43 N11:N25">
    <cfRule type="expression" dxfId="4308" priority="4300" stopIfTrue="1">
      <formula>AND(NOT($C11=""),N11="")</formula>
    </cfRule>
    <cfRule type="expression" dxfId="4307" priority="4301" stopIfTrue="1">
      <formula>CE11="0"</formula>
    </cfRule>
  </conditionalFormatting>
  <conditionalFormatting sqref="O11:O25">
    <cfRule type="expression" dxfId="4306" priority="4302" stopIfTrue="1">
      <formula>AND(NOT($C11=""),O11="")</formula>
    </cfRule>
    <cfRule type="expression" dxfId="4305" priority="4303" stopIfTrue="1">
      <formula>CJ11="0"</formula>
    </cfRule>
  </conditionalFormatting>
  <conditionalFormatting sqref="P11:P25">
    <cfRule type="expression" dxfId="4304" priority="4304" stopIfTrue="1">
      <formula>AND(NOT($C11=""),P11="")</formula>
    </cfRule>
    <cfRule type="expression" dxfId="4303" priority="4305" stopIfTrue="1">
      <formula>CO11="0"</formula>
    </cfRule>
  </conditionalFormatting>
  <conditionalFormatting sqref="Q11:Q25">
    <cfRule type="expression" dxfId="4302" priority="4306" stopIfTrue="1">
      <formula>AND(NOT($C11=""),Q11="")</formula>
    </cfRule>
    <cfRule type="expression" dxfId="4301" priority="4307" stopIfTrue="1">
      <formula>CT11="0"</formula>
    </cfRule>
  </conditionalFormatting>
  <conditionalFormatting sqref="T5">
    <cfRule type="expression" dxfId="4300" priority="4308" stopIfTrue="1">
      <formula>T5=0</formula>
    </cfRule>
  </conditionalFormatting>
  <conditionalFormatting sqref="S4:S6 I5:K6 I4">
    <cfRule type="expression" dxfId="4299" priority="4309" stopIfTrue="1">
      <formula>I4=""</formula>
    </cfRule>
  </conditionalFormatting>
  <conditionalFormatting sqref="N6">
    <cfRule type="expression" dxfId="4298" priority="4310" stopIfTrue="1">
      <formula>N6=""</formula>
    </cfRule>
  </conditionalFormatting>
  <conditionalFormatting sqref="N5">
    <cfRule type="expression" dxfId="4297" priority="4311" stopIfTrue="1">
      <formula>N5=""</formula>
    </cfRule>
    <cfRule type="expression" dxfId="4296" priority="4312" stopIfTrue="1">
      <formula>N5="нет"</formula>
    </cfRule>
  </conditionalFormatting>
  <conditionalFormatting sqref="E74">
    <cfRule type="expression" dxfId="4295" priority="4315" stopIfTrue="1">
      <formula>AND(NOT($C74=""),E74="")</formula>
    </cfRule>
    <cfRule type="expression" dxfId="4294" priority="4316" stopIfTrue="1">
      <formula>AQ74="0"</formula>
    </cfRule>
  </conditionalFormatting>
  <conditionalFormatting sqref="E74">
    <cfRule type="expression" dxfId="4293" priority="4278" stopIfTrue="1">
      <formula>AND(NOT($C74=""),E74="")</formula>
    </cfRule>
    <cfRule type="expression" dxfId="4292" priority="4279" stopIfTrue="1">
      <formula>AL74="0"</formula>
    </cfRule>
  </conditionalFormatting>
  <conditionalFormatting sqref="E74">
    <cfRule type="expression" dxfId="4291" priority="4276" stopIfTrue="1">
      <formula>AND(NOT($C74=""),E74="")</formula>
    </cfRule>
    <cfRule type="expression" dxfId="4290" priority="4277" stopIfTrue="1">
      <formula>AL74="0"</formula>
    </cfRule>
  </conditionalFormatting>
  <conditionalFormatting sqref="F74">
    <cfRule type="expression" dxfId="4289" priority="4274" stopIfTrue="1">
      <formula>AND(NOT($C74=""),F74="")</formula>
    </cfRule>
    <cfRule type="expression" dxfId="4288" priority="4275" stopIfTrue="1">
      <formula>AQ74="0"</formula>
    </cfRule>
  </conditionalFormatting>
  <conditionalFormatting sqref="E74">
    <cfRule type="expression" dxfId="4287" priority="4272" stopIfTrue="1">
      <formula>AND(NOT($C74=""),E74="")</formula>
    </cfRule>
    <cfRule type="expression" dxfId="4286" priority="4273" stopIfTrue="1">
      <formula>AL74="0"</formula>
    </cfRule>
  </conditionalFormatting>
  <conditionalFormatting sqref="E74">
    <cfRule type="expression" dxfId="4285" priority="4270" stopIfTrue="1">
      <formula>AND(NOT($C74=""),E74="")</formula>
    </cfRule>
    <cfRule type="expression" dxfId="4284" priority="4271" stopIfTrue="1">
      <formula>AL74="0"</formula>
    </cfRule>
  </conditionalFormatting>
  <conditionalFormatting sqref="F74">
    <cfRule type="expression" dxfId="4283" priority="4268" stopIfTrue="1">
      <formula>AND(NOT($C74=""),F74="")</formula>
    </cfRule>
    <cfRule type="expression" dxfId="4282" priority="4269" stopIfTrue="1">
      <formula>AQ74="0"</formula>
    </cfRule>
  </conditionalFormatting>
  <conditionalFormatting sqref="E75">
    <cfRule type="expression" dxfId="4281" priority="4266" stopIfTrue="1">
      <formula>AND(NOT($C75=""),E75="")</formula>
    </cfRule>
    <cfRule type="expression" dxfId="4280" priority="4267" stopIfTrue="1">
      <formula>AQ75="0"</formula>
    </cfRule>
  </conditionalFormatting>
  <conditionalFormatting sqref="E75">
    <cfRule type="expression" dxfId="4279" priority="4264" stopIfTrue="1">
      <formula>AND(NOT($C75=""),E75="")</formula>
    </cfRule>
    <cfRule type="expression" dxfId="4278" priority="4265" stopIfTrue="1">
      <formula>AL75="0"</formula>
    </cfRule>
  </conditionalFormatting>
  <conditionalFormatting sqref="E75">
    <cfRule type="expression" dxfId="4277" priority="4262" stopIfTrue="1">
      <formula>AND(NOT($C75=""),E75="")</formula>
    </cfRule>
    <cfRule type="expression" dxfId="4276" priority="4263" stopIfTrue="1">
      <formula>AL75="0"</formula>
    </cfRule>
  </conditionalFormatting>
  <conditionalFormatting sqref="F75">
    <cfRule type="expression" dxfId="4275" priority="4260" stopIfTrue="1">
      <formula>AND(NOT($C75=""),F75="")</formula>
    </cfRule>
    <cfRule type="expression" dxfId="4274" priority="4261" stopIfTrue="1">
      <formula>AQ75="0"</formula>
    </cfRule>
  </conditionalFormatting>
  <conditionalFormatting sqref="E75">
    <cfRule type="expression" dxfId="4273" priority="4258" stopIfTrue="1">
      <formula>AND(NOT($C75=""),E75="")</formula>
    </cfRule>
    <cfRule type="expression" dxfId="4272" priority="4259" stopIfTrue="1">
      <formula>AL75="0"</formula>
    </cfRule>
  </conditionalFormatting>
  <conditionalFormatting sqref="E75">
    <cfRule type="expression" dxfId="4271" priority="4256" stopIfTrue="1">
      <formula>AND(NOT($C75=""),E75="")</formula>
    </cfRule>
    <cfRule type="expression" dxfId="4270" priority="4257" stopIfTrue="1">
      <formula>AL75="0"</formula>
    </cfRule>
  </conditionalFormatting>
  <conditionalFormatting sqref="F75">
    <cfRule type="expression" dxfId="4269" priority="4254" stopIfTrue="1">
      <formula>AND(NOT($C75=""),F75="")</formula>
    </cfRule>
    <cfRule type="expression" dxfId="4268" priority="4255" stopIfTrue="1">
      <formula>AQ75="0"</formula>
    </cfRule>
  </conditionalFormatting>
  <conditionalFormatting sqref="E74">
    <cfRule type="expression" dxfId="4267" priority="4252" stopIfTrue="1">
      <formula>AND(NOT($C74=""),E74="")</formula>
    </cfRule>
    <cfRule type="expression" dxfId="4266" priority="4253" stopIfTrue="1">
      <formula>AL74="0"</formula>
    </cfRule>
  </conditionalFormatting>
  <conditionalFormatting sqref="F74">
    <cfRule type="expression" dxfId="4265" priority="4250" stopIfTrue="1">
      <formula>AND(NOT($C74=""),F74="")</formula>
    </cfRule>
    <cfRule type="expression" dxfId="4264" priority="4251" stopIfTrue="1">
      <formula>AQ74="0"</formula>
    </cfRule>
  </conditionalFormatting>
  <conditionalFormatting sqref="E74">
    <cfRule type="expression" dxfId="4263" priority="4248" stopIfTrue="1">
      <formula>AND(NOT($C74=""),E74="")</formula>
    </cfRule>
    <cfRule type="expression" dxfId="4262" priority="4249" stopIfTrue="1">
      <formula>AL74="0"</formula>
    </cfRule>
  </conditionalFormatting>
  <conditionalFormatting sqref="F74">
    <cfRule type="expression" dxfId="4261" priority="4246" stopIfTrue="1">
      <formula>AND(NOT($C74=""),F74="")</formula>
    </cfRule>
    <cfRule type="expression" dxfId="4260" priority="4247" stopIfTrue="1">
      <formula>AQ74="0"</formula>
    </cfRule>
  </conditionalFormatting>
  <conditionalFormatting sqref="M29">
    <cfRule type="expression" dxfId="4259" priority="4245" stopIfTrue="1">
      <formula>BZ29="0"</formula>
    </cfRule>
  </conditionalFormatting>
  <conditionalFormatting sqref="D29">
    <cfRule type="expression" dxfId="4258" priority="4243" stopIfTrue="1">
      <formula>AND(NOT($C29=""),D29="")</formula>
    </cfRule>
    <cfRule type="expression" dxfId="4257" priority="4244" stopIfTrue="1">
      <formula>AG29="0"</formula>
    </cfRule>
  </conditionalFormatting>
  <conditionalFormatting sqref="E29">
    <cfRule type="expression" dxfId="4256" priority="4241" stopIfTrue="1">
      <formula>AND(NOT($C29=""),E29="")</formula>
    </cfRule>
    <cfRule type="expression" dxfId="4255" priority="4242" stopIfTrue="1">
      <formula>AL29="0"</formula>
    </cfRule>
  </conditionalFormatting>
  <conditionalFormatting sqref="F29">
    <cfRule type="expression" dxfId="4254" priority="4239" stopIfTrue="1">
      <formula>AND(NOT($C29=""),F29="")</formula>
    </cfRule>
    <cfRule type="expression" dxfId="4253" priority="4240" stopIfTrue="1">
      <formula>AQ29="0"</formula>
    </cfRule>
  </conditionalFormatting>
  <conditionalFormatting sqref="G29">
    <cfRule type="expression" dxfId="4252" priority="4237" stopIfTrue="1">
      <formula>AND(NOT($C29=""),G29="")</formula>
    </cfRule>
    <cfRule type="expression" dxfId="4251" priority="4238" stopIfTrue="1">
      <formula>AV29="0"</formula>
    </cfRule>
  </conditionalFormatting>
  <conditionalFormatting sqref="H29">
    <cfRule type="expression" dxfId="4250" priority="4235" stopIfTrue="1">
      <formula>AND(NOT($C29=""),H29="")</formula>
    </cfRule>
    <cfRule type="expression" dxfId="4249" priority="4236" stopIfTrue="1">
      <formula>BA29="0"</formula>
    </cfRule>
  </conditionalFormatting>
  <conditionalFormatting sqref="I29">
    <cfRule type="expression" dxfId="4248" priority="4233" stopIfTrue="1">
      <formula>AND(NOT($C29=""),I29="")</formula>
    </cfRule>
    <cfRule type="expression" dxfId="4247" priority="4234" stopIfTrue="1">
      <formula>BF29="0"</formula>
    </cfRule>
  </conditionalFormatting>
  <conditionalFormatting sqref="J29">
    <cfRule type="expression" dxfId="4246" priority="4231" stopIfTrue="1">
      <formula>AND(NOT($C29=""),J29="")</formula>
    </cfRule>
    <cfRule type="expression" dxfId="4245" priority="4232" stopIfTrue="1">
      <formula>BK29="0"</formula>
    </cfRule>
  </conditionalFormatting>
  <conditionalFormatting sqref="K29">
    <cfRule type="expression" dxfId="4244" priority="4229" stopIfTrue="1">
      <formula>AND(NOT($C29=""),K29="")</formula>
    </cfRule>
    <cfRule type="expression" dxfId="4243" priority="4230" stopIfTrue="1">
      <formula>BP29="0"</formula>
    </cfRule>
  </conditionalFormatting>
  <conditionalFormatting sqref="L29">
    <cfRule type="expression" dxfId="4242" priority="4227" stopIfTrue="1">
      <formula>AND(NOT($C29=""),L29="")</formula>
    </cfRule>
    <cfRule type="expression" dxfId="4241" priority="4228" stopIfTrue="1">
      <formula>BU29="0"</formula>
    </cfRule>
  </conditionalFormatting>
  <conditionalFormatting sqref="N29">
    <cfRule type="expression" dxfId="4240" priority="4225" stopIfTrue="1">
      <formula>AND(NOT($C29=""),N29="")</formula>
    </cfRule>
    <cfRule type="expression" dxfId="4239" priority="4226" stopIfTrue="1">
      <formula>CE29="0"</formula>
    </cfRule>
  </conditionalFormatting>
  <conditionalFormatting sqref="M30">
    <cfRule type="expression" dxfId="4238" priority="4224" stopIfTrue="1">
      <formula>BZ30="0"</formula>
    </cfRule>
  </conditionalFormatting>
  <conditionalFormatting sqref="D30">
    <cfRule type="expression" dxfId="4237" priority="4222" stopIfTrue="1">
      <formula>AND(NOT($C30=""),D30="")</formula>
    </cfRule>
    <cfRule type="expression" dxfId="4236" priority="4223" stopIfTrue="1">
      <formula>AG30="0"</formula>
    </cfRule>
  </conditionalFormatting>
  <conditionalFormatting sqref="E30">
    <cfRule type="expression" dxfId="4235" priority="4220" stopIfTrue="1">
      <formula>AND(NOT($C30=""),E30="")</formula>
    </cfRule>
    <cfRule type="expression" dxfId="4234" priority="4221" stopIfTrue="1">
      <formula>AL30="0"</formula>
    </cfRule>
  </conditionalFormatting>
  <conditionalFormatting sqref="F30">
    <cfRule type="expression" dxfId="4233" priority="4218" stopIfTrue="1">
      <formula>AND(NOT($C30=""),F30="")</formula>
    </cfRule>
    <cfRule type="expression" dxfId="4232" priority="4219" stopIfTrue="1">
      <formula>AQ30="0"</formula>
    </cfRule>
  </conditionalFormatting>
  <conditionalFormatting sqref="G30">
    <cfRule type="expression" dxfId="4231" priority="4216" stopIfTrue="1">
      <formula>AND(NOT($C30=""),G30="")</formula>
    </cfRule>
    <cfRule type="expression" dxfId="4230" priority="4217" stopIfTrue="1">
      <formula>AV30="0"</formula>
    </cfRule>
  </conditionalFormatting>
  <conditionalFormatting sqref="H30">
    <cfRule type="expression" dxfId="4229" priority="4214" stopIfTrue="1">
      <formula>AND(NOT($C30=""),H30="")</formula>
    </cfRule>
    <cfRule type="expression" dxfId="4228" priority="4215" stopIfTrue="1">
      <formula>BA30="0"</formula>
    </cfRule>
  </conditionalFormatting>
  <conditionalFormatting sqref="I30">
    <cfRule type="expression" dxfId="4227" priority="4212" stopIfTrue="1">
      <formula>AND(NOT($C30=""),I30="")</formula>
    </cfRule>
    <cfRule type="expression" dxfId="4226" priority="4213" stopIfTrue="1">
      <formula>BF30="0"</formula>
    </cfRule>
  </conditionalFormatting>
  <conditionalFormatting sqref="J30">
    <cfRule type="expression" dxfId="4225" priority="4210" stopIfTrue="1">
      <formula>AND(NOT($C30=""),J30="")</formula>
    </cfRule>
    <cfRule type="expression" dxfId="4224" priority="4211" stopIfTrue="1">
      <formula>BK30="0"</formula>
    </cfRule>
  </conditionalFormatting>
  <conditionalFormatting sqref="K30">
    <cfRule type="expression" dxfId="4223" priority="4208" stopIfTrue="1">
      <formula>AND(NOT($C30=""),K30="")</formula>
    </cfRule>
    <cfRule type="expression" dxfId="4222" priority="4209" stopIfTrue="1">
      <formula>BP30="0"</formula>
    </cfRule>
  </conditionalFormatting>
  <conditionalFormatting sqref="L30">
    <cfRule type="expression" dxfId="4221" priority="4206" stopIfTrue="1">
      <formula>AND(NOT($C30=""),L30="")</formula>
    </cfRule>
    <cfRule type="expression" dxfId="4220" priority="4207" stopIfTrue="1">
      <formula>BU30="0"</formula>
    </cfRule>
  </conditionalFormatting>
  <conditionalFormatting sqref="N30">
    <cfRule type="expression" dxfId="4219" priority="4204" stopIfTrue="1">
      <formula>AND(NOT($C30=""),N30="")</formula>
    </cfRule>
    <cfRule type="expression" dxfId="4218" priority="4205" stopIfTrue="1">
      <formula>CE30="0"</formula>
    </cfRule>
  </conditionalFormatting>
  <conditionalFormatting sqref="M11">
    <cfRule type="expression" dxfId="4217" priority="4203" stopIfTrue="1">
      <formula>BZ11="0"</formula>
    </cfRule>
  </conditionalFormatting>
  <conditionalFormatting sqref="D11">
    <cfRule type="expression" dxfId="4216" priority="4201" stopIfTrue="1">
      <formula>AND(NOT($C11=""),D11="")</formula>
    </cfRule>
    <cfRule type="expression" dxfId="4215" priority="4202" stopIfTrue="1">
      <formula>AG11="0"</formula>
    </cfRule>
  </conditionalFormatting>
  <conditionalFormatting sqref="E11">
    <cfRule type="expression" dxfId="4214" priority="4199" stopIfTrue="1">
      <formula>AND(NOT($C11=""),E11="")</formula>
    </cfRule>
    <cfRule type="expression" dxfId="4213" priority="4200" stopIfTrue="1">
      <formula>AL11="0"</formula>
    </cfRule>
  </conditionalFormatting>
  <conditionalFormatting sqref="F11">
    <cfRule type="expression" dxfId="4212" priority="4197" stopIfTrue="1">
      <formula>AND(NOT($C11=""),F11="")</formula>
    </cfRule>
    <cfRule type="expression" dxfId="4211" priority="4198" stopIfTrue="1">
      <formula>AQ11="0"</formula>
    </cfRule>
  </conditionalFormatting>
  <conditionalFormatting sqref="G11">
    <cfRule type="expression" dxfId="4210" priority="4195" stopIfTrue="1">
      <formula>AND(NOT($C11=""),G11="")</formula>
    </cfRule>
    <cfRule type="expression" dxfId="4209" priority="4196" stopIfTrue="1">
      <formula>AV11="0"</formula>
    </cfRule>
  </conditionalFormatting>
  <conditionalFormatting sqref="H11">
    <cfRule type="expression" dxfId="4208" priority="4193" stopIfTrue="1">
      <formula>AND(NOT($C11=""),H11="")</formula>
    </cfRule>
    <cfRule type="expression" dxfId="4207" priority="4194" stopIfTrue="1">
      <formula>BA11="0"</formula>
    </cfRule>
  </conditionalFormatting>
  <conditionalFormatting sqref="I11">
    <cfRule type="expression" dxfId="4206" priority="4191" stopIfTrue="1">
      <formula>AND(NOT($C11=""),I11="")</formula>
    </cfRule>
    <cfRule type="expression" dxfId="4205" priority="4192" stopIfTrue="1">
      <formula>BF11="0"</formula>
    </cfRule>
  </conditionalFormatting>
  <conditionalFormatting sqref="J11">
    <cfRule type="expression" dxfId="4204" priority="4189" stopIfTrue="1">
      <formula>AND(NOT($C11=""),J11="")</formula>
    </cfRule>
    <cfRule type="expression" dxfId="4203" priority="4190" stopIfTrue="1">
      <formula>BK11="0"</formula>
    </cfRule>
  </conditionalFormatting>
  <conditionalFormatting sqref="K11">
    <cfRule type="expression" dxfId="4202" priority="4187" stopIfTrue="1">
      <formula>AND(NOT($C11=""),K11="")</formula>
    </cfRule>
    <cfRule type="expression" dxfId="4201" priority="4188" stopIfTrue="1">
      <formula>BP11="0"</formula>
    </cfRule>
  </conditionalFormatting>
  <conditionalFormatting sqref="L11">
    <cfRule type="expression" dxfId="4200" priority="4185" stopIfTrue="1">
      <formula>AND(NOT($C11=""),L11="")</formula>
    </cfRule>
    <cfRule type="expression" dxfId="4199" priority="4186" stopIfTrue="1">
      <formula>BU11="0"</formula>
    </cfRule>
  </conditionalFormatting>
  <conditionalFormatting sqref="N11">
    <cfRule type="expression" dxfId="4198" priority="4183" stopIfTrue="1">
      <formula>AND(NOT($C11=""),N11="")</formula>
    </cfRule>
    <cfRule type="expression" dxfId="4197" priority="4184" stopIfTrue="1">
      <formula>CE11="0"</formula>
    </cfRule>
  </conditionalFormatting>
  <conditionalFormatting sqref="M12">
    <cfRule type="expression" dxfId="4196" priority="4182" stopIfTrue="1">
      <formula>BZ12="0"</formula>
    </cfRule>
  </conditionalFormatting>
  <conditionalFormatting sqref="D12">
    <cfRule type="expression" dxfId="4195" priority="4180" stopIfTrue="1">
      <formula>AND(NOT($C12=""),D12="")</formula>
    </cfRule>
    <cfRule type="expression" dxfId="4194" priority="4181" stopIfTrue="1">
      <formula>AG12="0"</formula>
    </cfRule>
  </conditionalFormatting>
  <conditionalFormatting sqref="E12">
    <cfRule type="expression" dxfId="4193" priority="4178" stopIfTrue="1">
      <formula>AND(NOT($C12=""),E12="")</formula>
    </cfRule>
    <cfRule type="expression" dxfId="4192" priority="4179" stopIfTrue="1">
      <formula>AL12="0"</formula>
    </cfRule>
  </conditionalFormatting>
  <conditionalFormatting sqref="F12">
    <cfRule type="expression" dxfId="4191" priority="4176" stopIfTrue="1">
      <formula>AND(NOT($C12=""),F12="")</formula>
    </cfRule>
    <cfRule type="expression" dxfId="4190" priority="4177" stopIfTrue="1">
      <formula>AQ12="0"</formula>
    </cfRule>
  </conditionalFormatting>
  <conditionalFormatting sqref="G12">
    <cfRule type="expression" dxfId="4189" priority="4174" stopIfTrue="1">
      <formula>AND(NOT($C12=""),G12="")</formula>
    </cfRule>
    <cfRule type="expression" dxfId="4188" priority="4175" stopIfTrue="1">
      <formula>AV12="0"</formula>
    </cfRule>
  </conditionalFormatting>
  <conditionalFormatting sqref="H12">
    <cfRule type="expression" dxfId="4187" priority="4172" stopIfTrue="1">
      <formula>AND(NOT($C12=""),H12="")</formula>
    </cfRule>
    <cfRule type="expression" dxfId="4186" priority="4173" stopIfTrue="1">
      <formula>BA12="0"</formula>
    </cfRule>
  </conditionalFormatting>
  <conditionalFormatting sqref="I12">
    <cfRule type="expression" dxfId="4185" priority="4170" stopIfTrue="1">
      <formula>AND(NOT($C12=""),I12="")</formula>
    </cfRule>
    <cfRule type="expression" dxfId="4184" priority="4171" stopIfTrue="1">
      <formula>BF12="0"</formula>
    </cfRule>
  </conditionalFormatting>
  <conditionalFormatting sqref="J12">
    <cfRule type="expression" dxfId="4183" priority="4168" stopIfTrue="1">
      <formula>AND(NOT($C12=""),J12="")</formula>
    </cfRule>
    <cfRule type="expression" dxfId="4182" priority="4169" stopIfTrue="1">
      <formula>BK12="0"</formula>
    </cfRule>
  </conditionalFormatting>
  <conditionalFormatting sqref="K12">
    <cfRule type="expression" dxfId="4181" priority="4166" stopIfTrue="1">
      <formula>AND(NOT($C12=""),K12="")</formula>
    </cfRule>
    <cfRule type="expression" dxfId="4180" priority="4167" stopIfTrue="1">
      <formula>BP12="0"</formula>
    </cfRule>
  </conditionalFormatting>
  <conditionalFormatting sqref="L12">
    <cfRule type="expression" dxfId="4179" priority="4164" stopIfTrue="1">
      <formula>AND(NOT($C12=""),L12="")</formula>
    </cfRule>
    <cfRule type="expression" dxfId="4178" priority="4165" stopIfTrue="1">
      <formula>BU12="0"</formula>
    </cfRule>
  </conditionalFormatting>
  <conditionalFormatting sqref="N12">
    <cfRule type="expression" dxfId="4177" priority="4162" stopIfTrue="1">
      <formula>AND(NOT($C12=""),N12="")</formula>
    </cfRule>
    <cfRule type="expression" dxfId="4176" priority="4163" stopIfTrue="1">
      <formula>CE12="0"</formula>
    </cfRule>
  </conditionalFormatting>
  <conditionalFormatting sqref="M29">
    <cfRule type="expression" dxfId="4175" priority="4161" stopIfTrue="1">
      <formula>BZ29="0"</formula>
    </cfRule>
  </conditionalFormatting>
  <conditionalFormatting sqref="D29">
    <cfRule type="expression" dxfId="4174" priority="4159" stopIfTrue="1">
      <formula>AND(NOT($C29=""),D29="")</formula>
    </cfRule>
    <cfRule type="expression" dxfId="4173" priority="4160" stopIfTrue="1">
      <formula>AG29="0"</formula>
    </cfRule>
  </conditionalFormatting>
  <conditionalFormatting sqref="E29">
    <cfRule type="expression" dxfId="4172" priority="4157" stopIfTrue="1">
      <formula>AND(NOT($C29=""),E29="")</formula>
    </cfRule>
    <cfRule type="expression" dxfId="4171" priority="4158" stopIfTrue="1">
      <formula>AL29="0"</formula>
    </cfRule>
  </conditionalFormatting>
  <conditionalFormatting sqref="F29">
    <cfRule type="expression" dxfId="4170" priority="4155" stopIfTrue="1">
      <formula>AND(NOT($C29=""),F29="")</formula>
    </cfRule>
    <cfRule type="expression" dxfId="4169" priority="4156" stopIfTrue="1">
      <formula>AQ29="0"</formula>
    </cfRule>
  </conditionalFormatting>
  <conditionalFormatting sqref="G29">
    <cfRule type="expression" dxfId="4168" priority="4153" stopIfTrue="1">
      <formula>AND(NOT($C29=""),G29="")</formula>
    </cfRule>
    <cfRule type="expression" dxfId="4167" priority="4154" stopIfTrue="1">
      <formula>AV29="0"</formula>
    </cfRule>
  </conditionalFormatting>
  <conditionalFormatting sqref="H29">
    <cfRule type="expression" dxfId="4166" priority="4151" stopIfTrue="1">
      <formula>AND(NOT($C29=""),H29="")</formula>
    </cfRule>
    <cfRule type="expression" dxfId="4165" priority="4152" stopIfTrue="1">
      <formula>BA29="0"</formula>
    </cfRule>
  </conditionalFormatting>
  <conditionalFormatting sqref="I29">
    <cfRule type="expression" dxfId="4164" priority="4149" stopIfTrue="1">
      <formula>AND(NOT($C29=""),I29="")</formula>
    </cfRule>
    <cfRule type="expression" dxfId="4163" priority="4150" stopIfTrue="1">
      <formula>BF29="0"</formula>
    </cfRule>
  </conditionalFormatting>
  <conditionalFormatting sqref="J29">
    <cfRule type="expression" dxfId="4162" priority="4147" stopIfTrue="1">
      <formula>AND(NOT($C29=""),J29="")</formula>
    </cfRule>
    <cfRule type="expression" dxfId="4161" priority="4148" stopIfTrue="1">
      <formula>BK29="0"</formula>
    </cfRule>
  </conditionalFormatting>
  <conditionalFormatting sqref="K29">
    <cfRule type="expression" dxfId="4160" priority="4145" stopIfTrue="1">
      <formula>AND(NOT($C29=""),K29="")</formula>
    </cfRule>
    <cfRule type="expression" dxfId="4159" priority="4146" stopIfTrue="1">
      <formula>BP29="0"</formula>
    </cfRule>
  </conditionalFormatting>
  <conditionalFormatting sqref="L29">
    <cfRule type="expression" dxfId="4158" priority="4143" stopIfTrue="1">
      <formula>AND(NOT($C29=""),L29="")</formula>
    </cfRule>
    <cfRule type="expression" dxfId="4157" priority="4144" stopIfTrue="1">
      <formula>BU29="0"</formula>
    </cfRule>
  </conditionalFormatting>
  <conditionalFormatting sqref="N29">
    <cfRule type="expression" dxfId="4156" priority="4141" stopIfTrue="1">
      <formula>AND(NOT($C29=""),N29="")</formula>
    </cfRule>
    <cfRule type="expression" dxfId="4155" priority="4142" stopIfTrue="1">
      <formula>CE29="0"</formula>
    </cfRule>
  </conditionalFormatting>
  <conditionalFormatting sqref="M12:M16">
    <cfRule type="expression" dxfId="4154" priority="4140" stopIfTrue="1">
      <formula>BZ12="0"</formula>
    </cfRule>
  </conditionalFormatting>
  <conditionalFormatting sqref="E12:E16">
    <cfRule type="expression" dxfId="4153" priority="4138" stopIfTrue="1">
      <formula>AND(NOT($C12=""),E12="")</formula>
    </cfRule>
    <cfRule type="expression" dxfId="4152" priority="4139" stopIfTrue="1">
      <formula>AL12="0"</formula>
    </cfRule>
  </conditionalFormatting>
  <conditionalFormatting sqref="F12:F16">
    <cfRule type="expression" dxfId="4151" priority="4136" stopIfTrue="1">
      <formula>AND(NOT($C12=""),F12="")</formula>
    </cfRule>
    <cfRule type="expression" dxfId="4150" priority="4137" stopIfTrue="1">
      <formula>AQ12="0"</formula>
    </cfRule>
  </conditionalFormatting>
  <conditionalFormatting sqref="G12:G16">
    <cfRule type="expression" dxfId="4149" priority="4134" stopIfTrue="1">
      <formula>AND(NOT($C12=""),G12="")</formula>
    </cfRule>
    <cfRule type="expression" dxfId="4148" priority="4135" stopIfTrue="1">
      <formula>AV12="0"</formula>
    </cfRule>
  </conditionalFormatting>
  <conditionalFormatting sqref="H12:H16">
    <cfRule type="expression" dxfId="4147" priority="4132" stopIfTrue="1">
      <formula>AND(NOT($C12=""),H12="")</formula>
    </cfRule>
    <cfRule type="expression" dxfId="4146" priority="4133" stopIfTrue="1">
      <formula>BA12="0"</formula>
    </cfRule>
  </conditionalFormatting>
  <conditionalFormatting sqref="I12:I16">
    <cfRule type="expression" dxfId="4145" priority="4130" stopIfTrue="1">
      <formula>AND(NOT($C12=""),I12="")</formula>
    </cfRule>
    <cfRule type="expression" dxfId="4144" priority="4131" stopIfTrue="1">
      <formula>BF12="0"</formula>
    </cfRule>
  </conditionalFormatting>
  <conditionalFormatting sqref="J12:J16">
    <cfRule type="expression" dxfId="4143" priority="4128" stopIfTrue="1">
      <formula>AND(NOT($C12=""),J12="")</formula>
    </cfRule>
    <cfRule type="expression" dxfId="4142" priority="4129" stopIfTrue="1">
      <formula>BK12="0"</formula>
    </cfRule>
  </conditionalFormatting>
  <conditionalFormatting sqref="K12:K16">
    <cfRule type="expression" dxfId="4141" priority="4126" stopIfTrue="1">
      <formula>AND(NOT($C12=""),K12="")</formula>
    </cfRule>
    <cfRule type="expression" dxfId="4140" priority="4127" stopIfTrue="1">
      <formula>BP12="0"</formula>
    </cfRule>
  </conditionalFormatting>
  <conditionalFormatting sqref="L12:L16">
    <cfRule type="expression" dxfId="4139" priority="4124" stopIfTrue="1">
      <formula>AND(NOT($C12=""),L12="")</formula>
    </cfRule>
    <cfRule type="expression" dxfId="4138" priority="4125" stopIfTrue="1">
      <formula>BU12="0"</formula>
    </cfRule>
  </conditionalFormatting>
  <conditionalFormatting sqref="N12:N16">
    <cfRule type="expression" dxfId="4137" priority="4122" stopIfTrue="1">
      <formula>AND(NOT($C12=""),N12="")</formula>
    </cfRule>
    <cfRule type="expression" dxfId="4136" priority="4123" stopIfTrue="1">
      <formula>CE12="0"</formula>
    </cfRule>
  </conditionalFormatting>
  <conditionalFormatting sqref="M29">
    <cfRule type="expression" dxfId="4135" priority="4121" stopIfTrue="1">
      <formula>BZ29="0"</formula>
    </cfRule>
  </conditionalFormatting>
  <conditionalFormatting sqref="D29">
    <cfRule type="expression" dxfId="4134" priority="4119" stopIfTrue="1">
      <formula>AND(NOT($C29=""),D29="")</formula>
    </cfRule>
    <cfRule type="expression" dxfId="4133" priority="4120" stopIfTrue="1">
      <formula>AG29="0"</formula>
    </cfRule>
  </conditionalFormatting>
  <conditionalFormatting sqref="E29">
    <cfRule type="expression" dxfId="4132" priority="4117" stopIfTrue="1">
      <formula>AND(NOT($C29=""),E29="")</formula>
    </cfRule>
    <cfRule type="expression" dxfId="4131" priority="4118" stopIfTrue="1">
      <formula>AL29="0"</formula>
    </cfRule>
  </conditionalFormatting>
  <conditionalFormatting sqref="F29">
    <cfRule type="expression" dxfId="4130" priority="4115" stopIfTrue="1">
      <formula>AND(NOT($C29=""),F29="")</formula>
    </cfRule>
    <cfRule type="expression" dxfId="4129" priority="4116" stopIfTrue="1">
      <formula>AQ29="0"</formula>
    </cfRule>
  </conditionalFormatting>
  <conditionalFormatting sqref="G29">
    <cfRule type="expression" dxfId="4128" priority="4113" stopIfTrue="1">
      <formula>AND(NOT($C29=""),G29="")</formula>
    </cfRule>
    <cfRule type="expression" dxfId="4127" priority="4114" stopIfTrue="1">
      <formula>AV29="0"</formula>
    </cfRule>
  </conditionalFormatting>
  <conditionalFormatting sqref="H29">
    <cfRule type="expression" dxfId="4126" priority="4111" stopIfTrue="1">
      <formula>AND(NOT($C29=""),H29="")</formula>
    </cfRule>
    <cfRule type="expression" dxfId="4125" priority="4112" stopIfTrue="1">
      <formula>BA29="0"</formula>
    </cfRule>
  </conditionalFormatting>
  <conditionalFormatting sqref="I29">
    <cfRule type="expression" dxfId="4124" priority="4109" stopIfTrue="1">
      <formula>AND(NOT($C29=""),I29="")</formula>
    </cfRule>
    <cfRule type="expression" dxfId="4123" priority="4110" stopIfTrue="1">
      <formula>BF29="0"</formula>
    </cfRule>
  </conditionalFormatting>
  <conditionalFormatting sqref="J29">
    <cfRule type="expression" dxfId="4122" priority="4107" stopIfTrue="1">
      <formula>AND(NOT($C29=""),J29="")</formula>
    </cfRule>
    <cfRule type="expression" dxfId="4121" priority="4108" stopIfTrue="1">
      <formula>BK29="0"</formula>
    </cfRule>
  </conditionalFormatting>
  <conditionalFormatting sqref="K29">
    <cfRule type="expression" dxfId="4120" priority="4105" stopIfTrue="1">
      <formula>AND(NOT($C29=""),K29="")</formula>
    </cfRule>
    <cfRule type="expression" dxfId="4119" priority="4106" stopIfTrue="1">
      <formula>BP29="0"</formula>
    </cfRule>
  </conditionalFormatting>
  <conditionalFormatting sqref="L29">
    <cfRule type="expression" dxfId="4118" priority="4103" stopIfTrue="1">
      <formula>AND(NOT($C29=""),L29="")</formula>
    </cfRule>
    <cfRule type="expression" dxfId="4117" priority="4104" stopIfTrue="1">
      <formula>BU29="0"</formula>
    </cfRule>
  </conditionalFormatting>
  <conditionalFormatting sqref="N29">
    <cfRule type="expression" dxfId="4116" priority="4101" stopIfTrue="1">
      <formula>AND(NOT($C29=""),N29="")</formula>
    </cfRule>
    <cfRule type="expression" dxfId="4115" priority="4102" stopIfTrue="1">
      <formula>CE29="0"</formula>
    </cfRule>
  </conditionalFormatting>
  <conditionalFormatting sqref="M30">
    <cfRule type="expression" dxfId="4114" priority="4100" stopIfTrue="1">
      <formula>BZ30="0"</formula>
    </cfRule>
  </conditionalFormatting>
  <conditionalFormatting sqref="D30">
    <cfRule type="expression" dxfId="4113" priority="4098" stopIfTrue="1">
      <formula>AND(NOT($C30=""),D30="")</formula>
    </cfRule>
    <cfRule type="expression" dxfId="4112" priority="4099" stopIfTrue="1">
      <formula>AG30="0"</formula>
    </cfRule>
  </conditionalFormatting>
  <conditionalFormatting sqref="E30">
    <cfRule type="expression" dxfId="4111" priority="4096" stopIfTrue="1">
      <formula>AND(NOT($C30=""),E30="")</formula>
    </cfRule>
    <cfRule type="expression" dxfId="4110" priority="4097" stopIfTrue="1">
      <formula>AL30="0"</formula>
    </cfRule>
  </conditionalFormatting>
  <conditionalFormatting sqref="F30">
    <cfRule type="expression" dxfId="4109" priority="4094" stopIfTrue="1">
      <formula>AND(NOT($C30=""),F30="")</formula>
    </cfRule>
    <cfRule type="expression" dxfId="4108" priority="4095" stopIfTrue="1">
      <formula>AQ30="0"</formula>
    </cfRule>
  </conditionalFormatting>
  <conditionalFormatting sqref="G30">
    <cfRule type="expression" dxfId="4107" priority="4092" stopIfTrue="1">
      <formula>AND(NOT($C30=""),G30="")</formula>
    </cfRule>
    <cfRule type="expression" dxfId="4106" priority="4093" stopIfTrue="1">
      <formula>AV30="0"</formula>
    </cfRule>
  </conditionalFormatting>
  <conditionalFormatting sqref="H30">
    <cfRule type="expression" dxfId="4105" priority="4090" stopIfTrue="1">
      <formula>AND(NOT($C30=""),H30="")</formula>
    </cfRule>
    <cfRule type="expression" dxfId="4104" priority="4091" stopIfTrue="1">
      <formula>BA30="0"</formula>
    </cfRule>
  </conditionalFormatting>
  <conditionalFormatting sqref="I30">
    <cfRule type="expression" dxfId="4103" priority="4088" stopIfTrue="1">
      <formula>AND(NOT($C30=""),I30="")</formula>
    </cfRule>
    <cfRule type="expression" dxfId="4102" priority="4089" stopIfTrue="1">
      <formula>BF30="0"</formula>
    </cfRule>
  </conditionalFormatting>
  <conditionalFormatting sqref="J30">
    <cfRule type="expression" dxfId="4101" priority="4086" stopIfTrue="1">
      <formula>AND(NOT($C30=""),J30="")</formula>
    </cfRule>
    <cfRule type="expression" dxfId="4100" priority="4087" stopIfTrue="1">
      <formula>BK30="0"</formula>
    </cfRule>
  </conditionalFormatting>
  <conditionalFormatting sqref="K30">
    <cfRule type="expression" dxfId="4099" priority="4084" stopIfTrue="1">
      <formula>AND(NOT($C30=""),K30="")</formula>
    </cfRule>
    <cfRule type="expression" dxfId="4098" priority="4085" stopIfTrue="1">
      <formula>BP30="0"</formula>
    </cfRule>
  </conditionalFormatting>
  <conditionalFormatting sqref="L30">
    <cfRule type="expression" dxfId="4097" priority="4082" stopIfTrue="1">
      <formula>AND(NOT($C30=""),L30="")</formula>
    </cfRule>
    <cfRule type="expression" dxfId="4096" priority="4083" stopIfTrue="1">
      <formula>BU30="0"</formula>
    </cfRule>
  </conditionalFormatting>
  <conditionalFormatting sqref="N30">
    <cfRule type="expression" dxfId="4095" priority="4080" stopIfTrue="1">
      <formula>AND(NOT($C30=""),N30="")</formula>
    </cfRule>
    <cfRule type="expression" dxfId="4094" priority="4081" stopIfTrue="1">
      <formula>CE30="0"</formula>
    </cfRule>
  </conditionalFormatting>
  <conditionalFormatting sqref="M30:M34">
    <cfRule type="expression" dxfId="4093" priority="4079" stopIfTrue="1">
      <formula>BZ30="0"</formula>
    </cfRule>
  </conditionalFormatting>
  <conditionalFormatting sqref="E30:E34">
    <cfRule type="expression" dxfId="4092" priority="4077" stopIfTrue="1">
      <formula>AND(NOT($C30=""),E30="")</formula>
    </cfRule>
    <cfRule type="expression" dxfId="4091" priority="4078" stopIfTrue="1">
      <formula>AL30="0"</formula>
    </cfRule>
  </conditionalFormatting>
  <conditionalFormatting sqref="F30:F34">
    <cfRule type="expression" dxfId="4090" priority="4075" stopIfTrue="1">
      <formula>AND(NOT($C30=""),F30="")</formula>
    </cfRule>
    <cfRule type="expression" dxfId="4089" priority="4076" stopIfTrue="1">
      <formula>AQ30="0"</formula>
    </cfRule>
  </conditionalFormatting>
  <conditionalFormatting sqref="G30:G34">
    <cfRule type="expression" dxfId="4088" priority="4073" stopIfTrue="1">
      <formula>AND(NOT($C30=""),G30="")</formula>
    </cfRule>
    <cfRule type="expression" dxfId="4087" priority="4074" stopIfTrue="1">
      <formula>AV30="0"</formula>
    </cfRule>
  </conditionalFormatting>
  <conditionalFormatting sqref="H30:H34">
    <cfRule type="expression" dxfId="4086" priority="4071" stopIfTrue="1">
      <formula>AND(NOT($C30=""),H30="")</formula>
    </cfRule>
    <cfRule type="expression" dxfId="4085" priority="4072" stopIfTrue="1">
      <formula>BA30="0"</formula>
    </cfRule>
  </conditionalFormatting>
  <conditionalFormatting sqref="I30:I34">
    <cfRule type="expression" dxfId="4084" priority="4069" stopIfTrue="1">
      <formula>AND(NOT($C30=""),I30="")</formula>
    </cfRule>
    <cfRule type="expression" dxfId="4083" priority="4070" stopIfTrue="1">
      <formula>BF30="0"</formula>
    </cfRule>
  </conditionalFormatting>
  <conditionalFormatting sqref="J30:J34">
    <cfRule type="expression" dxfId="4082" priority="4067" stopIfTrue="1">
      <formula>AND(NOT($C30=""),J30="")</formula>
    </cfRule>
    <cfRule type="expression" dxfId="4081" priority="4068" stopIfTrue="1">
      <formula>BK30="0"</formula>
    </cfRule>
  </conditionalFormatting>
  <conditionalFormatting sqref="K30:K34">
    <cfRule type="expression" dxfId="4080" priority="4065" stopIfTrue="1">
      <formula>AND(NOT($C30=""),K30="")</formula>
    </cfRule>
    <cfRule type="expression" dxfId="4079" priority="4066" stopIfTrue="1">
      <formula>BP30="0"</formula>
    </cfRule>
  </conditionalFormatting>
  <conditionalFormatting sqref="L30:L34">
    <cfRule type="expression" dxfId="4078" priority="4063" stopIfTrue="1">
      <formula>AND(NOT($C30=""),L30="")</formula>
    </cfRule>
    <cfRule type="expression" dxfId="4077" priority="4064" stopIfTrue="1">
      <formula>BU30="0"</formula>
    </cfRule>
  </conditionalFormatting>
  <conditionalFormatting sqref="N30:N34">
    <cfRule type="expression" dxfId="4076" priority="4061" stopIfTrue="1">
      <formula>AND(NOT($C30=""),N30="")</formula>
    </cfRule>
    <cfRule type="expression" dxfId="4075" priority="4062" stopIfTrue="1">
      <formula>CE30="0"</formula>
    </cfRule>
  </conditionalFormatting>
  <conditionalFormatting sqref="M31">
    <cfRule type="expression" dxfId="4074" priority="4060" stopIfTrue="1">
      <formula>BZ31="0"</formula>
    </cfRule>
  </conditionalFormatting>
  <conditionalFormatting sqref="D31">
    <cfRule type="expression" dxfId="4073" priority="4058" stopIfTrue="1">
      <formula>AND(NOT($C31=""),D31="")</formula>
    </cfRule>
    <cfRule type="expression" dxfId="4072" priority="4059" stopIfTrue="1">
      <formula>AG31="0"</formula>
    </cfRule>
  </conditionalFormatting>
  <conditionalFormatting sqref="E31">
    <cfRule type="expression" dxfId="4071" priority="4056" stopIfTrue="1">
      <formula>AND(NOT($C31=""),E31="")</formula>
    </cfRule>
    <cfRule type="expression" dxfId="4070" priority="4057" stopIfTrue="1">
      <formula>AL31="0"</formula>
    </cfRule>
  </conditionalFormatting>
  <conditionalFormatting sqref="F31">
    <cfRule type="expression" dxfId="4069" priority="4054" stopIfTrue="1">
      <formula>AND(NOT($C31=""),F31="")</formula>
    </cfRule>
    <cfRule type="expression" dxfId="4068" priority="4055" stopIfTrue="1">
      <formula>AQ31="0"</formula>
    </cfRule>
  </conditionalFormatting>
  <conditionalFormatting sqref="G31">
    <cfRule type="expression" dxfId="4067" priority="4052" stopIfTrue="1">
      <formula>AND(NOT($C31=""),G31="")</formula>
    </cfRule>
    <cfRule type="expression" dxfId="4066" priority="4053" stopIfTrue="1">
      <formula>AV31="0"</formula>
    </cfRule>
  </conditionalFormatting>
  <conditionalFormatting sqref="H31">
    <cfRule type="expression" dxfId="4065" priority="4050" stopIfTrue="1">
      <formula>AND(NOT($C31=""),H31="")</formula>
    </cfRule>
    <cfRule type="expression" dxfId="4064" priority="4051" stopIfTrue="1">
      <formula>BA31="0"</formula>
    </cfRule>
  </conditionalFormatting>
  <conditionalFormatting sqref="I31">
    <cfRule type="expression" dxfId="4063" priority="4048" stopIfTrue="1">
      <formula>AND(NOT($C31=""),I31="")</formula>
    </cfRule>
    <cfRule type="expression" dxfId="4062" priority="4049" stopIfTrue="1">
      <formula>BF31="0"</formula>
    </cfRule>
  </conditionalFormatting>
  <conditionalFormatting sqref="J31">
    <cfRule type="expression" dxfId="4061" priority="4046" stopIfTrue="1">
      <formula>AND(NOT($C31=""),J31="")</formula>
    </cfRule>
    <cfRule type="expression" dxfId="4060" priority="4047" stopIfTrue="1">
      <formula>BK31="0"</formula>
    </cfRule>
  </conditionalFormatting>
  <conditionalFormatting sqref="K31">
    <cfRule type="expression" dxfId="4059" priority="4044" stopIfTrue="1">
      <formula>AND(NOT($C31=""),K31="")</formula>
    </cfRule>
    <cfRule type="expression" dxfId="4058" priority="4045" stopIfTrue="1">
      <formula>BP31="0"</formula>
    </cfRule>
  </conditionalFormatting>
  <conditionalFormatting sqref="L31">
    <cfRule type="expression" dxfId="4057" priority="4042" stopIfTrue="1">
      <formula>AND(NOT($C31=""),L31="")</formula>
    </cfRule>
    <cfRule type="expression" dxfId="4056" priority="4043" stopIfTrue="1">
      <formula>BU31="0"</formula>
    </cfRule>
  </conditionalFormatting>
  <conditionalFormatting sqref="N31">
    <cfRule type="expression" dxfId="4055" priority="4040" stopIfTrue="1">
      <formula>AND(NOT($C31=""),N31="")</formula>
    </cfRule>
    <cfRule type="expression" dxfId="4054" priority="4041" stopIfTrue="1">
      <formula>CE31="0"</formula>
    </cfRule>
  </conditionalFormatting>
  <conditionalFormatting sqref="M31">
    <cfRule type="expression" dxfId="4053" priority="4039" stopIfTrue="1">
      <formula>BZ31="0"</formula>
    </cfRule>
  </conditionalFormatting>
  <conditionalFormatting sqref="D31">
    <cfRule type="expression" dxfId="4052" priority="4037" stopIfTrue="1">
      <formula>AND(NOT($C31=""),D31="")</formula>
    </cfRule>
    <cfRule type="expression" dxfId="4051" priority="4038" stopIfTrue="1">
      <formula>AG31="0"</formula>
    </cfRule>
  </conditionalFormatting>
  <conditionalFormatting sqref="E31">
    <cfRule type="expression" dxfId="4050" priority="4035" stopIfTrue="1">
      <formula>AND(NOT($C31=""),E31="")</formula>
    </cfRule>
    <cfRule type="expression" dxfId="4049" priority="4036" stopIfTrue="1">
      <formula>AL31="0"</formula>
    </cfRule>
  </conditionalFormatting>
  <conditionalFormatting sqref="F31">
    <cfRule type="expression" dxfId="4048" priority="4033" stopIfTrue="1">
      <formula>AND(NOT($C31=""),F31="")</formula>
    </cfRule>
    <cfRule type="expression" dxfId="4047" priority="4034" stopIfTrue="1">
      <formula>AQ31="0"</formula>
    </cfRule>
  </conditionalFormatting>
  <conditionalFormatting sqref="G31">
    <cfRule type="expression" dxfId="4046" priority="4031" stopIfTrue="1">
      <formula>AND(NOT($C31=""),G31="")</formula>
    </cfRule>
    <cfRule type="expression" dxfId="4045" priority="4032" stopIfTrue="1">
      <formula>AV31="0"</formula>
    </cfRule>
  </conditionalFormatting>
  <conditionalFormatting sqref="H31">
    <cfRule type="expression" dxfId="4044" priority="4029" stopIfTrue="1">
      <formula>AND(NOT($C31=""),H31="")</formula>
    </cfRule>
    <cfRule type="expression" dxfId="4043" priority="4030" stopIfTrue="1">
      <formula>BA31="0"</formula>
    </cfRule>
  </conditionalFormatting>
  <conditionalFormatting sqref="I31">
    <cfRule type="expression" dxfId="4042" priority="4027" stopIfTrue="1">
      <formula>AND(NOT($C31=""),I31="")</formula>
    </cfRule>
    <cfRule type="expression" dxfId="4041" priority="4028" stopIfTrue="1">
      <formula>BF31="0"</formula>
    </cfRule>
  </conditionalFormatting>
  <conditionalFormatting sqref="J31">
    <cfRule type="expression" dxfId="4040" priority="4025" stopIfTrue="1">
      <formula>AND(NOT($C31=""),J31="")</formula>
    </cfRule>
    <cfRule type="expression" dxfId="4039" priority="4026" stopIfTrue="1">
      <formula>BK31="0"</formula>
    </cfRule>
  </conditionalFormatting>
  <conditionalFormatting sqref="K31">
    <cfRule type="expression" dxfId="4038" priority="4023" stopIfTrue="1">
      <formula>AND(NOT($C31=""),K31="")</formula>
    </cfRule>
    <cfRule type="expression" dxfId="4037" priority="4024" stopIfTrue="1">
      <formula>BP31="0"</formula>
    </cfRule>
  </conditionalFormatting>
  <conditionalFormatting sqref="L31">
    <cfRule type="expression" dxfId="4036" priority="4021" stopIfTrue="1">
      <formula>AND(NOT($C31=""),L31="")</formula>
    </cfRule>
    <cfRule type="expression" dxfId="4035" priority="4022" stopIfTrue="1">
      <formula>BU31="0"</formula>
    </cfRule>
  </conditionalFormatting>
  <conditionalFormatting sqref="N31">
    <cfRule type="expression" dxfId="4034" priority="4019" stopIfTrue="1">
      <formula>AND(NOT($C31=""),N31="")</formula>
    </cfRule>
    <cfRule type="expression" dxfId="4033" priority="4020" stopIfTrue="1">
      <formula>CE31="0"</formula>
    </cfRule>
  </conditionalFormatting>
  <conditionalFormatting sqref="M31">
    <cfRule type="expression" dxfId="4032" priority="4018" stopIfTrue="1">
      <formula>BZ31="0"</formula>
    </cfRule>
  </conditionalFormatting>
  <conditionalFormatting sqref="D31">
    <cfRule type="expression" dxfId="4031" priority="4016" stopIfTrue="1">
      <formula>AND(NOT($C31=""),D31="")</formula>
    </cfRule>
    <cfRule type="expression" dxfId="4030" priority="4017" stopIfTrue="1">
      <formula>AG31="0"</formula>
    </cfRule>
  </conditionalFormatting>
  <conditionalFormatting sqref="E31">
    <cfRule type="expression" dxfId="4029" priority="4014" stopIfTrue="1">
      <formula>AND(NOT($C31=""),E31="")</formula>
    </cfRule>
    <cfRule type="expression" dxfId="4028" priority="4015" stopIfTrue="1">
      <formula>AL31="0"</formula>
    </cfRule>
  </conditionalFormatting>
  <conditionalFormatting sqref="F31">
    <cfRule type="expression" dxfId="4027" priority="4012" stopIfTrue="1">
      <formula>AND(NOT($C31=""),F31="")</formula>
    </cfRule>
    <cfRule type="expression" dxfId="4026" priority="4013" stopIfTrue="1">
      <formula>AQ31="0"</formula>
    </cfRule>
  </conditionalFormatting>
  <conditionalFormatting sqref="G31">
    <cfRule type="expression" dxfId="4025" priority="4010" stopIfTrue="1">
      <formula>AND(NOT($C31=""),G31="")</formula>
    </cfRule>
    <cfRule type="expression" dxfId="4024" priority="4011" stopIfTrue="1">
      <formula>AV31="0"</formula>
    </cfRule>
  </conditionalFormatting>
  <conditionalFormatting sqref="H31">
    <cfRule type="expression" dxfId="4023" priority="4008" stopIfTrue="1">
      <formula>AND(NOT($C31=""),H31="")</formula>
    </cfRule>
    <cfRule type="expression" dxfId="4022" priority="4009" stopIfTrue="1">
      <formula>BA31="0"</formula>
    </cfRule>
  </conditionalFormatting>
  <conditionalFormatting sqref="I31">
    <cfRule type="expression" dxfId="4021" priority="4006" stopIfTrue="1">
      <formula>AND(NOT($C31=""),I31="")</formula>
    </cfRule>
    <cfRule type="expression" dxfId="4020" priority="4007" stopIfTrue="1">
      <formula>BF31="0"</formula>
    </cfRule>
  </conditionalFormatting>
  <conditionalFormatting sqref="J31">
    <cfRule type="expression" dxfId="4019" priority="4004" stopIfTrue="1">
      <formula>AND(NOT($C31=""),J31="")</formula>
    </cfRule>
    <cfRule type="expression" dxfId="4018" priority="4005" stopIfTrue="1">
      <formula>BK31="0"</formula>
    </cfRule>
  </conditionalFormatting>
  <conditionalFormatting sqref="K31">
    <cfRule type="expression" dxfId="4017" priority="4002" stopIfTrue="1">
      <formula>AND(NOT($C31=""),K31="")</formula>
    </cfRule>
    <cfRule type="expression" dxfId="4016" priority="4003" stopIfTrue="1">
      <formula>BP31="0"</formula>
    </cfRule>
  </conditionalFormatting>
  <conditionalFormatting sqref="L31">
    <cfRule type="expression" dxfId="4015" priority="4000" stopIfTrue="1">
      <formula>AND(NOT($C31=""),L31="")</formula>
    </cfRule>
    <cfRule type="expression" dxfId="4014" priority="4001" stopIfTrue="1">
      <formula>BU31="0"</formula>
    </cfRule>
  </conditionalFormatting>
  <conditionalFormatting sqref="N31">
    <cfRule type="expression" dxfId="4013" priority="3998" stopIfTrue="1">
      <formula>AND(NOT($C31=""),N31="")</formula>
    </cfRule>
    <cfRule type="expression" dxfId="4012" priority="3999" stopIfTrue="1">
      <formula>CE31="0"</formula>
    </cfRule>
  </conditionalFormatting>
  <conditionalFormatting sqref="M33">
    <cfRule type="expression" dxfId="4011" priority="3997" stopIfTrue="1">
      <formula>BZ33="0"</formula>
    </cfRule>
  </conditionalFormatting>
  <conditionalFormatting sqref="D33">
    <cfRule type="expression" dxfId="4010" priority="3995" stopIfTrue="1">
      <formula>AND(NOT($C33=""),D33="")</formula>
    </cfRule>
    <cfRule type="expression" dxfId="4009" priority="3996" stopIfTrue="1">
      <formula>AG33="0"</formula>
    </cfRule>
  </conditionalFormatting>
  <conditionalFormatting sqref="E33">
    <cfRule type="expression" dxfId="4008" priority="3993" stopIfTrue="1">
      <formula>AND(NOT($C33=""),E33="")</formula>
    </cfRule>
    <cfRule type="expression" dxfId="4007" priority="3994" stopIfTrue="1">
      <formula>AL33="0"</formula>
    </cfRule>
  </conditionalFormatting>
  <conditionalFormatting sqref="F33">
    <cfRule type="expression" dxfId="4006" priority="3991" stopIfTrue="1">
      <formula>AND(NOT($C33=""),F33="")</formula>
    </cfRule>
    <cfRule type="expression" dxfId="4005" priority="3992" stopIfTrue="1">
      <formula>AQ33="0"</formula>
    </cfRule>
  </conditionalFormatting>
  <conditionalFormatting sqref="G33">
    <cfRule type="expression" dxfId="4004" priority="3989" stopIfTrue="1">
      <formula>AND(NOT($C33=""),G33="")</formula>
    </cfRule>
    <cfRule type="expression" dxfId="4003" priority="3990" stopIfTrue="1">
      <formula>AV33="0"</formula>
    </cfRule>
  </conditionalFormatting>
  <conditionalFormatting sqref="H33">
    <cfRule type="expression" dxfId="4002" priority="3987" stopIfTrue="1">
      <formula>AND(NOT($C33=""),H33="")</formula>
    </cfRule>
    <cfRule type="expression" dxfId="4001" priority="3988" stopIfTrue="1">
      <formula>BA33="0"</formula>
    </cfRule>
  </conditionalFormatting>
  <conditionalFormatting sqref="I33">
    <cfRule type="expression" dxfId="4000" priority="3985" stopIfTrue="1">
      <formula>AND(NOT($C33=""),I33="")</formula>
    </cfRule>
    <cfRule type="expression" dxfId="3999" priority="3986" stopIfTrue="1">
      <formula>BF33="0"</formula>
    </cfRule>
  </conditionalFormatting>
  <conditionalFormatting sqref="J33">
    <cfRule type="expression" dxfId="3998" priority="3983" stopIfTrue="1">
      <formula>AND(NOT($C33=""),J33="")</formula>
    </cfRule>
    <cfRule type="expression" dxfId="3997" priority="3984" stopIfTrue="1">
      <formula>BK33="0"</formula>
    </cfRule>
  </conditionalFormatting>
  <conditionalFormatting sqref="K33">
    <cfRule type="expression" dxfId="3996" priority="3981" stopIfTrue="1">
      <formula>AND(NOT($C33=""),K33="")</formula>
    </cfRule>
    <cfRule type="expression" dxfId="3995" priority="3982" stopIfTrue="1">
      <formula>BP33="0"</formula>
    </cfRule>
  </conditionalFormatting>
  <conditionalFormatting sqref="L33">
    <cfRule type="expression" dxfId="3994" priority="3979" stopIfTrue="1">
      <formula>AND(NOT($C33=""),L33="")</formula>
    </cfRule>
    <cfRule type="expression" dxfId="3993" priority="3980" stopIfTrue="1">
      <formula>BU33="0"</formula>
    </cfRule>
  </conditionalFormatting>
  <conditionalFormatting sqref="N33">
    <cfRule type="expression" dxfId="3992" priority="3977" stopIfTrue="1">
      <formula>AND(NOT($C33=""),N33="")</formula>
    </cfRule>
    <cfRule type="expression" dxfId="3991" priority="3978" stopIfTrue="1">
      <formula>CE33="0"</formula>
    </cfRule>
  </conditionalFormatting>
  <conditionalFormatting sqref="M33">
    <cfRule type="expression" dxfId="3990" priority="3976" stopIfTrue="1">
      <formula>BZ33="0"</formula>
    </cfRule>
  </conditionalFormatting>
  <conditionalFormatting sqref="D33">
    <cfRule type="expression" dxfId="3989" priority="3974" stopIfTrue="1">
      <formula>AND(NOT($C33=""),D33="")</formula>
    </cfRule>
    <cfRule type="expression" dxfId="3988" priority="3975" stopIfTrue="1">
      <formula>AG33="0"</formula>
    </cfRule>
  </conditionalFormatting>
  <conditionalFormatting sqref="E33">
    <cfRule type="expression" dxfId="3987" priority="3972" stopIfTrue="1">
      <formula>AND(NOT($C33=""),E33="")</formula>
    </cfRule>
    <cfRule type="expression" dxfId="3986" priority="3973" stopIfTrue="1">
      <formula>AL33="0"</formula>
    </cfRule>
  </conditionalFormatting>
  <conditionalFormatting sqref="F33">
    <cfRule type="expression" dxfId="3985" priority="3970" stopIfTrue="1">
      <formula>AND(NOT($C33=""),F33="")</formula>
    </cfRule>
    <cfRule type="expression" dxfId="3984" priority="3971" stopIfTrue="1">
      <formula>AQ33="0"</formula>
    </cfRule>
  </conditionalFormatting>
  <conditionalFormatting sqref="G33">
    <cfRule type="expression" dxfId="3983" priority="3968" stopIfTrue="1">
      <formula>AND(NOT($C33=""),G33="")</formula>
    </cfRule>
    <cfRule type="expression" dxfId="3982" priority="3969" stopIfTrue="1">
      <formula>AV33="0"</formula>
    </cfRule>
  </conditionalFormatting>
  <conditionalFormatting sqref="H33">
    <cfRule type="expression" dxfId="3981" priority="3966" stopIfTrue="1">
      <formula>AND(NOT($C33=""),H33="")</formula>
    </cfRule>
    <cfRule type="expression" dxfId="3980" priority="3967" stopIfTrue="1">
      <formula>BA33="0"</formula>
    </cfRule>
  </conditionalFormatting>
  <conditionalFormatting sqref="I33">
    <cfRule type="expression" dxfId="3979" priority="3964" stopIfTrue="1">
      <formula>AND(NOT($C33=""),I33="")</formula>
    </cfRule>
    <cfRule type="expression" dxfId="3978" priority="3965" stopIfTrue="1">
      <formula>BF33="0"</formula>
    </cfRule>
  </conditionalFormatting>
  <conditionalFormatting sqref="J33">
    <cfRule type="expression" dxfId="3977" priority="3962" stopIfTrue="1">
      <formula>AND(NOT($C33=""),J33="")</formula>
    </cfRule>
    <cfRule type="expression" dxfId="3976" priority="3963" stopIfTrue="1">
      <formula>BK33="0"</formula>
    </cfRule>
  </conditionalFormatting>
  <conditionalFormatting sqref="K33">
    <cfRule type="expression" dxfId="3975" priority="3960" stopIfTrue="1">
      <formula>AND(NOT($C33=""),K33="")</formula>
    </cfRule>
    <cfRule type="expression" dxfId="3974" priority="3961" stopIfTrue="1">
      <formula>BP33="0"</formula>
    </cfRule>
  </conditionalFormatting>
  <conditionalFormatting sqref="L33">
    <cfRule type="expression" dxfId="3973" priority="3958" stopIfTrue="1">
      <formula>AND(NOT($C33=""),L33="")</formula>
    </cfRule>
    <cfRule type="expression" dxfId="3972" priority="3959" stopIfTrue="1">
      <formula>BU33="0"</formula>
    </cfRule>
  </conditionalFormatting>
  <conditionalFormatting sqref="N33">
    <cfRule type="expression" dxfId="3971" priority="3956" stopIfTrue="1">
      <formula>AND(NOT($C33=""),N33="")</formula>
    </cfRule>
    <cfRule type="expression" dxfId="3970" priority="3957" stopIfTrue="1">
      <formula>CE33="0"</formula>
    </cfRule>
  </conditionalFormatting>
  <conditionalFormatting sqref="M33">
    <cfRule type="expression" dxfId="3969" priority="3955" stopIfTrue="1">
      <formula>BZ33="0"</formula>
    </cfRule>
  </conditionalFormatting>
  <conditionalFormatting sqref="D33">
    <cfRule type="expression" dxfId="3968" priority="3953" stopIfTrue="1">
      <formula>AND(NOT($C33=""),D33="")</formula>
    </cfRule>
    <cfRule type="expression" dxfId="3967" priority="3954" stopIfTrue="1">
      <formula>AG33="0"</formula>
    </cfRule>
  </conditionalFormatting>
  <conditionalFormatting sqref="E33">
    <cfRule type="expression" dxfId="3966" priority="3951" stopIfTrue="1">
      <formula>AND(NOT($C33=""),E33="")</formula>
    </cfRule>
    <cfRule type="expression" dxfId="3965" priority="3952" stopIfTrue="1">
      <formula>AL33="0"</formula>
    </cfRule>
  </conditionalFormatting>
  <conditionalFormatting sqref="F33">
    <cfRule type="expression" dxfId="3964" priority="3949" stopIfTrue="1">
      <formula>AND(NOT($C33=""),F33="")</formula>
    </cfRule>
    <cfRule type="expression" dxfId="3963" priority="3950" stopIfTrue="1">
      <formula>AQ33="0"</formula>
    </cfRule>
  </conditionalFormatting>
  <conditionalFormatting sqref="G33">
    <cfRule type="expression" dxfId="3962" priority="3947" stopIfTrue="1">
      <formula>AND(NOT($C33=""),G33="")</formula>
    </cfRule>
    <cfRule type="expression" dxfId="3961" priority="3948" stopIfTrue="1">
      <formula>AV33="0"</formula>
    </cfRule>
  </conditionalFormatting>
  <conditionalFormatting sqref="H33">
    <cfRule type="expression" dxfId="3960" priority="3945" stopIfTrue="1">
      <formula>AND(NOT($C33=""),H33="")</formula>
    </cfRule>
    <cfRule type="expression" dxfId="3959" priority="3946" stopIfTrue="1">
      <formula>BA33="0"</formula>
    </cfRule>
  </conditionalFormatting>
  <conditionalFormatting sqref="I33">
    <cfRule type="expression" dxfId="3958" priority="3943" stopIfTrue="1">
      <formula>AND(NOT($C33=""),I33="")</formula>
    </cfRule>
    <cfRule type="expression" dxfId="3957" priority="3944" stopIfTrue="1">
      <formula>BF33="0"</formula>
    </cfRule>
  </conditionalFormatting>
  <conditionalFormatting sqref="J33">
    <cfRule type="expression" dxfId="3956" priority="3941" stopIfTrue="1">
      <formula>AND(NOT($C33=""),J33="")</formula>
    </cfRule>
    <cfRule type="expression" dxfId="3955" priority="3942" stopIfTrue="1">
      <formula>BK33="0"</formula>
    </cfRule>
  </conditionalFormatting>
  <conditionalFormatting sqref="K33">
    <cfRule type="expression" dxfId="3954" priority="3939" stopIfTrue="1">
      <formula>AND(NOT($C33=""),K33="")</formula>
    </cfRule>
    <cfRule type="expression" dxfId="3953" priority="3940" stopIfTrue="1">
      <formula>BP33="0"</formula>
    </cfRule>
  </conditionalFormatting>
  <conditionalFormatting sqref="L33">
    <cfRule type="expression" dxfId="3952" priority="3937" stopIfTrue="1">
      <formula>AND(NOT($C33=""),L33="")</formula>
    </cfRule>
    <cfRule type="expression" dxfId="3951" priority="3938" stopIfTrue="1">
      <formula>BU33="0"</formula>
    </cfRule>
  </conditionalFormatting>
  <conditionalFormatting sqref="N33">
    <cfRule type="expression" dxfId="3950" priority="3935" stopIfTrue="1">
      <formula>AND(NOT($C33=""),N33="")</formula>
    </cfRule>
    <cfRule type="expression" dxfId="3949" priority="3936" stopIfTrue="1">
      <formula>CE33="0"</formula>
    </cfRule>
  </conditionalFormatting>
  <conditionalFormatting sqref="M35">
    <cfRule type="expression" dxfId="3948" priority="3934" stopIfTrue="1">
      <formula>BZ35="0"</formula>
    </cfRule>
  </conditionalFormatting>
  <conditionalFormatting sqref="D35">
    <cfRule type="expression" dxfId="3947" priority="3932" stopIfTrue="1">
      <formula>AND(NOT($C35=""),D35="")</formula>
    </cfRule>
    <cfRule type="expression" dxfId="3946" priority="3933" stopIfTrue="1">
      <formula>AG35="0"</formula>
    </cfRule>
  </conditionalFormatting>
  <conditionalFormatting sqref="E35">
    <cfRule type="expression" dxfId="3945" priority="3930" stopIfTrue="1">
      <formula>AND(NOT($C35=""),E35="")</formula>
    </cfRule>
    <cfRule type="expression" dxfId="3944" priority="3931" stopIfTrue="1">
      <formula>AL35="0"</formula>
    </cfRule>
  </conditionalFormatting>
  <conditionalFormatting sqref="F35">
    <cfRule type="expression" dxfId="3943" priority="3928" stopIfTrue="1">
      <formula>AND(NOT($C35=""),F35="")</formula>
    </cfRule>
    <cfRule type="expression" dxfId="3942" priority="3929" stopIfTrue="1">
      <formula>AQ35="0"</formula>
    </cfRule>
  </conditionalFormatting>
  <conditionalFormatting sqref="G35">
    <cfRule type="expression" dxfId="3941" priority="3926" stopIfTrue="1">
      <formula>AND(NOT($C35=""),G35="")</formula>
    </cfRule>
    <cfRule type="expression" dxfId="3940" priority="3927" stopIfTrue="1">
      <formula>AV35="0"</formula>
    </cfRule>
  </conditionalFormatting>
  <conditionalFormatting sqref="H35">
    <cfRule type="expression" dxfId="3939" priority="3924" stopIfTrue="1">
      <formula>AND(NOT($C35=""),H35="")</formula>
    </cfRule>
    <cfRule type="expression" dxfId="3938" priority="3925" stopIfTrue="1">
      <formula>BA35="0"</formula>
    </cfRule>
  </conditionalFormatting>
  <conditionalFormatting sqref="I35">
    <cfRule type="expression" dxfId="3937" priority="3922" stopIfTrue="1">
      <formula>AND(NOT($C35=""),I35="")</formula>
    </cfRule>
    <cfRule type="expression" dxfId="3936" priority="3923" stopIfTrue="1">
      <formula>BF35="0"</formula>
    </cfRule>
  </conditionalFormatting>
  <conditionalFormatting sqref="J35">
    <cfRule type="expression" dxfId="3935" priority="3920" stopIfTrue="1">
      <formula>AND(NOT($C35=""),J35="")</formula>
    </cfRule>
    <cfRule type="expression" dxfId="3934" priority="3921" stopIfTrue="1">
      <formula>BK35="0"</formula>
    </cfRule>
  </conditionalFormatting>
  <conditionalFormatting sqref="K35">
    <cfRule type="expression" dxfId="3933" priority="3918" stopIfTrue="1">
      <formula>AND(NOT($C35=""),K35="")</formula>
    </cfRule>
    <cfRule type="expression" dxfId="3932" priority="3919" stopIfTrue="1">
      <formula>BP35="0"</formula>
    </cfRule>
  </conditionalFormatting>
  <conditionalFormatting sqref="L35">
    <cfRule type="expression" dxfId="3931" priority="3916" stopIfTrue="1">
      <formula>AND(NOT($C35=""),L35="")</formula>
    </cfRule>
    <cfRule type="expression" dxfId="3930" priority="3917" stopIfTrue="1">
      <formula>BU35="0"</formula>
    </cfRule>
  </conditionalFormatting>
  <conditionalFormatting sqref="N35">
    <cfRule type="expression" dxfId="3929" priority="3914" stopIfTrue="1">
      <formula>AND(NOT($C35=""),N35="")</formula>
    </cfRule>
    <cfRule type="expression" dxfId="3928" priority="3915" stopIfTrue="1">
      <formula>CE35="0"</formula>
    </cfRule>
  </conditionalFormatting>
  <conditionalFormatting sqref="M35">
    <cfRule type="expression" dxfId="3927" priority="3913" stopIfTrue="1">
      <formula>BZ35="0"</formula>
    </cfRule>
  </conditionalFormatting>
  <conditionalFormatting sqref="D35">
    <cfRule type="expression" dxfId="3926" priority="3911" stopIfTrue="1">
      <formula>AND(NOT($C35=""),D35="")</formula>
    </cfRule>
    <cfRule type="expression" dxfId="3925" priority="3912" stopIfTrue="1">
      <formula>AG35="0"</formula>
    </cfRule>
  </conditionalFormatting>
  <conditionalFormatting sqref="E35">
    <cfRule type="expression" dxfId="3924" priority="3909" stopIfTrue="1">
      <formula>AND(NOT($C35=""),E35="")</formula>
    </cfRule>
    <cfRule type="expression" dxfId="3923" priority="3910" stopIfTrue="1">
      <formula>AL35="0"</formula>
    </cfRule>
  </conditionalFormatting>
  <conditionalFormatting sqref="F35">
    <cfRule type="expression" dxfId="3922" priority="3907" stopIfTrue="1">
      <formula>AND(NOT($C35=""),F35="")</formula>
    </cfRule>
    <cfRule type="expression" dxfId="3921" priority="3908" stopIfTrue="1">
      <formula>AQ35="0"</formula>
    </cfRule>
  </conditionalFormatting>
  <conditionalFormatting sqref="G35">
    <cfRule type="expression" dxfId="3920" priority="3905" stopIfTrue="1">
      <formula>AND(NOT($C35=""),G35="")</formula>
    </cfRule>
    <cfRule type="expression" dxfId="3919" priority="3906" stopIfTrue="1">
      <formula>AV35="0"</formula>
    </cfRule>
  </conditionalFormatting>
  <conditionalFormatting sqref="H35">
    <cfRule type="expression" dxfId="3918" priority="3903" stopIfTrue="1">
      <formula>AND(NOT($C35=""),H35="")</formula>
    </cfRule>
    <cfRule type="expression" dxfId="3917" priority="3904" stopIfTrue="1">
      <formula>BA35="0"</formula>
    </cfRule>
  </conditionalFormatting>
  <conditionalFormatting sqref="I35">
    <cfRule type="expression" dxfId="3916" priority="3901" stopIfTrue="1">
      <formula>AND(NOT($C35=""),I35="")</formula>
    </cfRule>
    <cfRule type="expression" dxfId="3915" priority="3902" stopIfTrue="1">
      <formula>BF35="0"</formula>
    </cfRule>
  </conditionalFormatting>
  <conditionalFormatting sqref="J35">
    <cfRule type="expression" dxfId="3914" priority="3899" stopIfTrue="1">
      <formula>AND(NOT($C35=""),J35="")</formula>
    </cfRule>
    <cfRule type="expression" dxfId="3913" priority="3900" stopIfTrue="1">
      <formula>BK35="0"</formula>
    </cfRule>
  </conditionalFormatting>
  <conditionalFormatting sqref="K35">
    <cfRule type="expression" dxfId="3912" priority="3897" stopIfTrue="1">
      <formula>AND(NOT($C35=""),K35="")</formula>
    </cfRule>
    <cfRule type="expression" dxfId="3911" priority="3898" stopIfTrue="1">
      <formula>BP35="0"</formula>
    </cfRule>
  </conditionalFormatting>
  <conditionalFormatting sqref="L35">
    <cfRule type="expression" dxfId="3910" priority="3895" stopIfTrue="1">
      <formula>AND(NOT($C35=""),L35="")</formula>
    </cfRule>
    <cfRule type="expression" dxfId="3909" priority="3896" stopIfTrue="1">
      <formula>BU35="0"</formula>
    </cfRule>
  </conditionalFormatting>
  <conditionalFormatting sqref="N35">
    <cfRule type="expression" dxfId="3908" priority="3893" stopIfTrue="1">
      <formula>AND(NOT($C35=""),N35="")</formula>
    </cfRule>
    <cfRule type="expression" dxfId="3907" priority="3894" stopIfTrue="1">
      <formula>CE35="0"</formula>
    </cfRule>
  </conditionalFormatting>
  <conditionalFormatting sqref="M35">
    <cfRule type="expression" dxfId="3906" priority="3892" stopIfTrue="1">
      <formula>BZ35="0"</formula>
    </cfRule>
  </conditionalFormatting>
  <conditionalFormatting sqref="D35">
    <cfRule type="expression" dxfId="3905" priority="3890" stopIfTrue="1">
      <formula>AND(NOT($C35=""),D35="")</formula>
    </cfRule>
    <cfRule type="expression" dxfId="3904" priority="3891" stopIfTrue="1">
      <formula>AG35="0"</formula>
    </cfRule>
  </conditionalFormatting>
  <conditionalFormatting sqref="E35">
    <cfRule type="expression" dxfId="3903" priority="3888" stopIfTrue="1">
      <formula>AND(NOT($C35=""),E35="")</formula>
    </cfRule>
    <cfRule type="expression" dxfId="3902" priority="3889" stopIfTrue="1">
      <formula>AL35="0"</formula>
    </cfRule>
  </conditionalFormatting>
  <conditionalFormatting sqref="F35">
    <cfRule type="expression" dxfId="3901" priority="3886" stopIfTrue="1">
      <formula>AND(NOT($C35=""),F35="")</formula>
    </cfRule>
    <cfRule type="expression" dxfId="3900" priority="3887" stopIfTrue="1">
      <formula>AQ35="0"</formula>
    </cfRule>
  </conditionalFormatting>
  <conditionalFormatting sqref="G35">
    <cfRule type="expression" dxfId="3899" priority="3884" stopIfTrue="1">
      <formula>AND(NOT($C35=""),G35="")</formula>
    </cfRule>
    <cfRule type="expression" dxfId="3898" priority="3885" stopIfTrue="1">
      <formula>AV35="0"</formula>
    </cfRule>
  </conditionalFormatting>
  <conditionalFormatting sqref="H35">
    <cfRule type="expression" dxfId="3897" priority="3882" stopIfTrue="1">
      <formula>AND(NOT($C35=""),H35="")</formula>
    </cfRule>
    <cfRule type="expression" dxfId="3896" priority="3883" stopIfTrue="1">
      <formula>BA35="0"</formula>
    </cfRule>
  </conditionalFormatting>
  <conditionalFormatting sqref="I35">
    <cfRule type="expression" dxfId="3895" priority="3880" stopIfTrue="1">
      <formula>AND(NOT($C35=""),I35="")</formula>
    </cfRule>
    <cfRule type="expression" dxfId="3894" priority="3881" stopIfTrue="1">
      <formula>BF35="0"</formula>
    </cfRule>
  </conditionalFormatting>
  <conditionalFormatting sqref="J35">
    <cfRule type="expression" dxfId="3893" priority="3878" stopIfTrue="1">
      <formula>AND(NOT($C35=""),J35="")</formula>
    </cfRule>
    <cfRule type="expression" dxfId="3892" priority="3879" stopIfTrue="1">
      <formula>BK35="0"</formula>
    </cfRule>
  </conditionalFormatting>
  <conditionalFormatting sqref="K35">
    <cfRule type="expression" dxfId="3891" priority="3876" stopIfTrue="1">
      <formula>AND(NOT($C35=""),K35="")</formula>
    </cfRule>
    <cfRule type="expression" dxfId="3890" priority="3877" stopIfTrue="1">
      <formula>BP35="0"</formula>
    </cfRule>
  </conditionalFormatting>
  <conditionalFormatting sqref="L35">
    <cfRule type="expression" dxfId="3889" priority="3874" stopIfTrue="1">
      <formula>AND(NOT($C35=""),L35="")</formula>
    </cfRule>
    <cfRule type="expression" dxfId="3888" priority="3875" stopIfTrue="1">
      <formula>BU35="0"</formula>
    </cfRule>
  </conditionalFormatting>
  <conditionalFormatting sqref="N35">
    <cfRule type="expression" dxfId="3887" priority="3872" stopIfTrue="1">
      <formula>AND(NOT($C35=""),N35="")</formula>
    </cfRule>
    <cfRule type="expression" dxfId="3886" priority="3873" stopIfTrue="1">
      <formula>CE35="0"</formula>
    </cfRule>
  </conditionalFormatting>
  <conditionalFormatting sqref="M37">
    <cfRule type="expression" dxfId="3885" priority="3871" stopIfTrue="1">
      <formula>BZ37="0"</formula>
    </cfRule>
  </conditionalFormatting>
  <conditionalFormatting sqref="D37">
    <cfRule type="expression" dxfId="3884" priority="3869" stopIfTrue="1">
      <formula>AND(NOT($C37=""),D37="")</formula>
    </cfRule>
    <cfRule type="expression" dxfId="3883" priority="3870" stopIfTrue="1">
      <formula>AG37="0"</formula>
    </cfRule>
  </conditionalFormatting>
  <conditionalFormatting sqref="E37">
    <cfRule type="expression" dxfId="3882" priority="3867" stopIfTrue="1">
      <formula>AND(NOT($C37=""),E37="")</formula>
    </cfRule>
    <cfRule type="expression" dxfId="3881" priority="3868" stopIfTrue="1">
      <formula>AL37="0"</formula>
    </cfRule>
  </conditionalFormatting>
  <conditionalFormatting sqref="F37">
    <cfRule type="expression" dxfId="3880" priority="3865" stopIfTrue="1">
      <formula>AND(NOT($C37=""),F37="")</formula>
    </cfRule>
    <cfRule type="expression" dxfId="3879" priority="3866" stopIfTrue="1">
      <formula>AQ37="0"</formula>
    </cfRule>
  </conditionalFormatting>
  <conditionalFormatting sqref="G37">
    <cfRule type="expression" dxfId="3878" priority="3863" stopIfTrue="1">
      <formula>AND(NOT($C37=""),G37="")</formula>
    </cfRule>
    <cfRule type="expression" dxfId="3877" priority="3864" stopIfTrue="1">
      <formula>AV37="0"</formula>
    </cfRule>
  </conditionalFormatting>
  <conditionalFormatting sqref="H37">
    <cfRule type="expression" dxfId="3876" priority="3861" stopIfTrue="1">
      <formula>AND(NOT($C37=""),H37="")</formula>
    </cfRule>
    <cfRule type="expression" dxfId="3875" priority="3862" stopIfTrue="1">
      <formula>BA37="0"</formula>
    </cfRule>
  </conditionalFormatting>
  <conditionalFormatting sqref="I37">
    <cfRule type="expression" dxfId="3874" priority="3859" stopIfTrue="1">
      <formula>AND(NOT($C37=""),I37="")</formula>
    </cfRule>
    <cfRule type="expression" dxfId="3873" priority="3860" stopIfTrue="1">
      <formula>BF37="0"</formula>
    </cfRule>
  </conditionalFormatting>
  <conditionalFormatting sqref="J37">
    <cfRule type="expression" dxfId="3872" priority="3857" stopIfTrue="1">
      <formula>AND(NOT($C37=""),J37="")</formula>
    </cfRule>
    <cfRule type="expression" dxfId="3871" priority="3858" stopIfTrue="1">
      <formula>BK37="0"</formula>
    </cfRule>
  </conditionalFormatting>
  <conditionalFormatting sqref="K37">
    <cfRule type="expression" dxfId="3870" priority="3855" stopIfTrue="1">
      <formula>AND(NOT($C37=""),K37="")</formula>
    </cfRule>
    <cfRule type="expression" dxfId="3869" priority="3856" stopIfTrue="1">
      <formula>BP37="0"</formula>
    </cfRule>
  </conditionalFormatting>
  <conditionalFormatting sqref="L37">
    <cfRule type="expression" dxfId="3868" priority="3853" stopIfTrue="1">
      <formula>AND(NOT($C37=""),L37="")</formula>
    </cfRule>
    <cfRule type="expression" dxfId="3867" priority="3854" stopIfTrue="1">
      <formula>BU37="0"</formula>
    </cfRule>
  </conditionalFormatting>
  <conditionalFormatting sqref="N37">
    <cfRule type="expression" dxfId="3866" priority="3851" stopIfTrue="1">
      <formula>AND(NOT($C37=""),N37="")</formula>
    </cfRule>
    <cfRule type="expression" dxfId="3865" priority="3852" stopIfTrue="1">
      <formula>CE37="0"</formula>
    </cfRule>
  </conditionalFormatting>
  <conditionalFormatting sqref="M37">
    <cfRule type="expression" dxfId="3864" priority="3850" stopIfTrue="1">
      <formula>BZ37="0"</formula>
    </cfRule>
  </conditionalFormatting>
  <conditionalFormatting sqref="D37">
    <cfRule type="expression" dxfId="3863" priority="3848" stopIfTrue="1">
      <formula>AND(NOT($C37=""),D37="")</formula>
    </cfRule>
    <cfRule type="expression" dxfId="3862" priority="3849" stopIfTrue="1">
      <formula>AG37="0"</formula>
    </cfRule>
  </conditionalFormatting>
  <conditionalFormatting sqref="E37">
    <cfRule type="expression" dxfId="3861" priority="3846" stopIfTrue="1">
      <formula>AND(NOT($C37=""),E37="")</formula>
    </cfRule>
    <cfRule type="expression" dxfId="3860" priority="3847" stopIfTrue="1">
      <formula>AL37="0"</formula>
    </cfRule>
  </conditionalFormatting>
  <conditionalFormatting sqref="F37">
    <cfRule type="expression" dxfId="3859" priority="3844" stopIfTrue="1">
      <formula>AND(NOT($C37=""),F37="")</formula>
    </cfRule>
    <cfRule type="expression" dxfId="3858" priority="3845" stopIfTrue="1">
      <formula>AQ37="0"</formula>
    </cfRule>
  </conditionalFormatting>
  <conditionalFormatting sqref="G37">
    <cfRule type="expression" dxfId="3857" priority="3842" stopIfTrue="1">
      <formula>AND(NOT($C37=""),G37="")</formula>
    </cfRule>
    <cfRule type="expression" dxfId="3856" priority="3843" stopIfTrue="1">
      <formula>AV37="0"</formula>
    </cfRule>
  </conditionalFormatting>
  <conditionalFormatting sqref="H37">
    <cfRule type="expression" dxfId="3855" priority="3840" stopIfTrue="1">
      <formula>AND(NOT($C37=""),H37="")</formula>
    </cfRule>
    <cfRule type="expression" dxfId="3854" priority="3841" stopIfTrue="1">
      <formula>BA37="0"</formula>
    </cfRule>
  </conditionalFormatting>
  <conditionalFormatting sqref="I37">
    <cfRule type="expression" dxfId="3853" priority="3838" stopIfTrue="1">
      <formula>AND(NOT($C37=""),I37="")</formula>
    </cfRule>
    <cfRule type="expression" dxfId="3852" priority="3839" stopIfTrue="1">
      <formula>BF37="0"</formula>
    </cfRule>
  </conditionalFormatting>
  <conditionalFormatting sqref="J37">
    <cfRule type="expression" dxfId="3851" priority="3836" stopIfTrue="1">
      <formula>AND(NOT($C37=""),J37="")</formula>
    </cfRule>
    <cfRule type="expression" dxfId="3850" priority="3837" stopIfTrue="1">
      <formula>BK37="0"</formula>
    </cfRule>
  </conditionalFormatting>
  <conditionalFormatting sqref="K37">
    <cfRule type="expression" dxfId="3849" priority="3834" stopIfTrue="1">
      <formula>AND(NOT($C37=""),K37="")</formula>
    </cfRule>
    <cfRule type="expression" dxfId="3848" priority="3835" stopIfTrue="1">
      <formula>BP37="0"</formula>
    </cfRule>
  </conditionalFormatting>
  <conditionalFormatting sqref="L37">
    <cfRule type="expression" dxfId="3847" priority="3832" stopIfTrue="1">
      <formula>AND(NOT($C37=""),L37="")</formula>
    </cfRule>
    <cfRule type="expression" dxfId="3846" priority="3833" stopIfTrue="1">
      <formula>BU37="0"</formula>
    </cfRule>
  </conditionalFormatting>
  <conditionalFormatting sqref="N37">
    <cfRule type="expression" dxfId="3845" priority="3830" stopIfTrue="1">
      <formula>AND(NOT($C37=""),N37="")</formula>
    </cfRule>
    <cfRule type="expression" dxfId="3844" priority="3831" stopIfTrue="1">
      <formula>CE37="0"</formula>
    </cfRule>
  </conditionalFormatting>
  <conditionalFormatting sqref="M37">
    <cfRule type="expression" dxfId="3843" priority="3829" stopIfTrue="1">
      <formula>BZ37="0"</formula>
    </cfRule>
  </conditionalFormatting>
  <conditionalFormatting sqref="D37">
    <cfRule type="expression" dxfId="3842" priority="3827" stopIfTrue="1">
      <formula>AND(NOT($C37=""),D37="")</formula>
    </cfRule>
    <cfRule type="expression" dxfId="3841" priority="3828" stopIfTrue="1">
      <formula>AG37="0"</formula>
    </cfRule>
  </conditionalFormatting>
  <conditionalFormatting sqref="E37">
    <cfRule type="expression" dxfId="3840" priority="3825" stopIfTrue="1">
      <formula>AND(NOT($C37=""),E37="")</formula>
    </cfRule>
    <cfRule type="expression" dxfId="3839" priority="3826" stopIfTrue="1">
      <formula>AL37="0"</formula>
    </cfRule>
  </conditionalFormatting>
  <conditionalFormatting sqref="F37">
    <cfRule type="expression" dxfId="3838" priority="3823" stopIfTrue="1">
      <formula>AND(NOT($C37=""),F37="")</formula>
    </cfRule>
    <cfRule type="expression" dxfId="3837" priority="3824" stopIfTrue="1">
      <formula>AQ37="0"</formula>
    </cfRule>
  </conditionalFormatting>
  <conditionalFormatting sqref="G37">
    <cfRule type="expression" dxfId="3836" priority="3821" stopIfTrue="1">
      <formula>AND(NOT($C37=""),G37="")</formula>
    </cfRule>
    <cfRule type="expression" dxfId="3835" priority="3822" stopIfTrue="1">
      <formula>AV37="0"</formula>
    </cfRule>
  </conditionalFormatting>
  <conditionalFormatting sqref="H37">
    <cfRule type="expression" dxfId="3834" priority="3819" stopIfTrue="1">
      <formula>AND(NOT($C37=""),H37="")</formula>
    </cfRule>
    <cfRule type="expression" dxfId="3833" priority="3820" stopIfTrue="1">
      <formula>BA37="0"</formula>
    </cfRule>
  </conditionalFormatting>
  <conditionalFormatting sqref="I37">
    <cfRule type="expression" dxfId="3832" priority="3817" stopIfTrue="1">
      <formula>AND(NOT($C37=""),I37="")</formula>
    </cfRule>
    <cfRule type="expression" dxfId="3831" priority="3818" stopIfTrue="1">
      <formula>BF37="0"</formula>
    </cfRule>
  </conditionalFormatting>
  <conditionalFormatting sqref="J37">
    <cfRule type="expression" dxfId="3830" priority="3815" stopIfTrue="1">
      <formula>AND(NOT($C37=""),J37="")</formula>
    </cfRule>
    <cfRule type="expression" dxfId="3829" priority="3816" stopIfTrue="1">
      <formula>BK37="0"</formula>
    </cfRule>
  </conditionalFormatting>
  <conditionalFormatting sqref="K37">
    <cfRule type="expression" dxfId="3828" priority="3813" stopIfTrue="1">
      <formula>AND(NOT($C37=""),K37="")</formula>
    </cfRule>
    <cfRule type="expression" dxfId="3827" priority="3814" stopIfTrue="1">
      <formula>BP37="0"</formula>
    </cfRule>
  </conditionalFormatting>
  <conditionalFormatting sqref="L37">
    <cfRule type="expression" dxfId="3826" priority="3811" stopIfTrue="1">
      <formula>AND(NOT($C37=""),L37="")</formula>
    </cfRule>
    <cfRule type="expression" dxfId="3825" priority="3812" stopIfTrue="1">
      <formula>BU37="0"</formula>
    </cfRule>
  </conditionalFormatting>
  <conditionalFormatting sqref="N37">
    <cfRule type="expression" dxfId="3824" priority="3809" stopIfTrue="1">
      <formula>AND(NOT($C37=""),N37="")</formula>
    </cfRule>
    <cfRule type="expression" dxfId="3823" priority="3810" stopIfTrue="1">
      <formula>CE37="0"</formula>
    </cfRule>
  </conditionalFormatting>
  <conditionalFormatting sqref="M39">
    <cfRule type="expression" dxfId="3822" priority="3808" stopIfTrue="1">
      <formula>BZ39="0"</formula>
    </cfRule>
  </conditionalFormatting>
  <conditionalFormatting sqref="D39">
    <cfRule type="expression" dxfId="3821" priority="3806" stopIfTrue="1">
      <formula>AND(NOT($C39=""),D39="")</formula>
    </cfRule>
    <cfRule type="expression" dxfId="3820" priority="3807" stopIfTrue="1">
      <formula>AG39="0"</formula>
    </cfRule>
  </conditionalFormatting>
  <conditionalFormatting sqref="E39">
    <cfRule type="expression" dxfId="3819" priority="3804" stopIfTrue="1">
      <formula>AND(NOT($C39=""),E39="")</formula>
    </cfRule>
    <cfRule type="expression" dxfId="3818" priority="3805" stopIfTrue="1">
      <formula>AL39="0"</formula>
    </cfRule>
  </conditionalFormatting>
  <conditionalFormatting sqref="F39">
    <cfRule type="expression" dxfId="3817" priority="3802" stopIfTrue="1">
      <formula>AND(NOT($C39=""),F39="")</formula>
    </cfRule>
    <cfRule type="expression" dxfId="3816" priority="3803" stopIfTrue="1">
      <formula>AQ39="0"</formula>
    </cfRule>
  </conditionalFormatting>
  <conditionalFormatting sqref="G39">
    <cfRule type="expression" dxfId="3815" priority="3800" stopIfTrue="1">
      <formula>AND(NOT($C39=""),G39="")</formula>
    </cfRule>
    <cfRule type="expression" dxfId="3814" priority="3801" stopIfTrue="1">
      <formula>AV39="0"</formula>
    </cfRule>
  </conditionalFormatting>
  <conditionalFormatting sqref="H39">
    <cfRule type="expression" dxfId="3813" priority="3798" stopIfTrue="1">
      <formula>AND(NOT($C39=""),H39="")</formula>
    </cfRule>
    <cfRule type="expression" dxfId="3812" priority="3799" stopIfTrue="1">
      <formula>BA39="0"</formula>
    </cfRule>
  </conditionalFormatting>
  <conditionalFormatting sqref="I39">
    <cfRule type="expression" dxfId="3811" priority="3796" stopIfTrue="1">
      <formula>AND(NOT($C39=""),I39="")</formula>
    </cfRule>
    <cfRule type="expression" dxfId="3810" priority="3797" stopIfTrue="1">
      <formula>BF39="0"</formula>
    </cfRule>
  </conditionalFormatting>
  <conditionalFormatting sqref="J39">
    <cfRule type="expression" dxfId="3809" priority="3794" stopIfTrue="1">
      <formula>AND(NOT($C39=""),J39="")</formula>
    </cfRule>
    <cfRule type="expression" dxfId="3808" priority="3795" stopIfTrue="1">
      <formula>BK39="0"</formula>
    </cfRule>
  </conditionalFormatting>
  <conditionalFormatting sqref="K39">
    <cfRule type="expression" dxfId="3807" priority="3792" stopIfTrue="1">
      <formula>AND(NOT($C39=""),K39="")</formula>
    </cfRule>
    <cfRule type="expression" dxfId="3806" priority="3793" stopIfTrue="1">
      <formula>BP39="0"</formula>
    </cfRule>
  </conditionalFormatting>
  <conditionalFormatting sqref="L39">
    <cfRule type="expression" dxfId="3805" priority="3790" stopIfTrue="1">
      <formula>AND(NOT($C39=""),L39="")</formula>
    </cfRule>
    <cfRule type="expression" dxfId="3804" priority="3791" stopIfTrue="1">
      <formula>BU39="0"</formula>
    </cfRule>
  </conditionalFormatting>
  <conditionalFormatting sqref="N39">
    <cfRule type="expression" dxfId="3803" priority="3788" stopIfTrue="1">
      <formula>AND(NOT($C39=""),N39="")</formula>
    </cfRule>
    <cfRule type="expression" dxfId="3802" priority="3789" stopIfTrue="1">
      <formula>CE39="0"</formula>
    </cfRule>
  </conditionalFormatting>
  <conditionalFormatting sqref="M39">
    <cfRule type="expression" dxfId="3801" priority="3787" stopIfTrue="1">
      <formula>BZ39="0"</formula>
    </cfRule>
  </conditionalFormatting>
  <conditionalFormatting sqref="D39">
    <cfRule type="expression" dxfId="3800" priority="3785" stopIfTrue="1">
      <formula>AND(NOT($C39=""),D39="")</formula>
    </cfRule>
    <cfRule type="expression" dxfId="3799" priority="3786" stopIfTrue="1">
      <formula>AG39="0"</formula>
    </cfRule>
  </conditionalFormatting>
  <conditionalFormatting sqref="E39">
    <cfRule type="expression" dxfId="3798" priority="3783" stopIfTrue="1">
      <formula>AND(NOT($C39=""),E39="")</formula>
    </cfRule>
    <cfRule type="expression" dxfId="3797" priority="3784" stopIfTrue="1">
      <formula>AL39="0"</formula>
    </cfRule>
  </conditionalFormatting>
  <conditionalFormatting sqref="F39">
    <cfRule type="expression" dxfId="3796" priority="3781" stopIfTrue="1">
      <formula>AND(NOT($C39=""),F39="")</formula>
    </cfRule>
    <cfRule type="expression" dxfId="3795" priority="3782" stopIfTrue="1">
      <formula>AQ39="0"</formula>
    </cfRule>
  </conditionalFormatting>
  <conditionalFormatting sqref="G39">
    <cfRule type="expression" dxfId="3794" priority="3779" stopIfTrue="1">
      <formula>AND(NOT($C39=""),G39="")</formula>
    </cfRule>
    <cfRule type="expression" dxfId="3793" priority="3780" stopIfTrue="1">
      <formula>AV39="0"</formula>
    </cfRule>
  </conditionalFormatting>
  <conditionalFormatting sqref="H39">
    <cfRule type="expression" dxfId="3792" priority="3777" stopIfTrue="1">
      <formula>AND(NOT($C39=""),H39="")</formula>
    </cfRule>
    <cfRule type="expression" dxfId="3791" priority="3778" stopIfTrue="1">
      <formula>BA39="0"</formula>
    </cfRule>
  </conditionalFormatting>
  <conditionalFormatting sqref="I39">
    <cfRule type="expression" dxfId="3790" priority="3775" stopIfTrue="1">
      <formula>AND(NOT($C39=""),I39="")</formula>
    </cfRule>
    <cfRule type="expression" dxfId="3789" priority="3776" stopIfTrue="1">
      <formula>BF39="0"</formula>
    </cfRule>
  </conditionalFormatting>
  <conditionalFormatting sqref="J39">
    <cfRule type="expression" dxfId="3788" priority="3773" stopIfTrue="1">
      <formula>AND(NOT($C39=""),J39="")</formula>
    </cfRule>
    <cfRule type="expression" dxfId="3787" priority="3774" stopIfTrue="1">
      <formula>BK39="0"</formula>
    </cfRule>
  </conditionalFormatting>
  <conditionalFormatting sqref="K39">
    <cfRule type="expression" dxfId="3786" priority="3771" stopIfTrue="1">
      <formula>AND(NOT($C39=""),K39="")</formula>
    </cfRule>
    <cfRule type="expression" dxfId="3785" priority="3772" stopIfTrue="1">
      <formula>BP39="0"</formula>
    </cfRule>
  </conditionalFormatting>
  <conditionalFormatting sqref="L39">
    <cfRule type="expression" dxfId="3784" priority="3769" stopIfTrue="1">
      <formula>AND(NOT($C39=""),L39="")</formula>
    </cfRule>
    <cfRule type="expression" dxfId="3783" priority="3770" stopIfTrue="1">
      <formula>BU39="0"</formula>
    </cfRule>
  </conditionalFormatting>
  <conditionalFormatting sqref="N39">
    <cfRule type="expression" dxfId="3782" priority="3767" stopIfTrue="1">
      <formula>AND(NOT($C39=""),N39="")</formula>
    </cfRule>
    <cfRule type="expression" dxfId="3781" priority="3768" stopIfTrue="1">
      <formula>CE39="0"</formula>
    </cfRule>
  </conditionalFormatting>
  <conditionalFormatting sqref="M39">
    <cfRule type="expression" dxfId="3780" priority="3766" stopIfTrue="1">
      <formula>BZ39="0"</formula>
    </cfRule>
  </conditionalFormatting>
  <conditionalFormatting sqref="D39">
    <cfRule type="expression" dxfId="3779" priority="3764" stopIfTrue="1">
      <formula>AND(NOT($C39=""),D39="")</formula>
    </cfRule>
    <cfRule type="expression" dxfId="3778" priority="3765" stopIfTrue="1">
      <formula>AG39="0"</formula>
    </cfRule>
  </conditionalFormatting>
  <conditionalFormatting sqref="E39">
    <cfRule type="expression" dxfId="3777" priority="3762" stopIfTrue="1">
      <formula>AND(NOT($C39=""),E39="")</formula>
    </cfRule>
    <cfRule type="expression" dxfId="3776" priority="3763" stopIfTrue="1">
      <formula>AL39="0"</formula>
    </cfRule>
  </conditionalFormatting>
  <conditionalFormatting sqref="F39">
    <cfRule type="expression" dxfId="3775" priority="3760" stopIfTrue="1">
      <formula>AND(NOT($C39=""),F39="")</formula>
    </cfRule>
    <cfRule type="expression" dxfId="3774" priority="3761" stopIfTrue="1">
      <formula>AQ39="0"</formula>
    </cfRule>
  </conditionalFormatting>
  <conditionalFormatting sqref="G39">
    <cfRule type="expression" dxfId="3773" priority="3758" stopIfTrue="1">
      <formula>AND(NOT($C39=""),G39="")</formula>
    </cfRule>
    <cfRule type="expression" dxfId="3772" priority="3759" stopIfTrue="1">
      <formula>AV39="0"</formula>
    </cfRule>
  </conditionalFormatting>
  <conditionalFormatting sqref="H39">
    <cfRule type="expression" dxfId="3771" priority="3756" stopIfTrue="1">
      <formula>AND(NOT($C39=""),H39="")</formula>
    </cfRule>
    <cfRule type="expression" dxfId="3770" priority="3757" stopIfTrue="1">
      <formula>BA39="0"</formula>
    </cfRule>
  </conditionalFormatting>
  <conditionalFormatting sqref="I39">
    <cfRule type="expression" dxfId="3769" priority="3754" stopIfTrue="1">
      <formula>AND(NOT($C39=""),I39="")</formula>
    </cfRule>
    <cfRule type="expression" dxfId="3768" priority="3755" stopIfTrue="1">
      <formula>BF39="0"</formula>
    </cfRule>
  </conditionalFormatting>
  <conditionalFormatting sqref="J39">
    <cfRule type="expression" dxfId="3767" priority="3752" stopIfTrue="1">
      <formula>AND(NOT($C39=""),J39="")</formula>
    </cfRule>
    <cfRule type="expression" dxfId="3766" priority="3753" stopIfTrue="1">
      <formula>BK39="0"</formula>
    </cfRule>
  </conditionalFormatting>
  <conditionalFormatting sqref="K39">
    <cfRule type="expression" dxfId="3765" priority="3750" stopIfTrue="1">
      <formula>AND(NOT($C39=""),K39="")</formula>
    </cfRule>
    <cfRule type="expression" dxfId="3764" priority="3751" stopIfTrue="1">
      <formula>BP39="0"</formula>
    </cfRule>
  </conditionalFormatting>
  <conditionalFormatting sqref="L39">
    <cfRule type="expression" dxfId="3763" priority="3748" stopIfTrue="1">
      <formula>AND(NOT($C39=""),L39="")</formula>
    </cfRule>
    <cfRule type="expression" dxfId="3762" priority="3749" stopIfTrue="1">
      <formula>BU39="0"</formula>
    </cfRule>
  </conditionalFormatting>
  <conditionalFormatting sqref="N39">
    <cfRule type="expression" dxfId="3761" priority="3746" stopIfTrue="1">
      <formula>AND(NOT($C39=""),N39="")</formula>
    </cfRule>
    <cfRule type="expression" dxfId="3760" priority="3747" stopIfTrue="1">
      <formula>CE39="0"</formula>
    </cfRule>
  </conditionalFormatting>
  <conditionalFormatting sqref="M31">
    <cfRule type="expression" dxfId="3759" priority="3745" stopIfTrue="1">
      <formula>BZ31="0"</formula>
    </cfRule>
  </conditionalFormatting>
  <conditionalFormatting sqref="D31">
    <cfRule type="expression" dxfId="3758" priority="3743" stopIfTrue="1">
      <formula>AND(NOT($C31=""),D31="")</formula>
    </cfRule>
    <cfRule type="expression" dxfId="3757" priority="3744" stopIfTrue="1">
      <formula>AG31="0"</formula>
    </cfRule>
  </conditionalFormatting>
  <conditionalFormatting sqref="E31">
    <cfRule type="expression" dxfId="3756" priority="3741" stopIfTrue="1">
      <formula>AND(NOT($C31=""),E31="")</formula>
    </cfRule>
    <cfRule type="expression" dxfId="3755" priority="3742" stopIfTrue="1">
      <formula>AL31="0"</formula>
    </cfRule>
  </conditionalFormatting>
  <conditionalFormatting sqref="F31">
    <cfRule type="expression" dxfId="3754" priority="3739" stopIfTrue="1">
      <formula>AND(NOT($C31=""),F31="")</formula>
    </cfRule>
    <cfRule type="expression" dxfId="3753" priority="3740" stopIfTrue="1">
      <formula>AQ31="0"</formula>
    </cfRule>
  </conditionalFormatting>
  <conditionalFormatting sqref="G31">
    <cfRule type="expression" dxfId="3752" priority="3737" stopIfTrue="1">
      <formula>AND(NOT($C31=""),G31="")</formula>
    </cfRule>
    <cfRule type="expression" dxfId="3751" priority="3738" stopIfTrue="1">
      <formula>AV31="0"</formula>
    </cfRule>
  </conditionalFormatting>
  <conditionalFormatting sqref="H31">
    <cfRule type="expression" dxfId="3750" priority="3735" stopIfTrue="1">
      <formula>AND(NOT($C31=""),H31="")</formula>
    </cfRule>
    <cfRule type="expression" dxfId="3749" priority="3736" stopIfTrue="1">
      <formula>BA31="0"</formula>
    </cfRule>
  </conditionalFormatting>
  <conditionalFormatting sqref="I31">
    <cfRule type="expression" dxfId="3748" priority="3733" stopIfTrue="1">
      <formula>AND(NOT($C31=""),I31="")</formula>
    </cfRule>
    <cfRule type="expression" dxfId="3747" priority="3734" stopIfTrue="1">
      <formula>BF31="0"</formula>
    </cfRule>
  </conditionalFormatting>
  <conditionalFormatting sqref="J31">
    <cfRule type="expression" dxfId="3746" priority="3731" stopIfTrue="1">
      <formula>AND(NOT($C31=""),J31="")</formula>
    </cfRule>
    <cfRule type="expression" dxfId="3745" priority="3732" stopIfTrue="1">
      <formula>BK31="0"</formula>
    </cfRule>
  </conditionalFormatting>
  <conditionalFormatting sqref="K31">
    <cfRule type="expression" dxfId="3744" priority="3729" stopIfTrue="1">
      <formula>AND(NOT($C31=""),K31="")</formula>
    </cfRule>
    <cfRule type="expression" dxfId="3743" priority="3730" stopIfTrue="1">
      <formula>BP31="0"</formula>
    </cfRule>
  </conditionalFormatting>
  <conditionalFormatting sqref="L31">
    <cfRule type="expression" dxfId="3742" priority="3727" stopIfTrue="1">
      <formula>AND(NOT($C31=""),L31="")</formula>
    </cfRule>
    <cfRule type="expression" dxfId="3741" priority="3728" stopIfTrue="1">
      <formula>BU31="0"</formula>
    </cfRule>
  </conditionalFormatting>
  <conditionalFormatting sqref="N31">
    <cfRule type="expression" dxfId="3740" priority="3725" stopIfTrue="1">
      <formula>AND(NOT($C31=""),N31="")</formula>
    </cfRule>
    <cfRule type="expression" dxfId="3739" priority="3726" stopIfTrue="1">
      <formula>CE31="0"</formula>
    </cfRule>
  </conditionalFormatting>
  <conditionalFormatting sqref="M31">
    <cfRule type="expression" dxfId="3738" priority="3724" stopIfTrue="1">
      <formula>BZ31="0"</formula>
    </cfRule>
  </conditionalFormatting>
  <conditionalFormatting sqref="E31">
    <cfRule type="expression" dxfId="3737" priority="3722" stopIfTrue="1">
      <formula>AND(NOT($C31=""),E31="")</formula>
    </cfRule>
    <cfRule type="expression" dxfId="3736" priority="3723" stopIfTrue="1">
      <formula>AL31="0"</formula>
    </cfRule>
  </conditionalFormatting>
  <conditionalFormatting sqref="F31">
    <cfRule type="expression" dxfId="3735" priority="3720" stopIfTrue="1">
      <formula>AND(NOT($C31=""),F31="")</formula>
    </cfRule>
    <cfRule type="expression" dxfId="3734" priority="3721" stopIfTrue="1">
      <formula>AQ31="0"</formula>
    </cfRule>
  </conditionalFormatting>
  <conditionalFormatting sqref="G31">
    <cfRule type="expression" dxfId="3733" priority="3718" stopIfTrue="1">
      <formula>AND(NOT($C31=""),G31="")</formula>
    </cfRule>
    <cfRule type="expression" dxfId="3732" priority="3719" stopIfTrue="1">
      <formula>AV31="0"</formula>
    </cfRule>
  </conditionalFormatting>
  <conditionalFormatting sqref="H31">
    <cfRule type="expression" dxfId="3731" priority="3716" stopIfTrue="1">
      <formula>AND(NOT($C31=""),H31="")</formula>
    </cfRule>
    <cfRule type="expression" dxfId="3730" priority="3717" stopIfTrue="1">
      <formula>BA31="0"</formula>
    </cfRule>
  </conditionalFormatting>
  <conditionalFormatting sqref="I31">
    <cfRule type="expression" dxfId="3729" priority="3714" stopIfTrue="1">
      <formula>AND(NOT($C31=""),I31="")</formula>
    </cfRule>
    <cfRule type="expression" dxfId="3728" priority="3715" stopIfTrue="1">
      <formula>BF31="0"</formula>
    </cfRule>
  </conditionalFormatting>
  <conditionalFormatting sqref="J31">
    <cfRule type="expression" dxfId="3727" priority="3712" stopIfTrue="1">
      <formula>AND(NOT($C31=""),J31="")</formula>
    </cfRule>
    <cfRule type="expression" dxfId="3726" priority="3713" stopIfTrue="1">
      <formula>BK31="0"</formula>
    </cfRule>
  </conditionalFormatting>
  <conditionalFormatting sqref="K31">
    <cfRule type="expression" dxfId="3725" priority="3710" stopIfTrue="1">
      <formula>AND(NOT($C31=""),K31="")</formula>
    </cfRule>
    <cfRule type="expression" dxfId="3724" priority="3711" stopIfTrue="1">
      <formula>BP31="0"</formula>
    </cfRule>
  </conditionalFormatting>
  <conditionalFormatting sqref="L31">
    <cfRule type="expression" dxfId="3723" priority="3708" stopIfTrue="1">
      <formula>AND(NOT($C31=""),L31="")</formula>
    </cfRule>
    <cfRule type="expression" dxfId="3722" priority="3709" stopIfTrue="1">
      <formula>BU31="0"</formula>
    </cfRule>
  </conditionalFormatting>
  <conditionalFormatting sqref="N31">
    <cfRule type="expression" dxfId="3721" priority="3706" stopIfTrue="1">
      <formula>AND(NOT($C31=""),N31="")</formula>
    </cfRule>
    <cfRule type="expression" dxfId="3720" priority="3707" stopIfTrue="1">
      <formula>CE31="0"</formula>
    </cfRule>
  </conditionalFormatting>
  <conditionalFormatting sqref="M29">
    <cfRule type="expression" dxfId="3719" priority="3705" stopIfTrue="1">
      <formula>BZ29="0"</formula>
    </cfRule>
  </conditionalFormatting>
  <conditionalFormatting sqref="D29">
    <cfRule type="expression" dxfId="3718" priority="3703" stopIfTrue="1">
      <formula>AND(NOT($C29=""),D29="")</formula>
    </cfRule>
    <cfRule type="expression" dxfId="3717" priority="3704" stopIfTrue="1">
      <formula>AG29="0"</formula>
    </cfRule>
  </conditionalFormatting>
  <conditionalFormatting sqref="E29">
    <cfRule type="expression" dxfId="3716" priority="3701" stopIfTrue="1">
      <formula>AND(NOT($C29=""),E29="")</formula>
    </cfRule>
    <cfRule type="expression" dxfId="3715" priority="3702" stopIfTrue="1">
      <formula>AL29="0"</formula>
    </cfRule>
  </conditionalFormatting>
  <conditionalFormatting sqref="F29">
    <cfRule type="expression" dxfId="3714" priority="3699" stopIfTrue="1">
      <formula>AND(NOT($C29=""),F29="")</formula>
    </cfRule>
    <cfRule type="expression" dxfId="3713" priority="3700" stopIfTrue="1">
      <formula>AQ29="0"</formula>
    </cfRule>
  </conditionalFormatting>
  <conditionalFormatting sqref="G29">
    <cfRule type="expression" dxfId="3712" priority="3697" stopIfTrue="1">
      <formula>AND(NOT($C29=""),G29="")</formula>
    </cfRule>
    <cfRule type="expression" dxfId="3711" priority="3698" stopIfTrue="1">
      <formula>AV29="0"</formula>
    </cfRule>
  </conditionalFormatting>
  <conditionalFormatting sqref="H29">
    <cfRule type="expression" dxfId="3710" priority="3695" stopIfTrue="1">
      <formula>AND(NOT($C29=""),H29="")</formula>
    </cfRule>
    <cfRule type="expression" dxfId="3709" priority="3696" stopIfTrue="1">
      <formula>BA29="0"</formula>
    </cfRule>
  </conditionalFormatting>
  <conditionalFormatting sqref="I29">
    <cfRule type="expression" dxfId="3708" priority="3693" stopIfTrue="1">
      <formula>AND(NOT($C29=""),I29="")</formula>
    </cfRule>
    <cfRule type="expression" dxfId="3707" priority="3694" stopIfTrue="1">
      <formula>BF29="0"</formula>
    </cfRule>
  </conditionalFormatting>
  <conditionalFormatting sqref="J29">
    <cfRule type="expression" dxfId="3706" priority="3691" stopIfTrue="1">
      <formula>AND(NOT($C29=""),J29="")</formula>
    </cfRule>
    <cfRule type="expression" dxfId="3705" priority="3692" stopIfTrue="1">
      <formula>BK29="0"</formula>
    </cfRule>
  </conditionalFormatting>
  <conditionalFormatting sqref="K29">
    <cfRule type="expression" dxfId="3704" priority="3689" stopIfTrue="1">
      <formula>AND(NOT($C29=""),K29="")</formula>
    </cfRule>
    <cfRule type="expression" dxfId="3703" priority="3690" stopIfTrue="1">
      <formula>BP29="0"</formula>
    </cfRule>
  </conditionalFormatting>
  <conditionalFormatting sqref="L29">
    <cfRule type="expression" dxfId="3702" priority="3687" stopIfTrue="1">
      <formula>AND(NOT($C29=""),L29="")</formula>
    </cfRule>
    <cfRule type="expression" dxfId="3701" priority="3688" stopIfTrue="1">
      <formula>BU29="0"</formula>
    </cfRule>
  </conditionalFormatting>
  <conditionalFormatting sqref="N29">
    <cfRule type="expression" dxfId="3700" priority="3685" stopIfTrue="1">
      <formula>AND(NOT($C29=""),N29="")</formula>
    </cfRule>
    <cfRule type="expression" dxfId="3699" priority="3686" stopIfTrue="1">
      <formula>CE29="0"</formula>
    </cfRule>
  </conditionalFormatting>
  <conditionalFormatting sqref="M11">
    <cfRule type="expression" dxfId="3698" priority="3684" stopIfTrue="1">
      <formula>BZ11="0"</formula>
    </cfRule>
  </conditionalFormatting>
  <conditionalFormatting sqref="D11">
    <cfRule type="expression" dxfId="3697" priority="3682" stopIfTrue="1">
      <formula>AND(NOT($C11=""),D11="")</formula>
    </cfRule>
    <cfRule type="expression" dxfId="3696" priority="3683" stopIfTrue="1">
      <formula>AG11="0"</formula>
    </cfRule>
  </conditionalFormatting>
  <conditionalFormatting sqref="E11">
    <cfRule type="expression" dxfId="3695" priority="3680" stopIfTrue="1">
      <formula>AND(NOT($C11=""),E11="")</formula>
    </cfRule>
    <cfRule type="expression" dxfId="3694" priority="3681" stopIfTrue="1">
      <formula>AL11="0"</formula>
    </cfRule>
  </conditionalFormatting>
  <conditionalFormatting sqref="F11">
    <cfRule type="expression" dxfId="3693" priority="3678" stopIfTrue="1">
      <formula>AND(NOT($C11=""),F11="")</formula>
    </cfRule>
    <cfRule type="expression" dxfId="3692" priority="3679" stopIfTrue="1">
      <formula>AQ11="0"</formula>
    </cfRule>
  </conditionalFormatting>
  <conditionalFormatting sqref="G11">
    <cfRule type="expression" dxfId="3691" priority="3676" stopIfTrue="1">
      <formula>AND(NOT($C11=""),G11="")</formula>
    </cfRule>
    <cfRule type="expression" dxfId="3690" priority="3677" stopIfTrue="1">
      <formula>AV11="0"</formula>
    </cfRule>
  </conditionalFormatting>
  <conditionalFormatting sqref="H11">
    <cfRule type="expression" dxfId="3689" priority="3674" stopIfTrue="1">
      <formula>AND(NOT($C11=""),H11="")</formula>
    </cfRule>
    <cfRule type="expression" dxfId="3688" priority="3675" stopIfTrue="1">
      <formula>BA11="0"</formula>
    </cfRule>
  </conditionalFormatting>
  <conditionalFormatting sqref="I11">
    <cfRule type="expression" dxfId="3687" priority="3672" stopIfTrue="1">
      <formula>AND(NOT($C11=""),I11="")</formula>
    </cfRule>
    <cfRule type="expression" dxfId="3686" priority="3673" stopIfTrue="1">
      <formula>BF11="0"</formula>
    </cfRule>
  </conditionalFormatting>
  <conditionalFormatting sqref="J11">
    <cfRule type="expression" dxfId="3685" priority="3670" stopIfTrue="1">
      <formula>AND(NOT($C11=""),J11="")</formula>
    </cfRule>
    <cfRule type="expression" dxfId="3684" priority="3671" stopIfTrue="1">
      <formula>BK11="0"</formula>
    </cfRule>
  </conditionalFormatting>
  <conditionalFormatting sqref="K11">
    <cfRule type="expression" dxfId="3683" priority="3668" stopIfTrue="1">
      <formula>AND(NOT($C11=""),K11="")</formula>
    </cfRule>
    <cfRule type="expression" dxfId="3682" priority="3669" stopIfTrue="1">
      <formula>BP11="0"</formula>
    </cfRule>
  </conditionalFormatting>
  <conditionalFormatting sqref="L11">
    <cfRule type="expression" dxfId="3681" priority="3666" stopIfTrue="1">
      <formula>AND(NOT($C11=""),L11="")</formula>
    </cfRule>
    <cfRule type="expression" dxfId="3680" priority="3667" stopIfTrue="1">
      <formula>BU11="0"</formula>
    </cfRule>
  </conditionalFormatting>
  <conditionalFormatting sqref="N11">
    <cfRule type="expression" dxfId="3679" priority="3664" stopIfTrue="1">
      <formula>AND(NOT($C11=""),N11="")</formula>
    </cfRule>
    <cfRule type="expression" dxfId="3678" priority="3665" stopIfTrue="1">
      <formula>CE11="0"</formula>
    </cfRule>
  </conditionalFormatting>
  <conditionalFormatting sqref="M11">
    <cfRule type="expression" dxfId="3677" priority="3663" stopIfTrue="1">
      <formula>BZ11="0"</formula>
    </cfRule>
  </conditionalFormatting>
  <conditionalFormatting sqref="D11">
    <cfRule type="expression" dxfId="3676" priority="3661" stopIfTrue="1">
      <formula>AND(NOT($C11=""),D11="")</formula>
    </cfRule>
    <cfRule type="expression" dxfId="3675" priority="3662" stopIfTrue="1">
      <formula>AG11="0"</formula>
    </cfRule>
  </conditionalFormatting>
  <conditionalFormatting sqref="E11">
    <cfRule type="expression" dxfId="3674" priority="3659" stopIfTrue="1">
      <formula>AND(NOT($C11=""),E11="")</formula>
    </cfRule>
    <cfRule type="expression" dxfId="3673" priority="3660" stopIfTrue="1">
      <formula>AL11="0"</formula>
    </cfRule>
  </conditionalFormatting>
  <conditionalFormatting sqref="F11">
    <cfRule type="expression" dxfId="3672" priority="3657" stopIfTrue="1">
      <formula>AND(NOT($C11=""),F11="")</formula>
    </cfRule>
    <cfRule type="expression" dxfId="3671" priority="3658" stopIfTrue="1">
      <formula>AQ11="0"</formula>
    </cfRule>
  </conditionalFormatting>
  <conditionalFormatting sqref="G11">
    <cfRule type="expression" dxfId="3670" priority="3655" stopIfTrue="1">
      <formula>AND(NOT($C11=""),G11="")</formula>
    </cfRule>
    <cfRule type="expression" dxfId="3669" priority="3656" stopIfTrue="1">
      <formula>AV11="0"</formula>
    </cfRule>
  </conditionalFormatting>
  <conditionalFormatting sqref="H11">
    <cfRule type="expression" dxfId="3668" priority="3653" stopIfTrue="1">
      <formula>AND(NOT($C11=""),H11="")</formula>
    </cfRule>
    <cfRule type="expression" dxfId="3667" priority="3654" stopIfTrue="1">
      <formula>BA11="0"</formula>
    </cfRule>
  </conditionalFormatting>
  <conditionalFormatting sqref="I11">
    <cfRule type="expression" dxfId="3666" priority="3651" stopIfTrue="1">
      <formula>AND(NOT($C11=""),I11="")</formula>
    </cfRule>
    <cfRule type="expression" dxfId="3665" priority="3652" stopIfTrue="1">
      <formula>BF11="0"</formula>
    </cfRule>
  </conditionalFormatting>
  <conditionalFormatting sqref="J11">
    <cfRule type="expression" dxfId="3664" priority="3649" stopIfTrue="1">
      <formula>AND(NOT($C11=""),J11="")</formula>
    </cfRule>
    <cfRule type="expression" dxfId="3663" priority="3650" stopIfTrue="1">
      <formula>BK11="0"</formula>
    </cfRule>
  </conditionalFormatting>
  <conditionalFormatting sqref="K11">
    <cfRule type="expression" dxfId="3662" priority="3647" stopIfTrue="1">
      <formula>AND(NOT($C11=""),K11="")</formula>
    </cfRule>
    <cfRule type="expression" dxfId="3661" priority="3648" stopIfTrue="1">
      <formula>BP11="0"</formula>
    </cfRule>
  </conditionalFormatting>
  <conditionalFormatting sqref="L11">
    <cfRule type="expression" dxfId="3660" priority="3645" stopIfTrue="1">
      <formula>AND(NOT($C11=""),L11="")</formula>
    </cfRule>
    <cfRule type="expression" dxfId="3659" priority="3646" stopIfTrue="1">
      <formula>BU11="0"</formula>
    </cfRule>
  </conditionalFormatting>
  <conditionalFormatting sqref="N11">
    <cfRule type="expression" dxfId="3658" priority="3643" stopIfTrue="1">
      <formula>AND(NOT($C11=""),N11="")</formula>
    </cfRule>
    <cfRule type="expression" dxfId="3657" priority="3644" stopIfTrue="1">
      <formula>CE11="0"</formula>
    </cfRule>
  </conditionalFormatting>
  <conditionalFormatting sqref="M11">
    <cfRule type="expression" dxfId="3656" priority="3642" stopIfTrue="1">
      <formula>BZ11="0"</formula>
    </cfRule>
  </conditionalFormatting>
  <conditionalFormatting sqref="D11">
    <cfRule type="expression" dxfId="3655" priority="3640" stopIfTrue="1">
      <formula>AND(NOT($C11=""),D11="")</formula>
    </cfRule>
    <cfRule type="expression" dxfId="3654" priority="3641" stopIfTrue="1">
      <formula>AG11="0"</formula>
    </cfRule>
  </conditionalFormatting>
  <conditionalFormatting sqref="E11">
    <cfRule type="expression" dxfId="3653" priority="3638" stopIfTrue="1">
      <formula>AND(NOT($C11=""),E11="")</formula>
    </cfRule>
    <cfRule type="expression" dxfId="3652" priority="3639" stopIfTrue="1">
      <formula>AL11="0"</formula>
    </cfRule>
  </conditionalFormatting>
  <conditionalFormatting sqref="F11">
    <cfRule type="expression" dxfId="3651" priority="3636" stopIfTrue="1">
      <formula>AND(NOT($C11=""),F11="")</formula>
    </cfRule>
    <cfRule type="expression" dxfId="3650" priority="3637" stopIfTrue="1">
      <formula>AQ11="0"</formula>
    </cfRule>
  </conditionalFormatting>
  <conditionalFormatting sqref="G11">
    <cfRule type="expression" dxfId="3649" priority="3634" stopIfTrue="1">
      <formula>AND(NOT($C11=""),G11="")</formula>
    </cfRule>
    <cfRule type="expression" dxfId="3648" priority="3635" stopIfTrue="1">
      <formula>AV11="0"</formula>
    </cfRule>
  </conditionalFormatting>
  <conditionalFormatting sqref="H11">
    <cfRule type="expression" dxfId="3647" priority="3632" stopIfTrue="1">
      <formula>AND(NOT($C11=""),H11="")</formula>
    </cfRule>
    <cfRule type="expression" dxfId="3646" priority="3633" stopIfTrue="1">
      <formula>BA11="0"</formula>
    </cfRule>
  </conditionalFormatting>
  <conditionalFormatting sqref="I11">
    <cfRule type="expression" dxfId="3645" priority="3630" stopIfTrue="1">
      <formula>AND(NOT($C11=""),I11="")</formula>
    </cfRule>
    <cfRule type="expression" dxfId="3644" priority="3631" stopIfTrue="1">
      <formula>BF11="0"</formula>
    </cfRule>
  </conditionalFormatting>
  <conditionalFormatting sqref="J11">
    <cfRule type="expression" dxfId="3643" priority="3628" stopIfTrue="1">
      <formula>AND(NOT($C11=""),J11="")</formula>
    </cfRule>
    <cfRule type="expression" dxfId="3642" priority="3629" stopIfTrue="1">
      <formula>BK11="0"</formula>
    </cfRule>
  </conditionalFormatting>
  <conditionalFormatting sqref="K11">
    <cfRule type="expression" dxfId="3641" priority="3626" stopIfTrue="1">
      <formula>AND(NOT($C11=""),K11="")</formula>
    </cfRule>
    <cfRule type="expression" dxfId="3640" priority="3627" stopIfTrue="1">
      <formula>BP11="0"</formula>
    </cfRule>
  </conditionalFormatting>
  <conditionalFormatting sqref="L11">
    <cfRule type="expression" dxfId="3639" priority="3624" stopIfTrue="1">
      <formula>AND(NOT($C11=""),L11="")</formula>
    </cfRule>
    <cfRule type="expression" dxfId="3638" priority="3625" stopIfTrue="1">
      <formula>BU11="0"</formula>
    </cfRule>
  </conditionalFormatting>
  <conditionalFormatting sqref="N11">
    <cfRule type="expression" dxfId="3637" priority="3622" stopIfTrue="1">
      <formula>AND(NOT($C11=""),N11="")</formula>
    </cfRule>
    <cfRule type="expression" dxfId="3636" priority="3623" stopIfTrue="1">
      <formula>CE11="0"</formula>
    </cfRule>
  </conditionalFormatting>
  <conditionalFormatting sqref="M11">
    <cfRule type="expression" dxfId="3635" priority="3621" stopIfTrue="1">
      <formula>BZ11="0"</formula>
    </cfRule>
  </conditionalFormatting>
  <conditionalFormatting sqref="D11">
    <cfRule type="expression" dxfId="3634" priority="3619" stopIfTrue="1">
      <formula>AND(NOT($C11=""),D11="")</formula>
    </cfRule>
    <cfRule type="expression" dxfId="3633" priority="3620" stopIfTrue="1">
      <formula>AG11="0"</formula>
    </cfRule>
  </conditionalFormatting>
  <conditionalFormatting sqref="E11">
    <cfRule type="expression" dxfId="3632" priority="3617" stopIfTrue="1">
      <formula>AND(NOT($C11=""),E11="")</formula>
    </cfRule>
    <cfRule type="expression" dxfId="3631" priority="3618" stopIfTrue="1">
      <formula>AL11="0"</formula>
    </cfRule>
  </conditionalFormatting>
  <conditionalFormatting sqref="F11">
    <cfRule type="expression" dxfId="3630" priority="3615" stopIfTrue="1">
      <formula>AND(NOT($C11=""),F11="")</formula>
    </cfRule>
    <cfRule type="expression" dxfId="3629" priority="3616" stopIfTrue="1">
      <formula>AQ11="0"</formula>
    </cfRule>
  </conditionalFormatting>
  <conditionalFormatting sqref="G11">
    <cfRule type="expression" dxfId="3628" priority="3613" stopIfTrue="1">
      <formula>AND(NOT($C11=""),G11="")</formula>
    </cfRule>
    <cfRule type="expression" dxfId="3627" priority="3614" stopIfTrue="1">
      <formula>AV11="0"</formula>
    </cfRule>
  </conditionalFormatting>
  <conditionalFormatting sqref="H11">
    <cfRule type="expression" dxfId="3626" priority="3611" stopIfTrue="1">
      <formula>AND(NOT($C11=""),H11="")</formula>
    </cfRule>
    <cfRule type="expression" dxfId="3625" priority="3612" stopIfTrue="1">
      <formula>BA11="0"</formula>
    </cfRule>
  </conditionalFormatting>
  <conditionalFormatting sqref="I11">
    <cfRule type="expression" dxfId="3624" priority="3609" stopIfTrue="1">
      <formula>AND(NOT($C11=""),I11="")</formula>
    </cfRule>
    <cfRule type="expression" dxfId="3623" priority="3610" stopIfTrue="1">
      <formula>BF11="0"</formula>
    </cfRule>
  </conditionalFormatting>
  <conditionalFormatting sqref="J11">
    <cfRule type="expression" dxfId="3622" priority="3607" stopIfTrue="1">
      <formula>AND(NOT($C11=""),J11="")</formula>
    </cfRule>
    <cfRule type="expression" dxfId="3621" priority="3608" stopIfTrue="1">
      <formula>BK11="0"</formula>
    </cfRule>
  </conditionalFormatting>
  <conditionalFormatting sqref="K11">
    <cfRule type="expression" dxfId="3620" priority="3605" stopIfTrue="1">
      <formula>AND(NOT($C11=""),K11="")</formula>
    </cfRule>
    <cfRule type="expression" dxfId="3619" priority="3606" stopIfTrue="1">
      <formula>BP11="0"</formula>
    </cfRule>
  </conditionalFormatting>
  <conditionalFormatting sqref="L11">
    <cfRule type="expression" dxfId="3618" priority="3603" stopIfTrue="1">
      <formula>AND(NOT($C11=""),L11="")</formula>
    </cfRule>
    <cfRule type="expression" dxfId="3617" priority="3604" stopIfTrue="1">
      <formula>BU11="0"</formula>
    </cfRule>
  </conditionalFormatting>
  <conditionalFormatting sqref="N11">
    <cfRule type="expression" dxfId="3616" priority="3601" stopIfTrue="1">
      <formula>AND(NOT($C11=""),N11="")</formula>
    </cfRule>
    <cfRule type="expression" dxfId="3615" priority="3602" stopIfTrue="1">
      <formula>CE11="0"</formula>
    </cfRule>
  </conditionalFormatting>
  <conditionalFormatting sqref="M29">
    <cfRule type="expression" dxfId="3614" priority="3600" stopIfTrue="1">
      <formula>BZ29="0"</formula>
    </cfRule>
  </conditionalFormatting>
  <conditionalFormatting sqref="D29">
    <cfRule type="expression" dxfId="3613" priority="3598" stopIfTrue="1">
      <formula>AND(NOT($C29=""),D29="")</formula>
    </cfRule>
    <cfRule type="expression" dxfId="3612" priority="3599" stopIfTrue="1">
      <formula>AG29="0"</formula>
    </cfRule>
  </conditionalFormatting>
  <conditionalFormatting sqref="E29">
    <cfRule type="expression" dxfId="3611" priority="3596" stopIfTrue="1">
      <formula>AND(NOT($C29=""),E29="")</formula>
    </cfRule>
    <cfRule type="expression" dxfId="3610" priority="3597" stopIfTrue="1">
      <formula>AL29="0"</formula>
    </cfRule>
  </conditionalFormatting>
  <conditionalFormatting sqref="F29">
    <cfRule type="expression" dxfId="3609" priority="3594" stopIfTrue="1">
      <formula>AND(NOT($C29=""),F29="")</formula>
    </cfRule>
    <cfRule type="expression" dxfId="3608" priority="3595" stopIfTrue="1">
      <formula>AQ29="0"</formula>
    </cfRule>
  </conditionalFormatting>
  <conditionalFormatting sqref="G29">
    <cfRule type="expression" dxfId="3607" priority="3592" stopIfTrue="1">
      <formula>AND(NOT($C29=""),G29="")</formula>
    </cfRule>
    <cfRule type="expression" dxfId="3606" priority="3593" stopIfTrue="1">
      <formula>AV29="0"</formula>
    </cfRule>
  </conditionalFormatting>
  <conditionalFormatting sqref="H29">
    <cfRule type="expression" dxfId="3605" priority="3590" stopIfTrue="1">
      <formula>AND(NOT($C29=""),H29="")</formula>
    </cfRule>
    <cfRule type="expression" dxfId="3604" priority="3591" stopIfTrue="1">
      <formula>BA29="0"</formula>
    </cfRule>
  </conditionalFormatting>
  <conditionalFormatting sqref="I29">
    <cfRule type="expression" dxfId="3603" priority="3588" stopIfTrue="1">
      <formula>AND(NOT($C29=""),I29="")</formula>
    </cfRule>
    <cfRule type="expression" dxfId="3602" priority="3589" stopIfTrue="1">
      <formula>BF29="0"</formula>
    </cfRule>
  </conditionalFormatting>
  <conditionalFormatting sqref="J29">
    <cfRule type="expression" dxfId="3601" priority="3586" stopIfTrue="1">
      <formula>AND(NOT($C29=""),J29="")</formula>
    </cfRule>
    <cfRule type="expression" dxfId="3600" priority="3587" stopIfTrue="1">
      <formula>BK29="0"</formula>
    </cfRule>
  </conditionalFormatting>
  <conditionalFormatting sqref="K29">
    <cfRule type="expression" dxfId="3599" priority="3584" stopIfTrue="1">
      <formula>AND(NOT($C29=""),K29="")</formula>
    </cfRule>
    <cfRule type="expression" dxfId="3598" priority="3585" stopIfTrue="1">
      <formula>BP29="0"</formula>
    </cfRule>
  </conditionalFormatting>
  <conditionalFormatting sqref="L29">
    <cfRule type="expression" dxfId="3597" priority="3582" stopIfTrue="1">
      <formula>AND(NOT($C29=""),L29="")</formula>
    </cfRule>
    <cfRule type="expression" dxfId="3596" priority="3583" stopIfTrue="1">
      <formula>BU29="0"</formula>
    </cfRule>
  </conditionalFormatting>
  <conditionalFormatting sqref="N29">
    <cfRule type="expression" dxfId="3595" priority="3580" stopIfTrue="1">
      <formula>AND(NOT($C29=""),N29="")</formula>
    </cfRule>
    <cfRule type="expression" dxfId="3594" priority="3581" stopIfTrue="1">
      <formula>CE29="0"</formula>
    </cfRule>
  </conditionalFormatting>
  <conditionalFormatting sqref="M29">
    <cfRule type="expression" dxfId="3593" priority="3579" stopIfTrue="1">
      <formula>BZ29="0"</formula>
    </cfRule>
  </conditionalFormatting>
  <conditionalFormatting sqref="D29">
    <cfRule type="expression" dxfId="3592" priority="3577" stopIfTrue="1">
      <formula>AND(NOT($C29=""),D29="")</formula>
    </cfRule>
    <cfRule type="expression" dxfId="3591" priority="3578" stopIfTrue="1">
      <formula>AG29="0"</formula>
    </cfRule>
  </conditionalFormatting>
  <conditionalFormatting sqref="E29">
    <cfRule type="expression" dxfId="3590" priority="3575" stopIfTrue="1">
      <formula>AND(NOT($C29=""),E29="")</formula>
    </cfRule>
    <cfRule type="expression" dxfId="3589" priority="3576" stopIfTrue="1">
      <formula>AL29="0"</formula>
    </cfRule>
  </conditionalFormatting>
  <conditionalFormatting sqref="F29">
    <cfRule type="expression" dxfId="3588" priority="3573" stopIfTrue="1">
      <formula>AND(NOT($C29=""),F29="")</formula>
    </cfRule>
    <cfRule type="expression" dxfId="3587" priority="3574" stopIfTrue="1">
      <formula>AQ29="0"</formula>
    </cfRule>
  </conditionalFormatting>
  <conditionalFormatting sqref="G29">
    <cfRule type="expression" dxfId="3586" priority="3571" stopIfTrue="1">
      <formula>AND(NOT($C29=""),G29="")</formula>
    </cfRule>
    <cfRule type="expression" dxfId="3585" priority="3572" stopIfTrue="1">
      <formula>AV29="0"</formula>
    </cfRule>
  </conditionalFormatting>
  <conditionalFormatting sqref="H29">
    <cfRule type="expression" dxfId="3584" priority="3569" stopIfTrue="1">
      <formula>AND(NOT($C29=""),H29="")</formula>
    </cfRule>
    <cfRule type="expression" dxfId="3583" priority="3570" stopIfTrue="1">
      <formula>BA29="0"</formula>
    </cfRule>
  </conditionalFormatting>
  <conditionalFormatting sqref="I29">
    <cfRule type="expression" dxfId="3582" priority="3567" stopIfTrue="1">
      <formula>AND(NOT($C29=""),I29="")</formula>
    </cfRule>
    <cfRule type="expression" dxfId="3581" priority="3568" stopIfTrue="1">
      <formula>BF29="0"</formula>
    </cfRule>
  </conditionalFormatting>
  <conditionalFormatting sqref="J29">
    <cfRule type="expression" dxfId="3580" priority="3565" stopIfTrue="1">
      <formula>AND(NOT($C29=""),J29="")</formula>
    </cfRule>
    <cfRule type="expression" dxfId="3579" priority="3566" stopIfTrue="1">
      <formula>BK29="0"</formula>
    </cfRule>
  </conditionalFormatting>
  <conditionalFormatting sqref="K29">
    <cfRule type="expression" dxfId="3578" priority="3563" stopIfTrue="1">
      <formula>AND(NOT($C29=""),K29="")</formula>
    </cfRule>
    <cfRule type="expression" dxfId="3577" priority="3564" stopIfTrue="1">
      <formula>BP29="0"</formula>
    </cfRule>
  </conditionalFormatting>
  <conditionalFormatting sqref="L29">
    <cfRule type="expression" dxfId="3576" priority="3561" stopIfTrue="1">
      <formula>AND(NOT($C29=""),L29="")</formula>
    </cfRule>
    <cfRule type="expression" dxfId="3575" priority="3562" stopIfTrue="1">
      <formula>BU29="0"</formula>
    </cfRule>
  </conditionalFormatting>
  <conditionalFormatting sqref="N29">
    <cfRule type="expression" dxfId="3574" priority="3559" stopIfTrue="1">
      <formula>AND(NOT($C29=""),N29="")</formula>
    </cfRule>
    <cfRule type="expression" dxfId="3573" priority="3560" stopIfTrue="1">
      <formula>CE29="0"</formula>
    </cfRule>
  </conditionalFormatting>
  <conditionalFormatting sqref="M29">
    <cfRule type="expression" dxfId="3572" priority="3558" stopIfTrue="1">
      <formula>BZ29="0"</formula>
    </cfRule>
  </conditionalFormatting>
  <conditionalFormatting sqref="D29">
    <cfRule type="expression" dxfId="3571" priority="3556" stopIfTrue="1">
      <formula>AND(NOT($C29=""),D29="")</formula>
    </cfRule>
    <cfRule type="expression" dxfId="3570" priority="3557" stopIfTrue="1">
      <formula>AG29="0"</formula>
    </cfRule>
  </conditionalFormatting>
  <conditionalFormatting sqref="E29">
    <cfRule type="expression" dxfId="3569" priority="3554" stopIfTrue="1">
      <formula>AND(NOT($C29=""),E29="")</formula>
    </cfRule>
    <cfRule type="expression" dxfId="3568" priority="3555" stopIfTrue="1">
      <formula>AL29="0"</formula>
    </cfRule>
  </conditionalFormatting>
  <conditionalFormatting sqref="F29">
    <cfRule type="expression" dxfId="3567" priority="3552" stopIfTrue="1">
      <formula>AND(NOT($C29=""),F29="")</formula>
    </cfRule>
    <cfRule type="expression" dxfId="3566" priority="3553" stopIfTrue="1">
      <formula>AQ29="0"</formula>
    </cfRule>
  </conditionalFormatting>
  <conditionalFormatting sqref="G29">
    <cfRule type="expression" dxfId="3565" priority="3550" stopIfTrue="1">
      <formula>AND(NOT($C29=""),G29="")</formula>
    </cfRule>
    <cfRule type="expression" dxfId="3564" priority="3551" stopIfTrue="1">
      <formula>AV29="0"</formula>
    </cfRule>
  </conditionalFormatting>
  <conditionalFormatting sqref="H29">
    <cfRule type="expression" dxfId="3563" priority="3548" stopIfTrue="1">
      <formula>AND(NOT($C29=""),H29="")</formula>
    </cfRule>
    <cfRule type="expression" dxfId="3562" priority="3549" stopIfTrue="1">
      <formula>BA29="0"</formula>
    </cfRule>
  </conditionalFormatting>
  <conditionalFormatting sqref="I29">
    <cfRule type="expression" dxfId="3561" priority="3546" stopIfTrue="1">
      <formula>AND(NOT($C29=""),I29="")</formula>
    </cfRule>
    <cfRule type="expression" dxfId="3560" priority="3547" stopIfTrue="1">
      <formula>BF29="0"</formula>
    </cfRule>
  </conditionalFormatting>
  <conditionalFormatting sqref="J29">
    <cfRule type="expression" dxfId="3559" priority="3544" stopIfTrue="1">
      <formula>AND(NOT($C29=""),J29="")</formula>
    </cfRule>
    <cfRule type="expression" dxfId="3558" priority="3545" stopIfTrue="1">
      <formula>BK29="0"</formula>
    </cfRule>
  </conditionalFormatting>
  <conditionalFormatting sqref="K29">
    <cfRule type="expression" dxfId="3557" priority="3542" stopIfTrue="1">
      <formula>AND(NOT($C29=""),K29="")</formula>
    </cfRule>
    <cfRule type="expression" dxfId="3556" priority="3543" stopIfTrue="1">
      <formula>BP29="0"</formula>
    </cfRule>
  </conditionalFormatting>
  <conditionalFormatting sqref="L29">
    <cfRule type="expression" dxfId="3555" priority="3540" stopIfTrue="1">
      <formula>AND(NOT($C29=""),L29="")</formula>
    </cfRule>
    <cfRule type="expression" dxfId="3554" priority="3541" stopIfTrue="1">
      <formula>BU29="0"</formula>
    </cfRule>
  </conditionalFormatting>
  <conditionalFormatting sqref="N29">
    <cfRule type="expression" dxfId="3553" priority="3538" stopIfTrue="1">
      <formula>AND(NOT($C29=""),N29="")</formula>
    </cfRule>
    <cfRule type="expression" dxfId="3552" priority="3539" stopIfTrue="1">
      <formula>CE29="0"</formula>
    </cfRule>
  </conditionalFormatting>
  <conditionalFormatting sqref="M29">
    <cfRule type="expression" dxfId="3551" priority="3537" stopIfTrue="1">
      <formula>BZ29="0"</formula>
    </cfRule>
  </conditionalFormatting>
  <conditionalFormatting sqref="D29">
    <cfRule type="expression" dxfId="3550" priority="3535" stopIfTrue="1">
      <formula>AND(NOT($C29=""),D29="")</formula>
    </cfRule>
    <cfRule type="expression" dxfId="3549" priority="3536" stopIfTrue="1">
      <formula>AG29="0"</formula>
    </cfRule>
  </conditionalFormatting>
  <conditionalFormatting sqref="E29">
    <cfRule type="expression" dxfId="3548" priority="3533" stopIfTrue="1">
      <formula>AND(NOT($C29=""),E29="")</formula>
    </cfRule>
    <cfRule type="expression" dxfId="3547" priority="3534" stopIfTrue="1">
      <formula>AL29="0"</formula>
    </cfRule>
  </conditionalFormatting>
  <conditionalFormatting sqref="F29">
    <cfRule type="expression" dxfId="3546" priority="3531" stopIfTrue="1">
      <formula>AND(NOT($C29=""),F29="")</formula>
    </cfRule>
    <cfRule type="expression" dxfId="3545" priority="3532" stopIfTrue="1">
      <formula>AQ29="0"</formula>
    </cfRule>
  </conditionalFormatting>
  <conditionalFormatting sqref="G29">
    <cfRule type="expression" dxfId="3544" priority="3529" stopIfTrue="1">
      <formula>AND(NOT($C29=""),G29="")</formula>
    </cfRule>
    <cfRule type="expression" dxfId="3543" priority="3530" stopIfTrue="1">
      <formula>AV29="0"</formula>
    </cfRule>
  </conditionalFormatting>
  <conditionalFormatting sqref="H29">
    <cfRule type="expression" dxfId="3542" priority="3527" stopIfTrue="1">
      <formula>AND(NOT($C29=""),H29="")</formula>
    </cfRule>
    <cfRule type="expression" dxfId="3541" priority="3528" stopIfTrue="1">
      <formula>BA29="0"</formula>
    </cfRule>
  </conditionalFormatting>
  <conditionalFormatting sqref="I29">
    <cfRule type="expression" dxfId="3540" priority="3525" stopIfTrue="1">
      <formula>AND(NOT($C29=""),I29="")</formula>
    </cfRule>
    <cfRule type="expression" dxfId="3539" priority="3526" stopIfTrue="1">
      <formula>BF29="0"</formula>
    </cfRule>
  </conditionalFormatting>
  <conditionalFormatting sqref="J29">
    <cfRule type="expression" dxfId="3538" priority="3523" stopIfTrue="1">
      <formula>AND(NOT($C29=""),J29="")</formula>
    </cfRule>
    <cfRule type="expression" dxfId="3537" priority="3524" stopIfTrue="1">
      <formula>BK29="0"</formula>
    </cfRule>
  </conditionalFormatting>
  <conditionalFormatting sqref="K29">
    <cfRule type="expression" dxfId="3536" priority="3521" stopIfTrue="1">
      <formula>AND(NOT($C29=""),K29="")</formula>
    </cfRule>
    <cfRule type="expression" dxfId="3535" priority="3522" stopIfTrue="1">
      <formula>BP29="0"</formula>
    </cfRule>
  </conditionalFormatting>
  <conditionalFormatting sqref="L29">
    <cfRule type="expression" dxfId="3534" priority="3519" stopIfTrue="1">
      <formula>AND(NOT($C29=""),L29="")</formula>
    </cfRule>
    <cfRule type="expression" dxfId="3533" priority="3520" stopIfTrue="1">
      <formula>BU29="0"</formula>
    </cfRule>
  </conditionalFormatting>
  <conditionalFormatting sqref="N29">
    <cfRule type="expression" dxfId="3532" priority="3517" stopIfTrue="1">
      <formula>AND(NOT($C29=""),N29="")</formula>
    </cfRule>
    <cfRule type="expression" dxfId="3531" priority="3518" stopIfTrue="1">
      <formula>CE29="0"</formula>
    </cfRule>
  </conditionalFormatting>
  <conditionalFormatting sqref="M29">
    <cfRule type="expression" dxfId="3530" priority="3516" stopIfTrue="1">
      <formula>BZ29="0"</formula>
    </cfRule>
  </conditionalFormatting>
  <conditionalFormatting sqref="D29">
    <cfRule type="expression" dxfId="3529" priority="3514" stopIfTrue="1">
      <formula>AND(NOT($C29=""),D29="")</formula>
    </cfRule>
    <cfRule type="expression" dxfId="3528" priority="3515" stopIfTrue="1">
      <formula>AG29="0"</formula>
    </cfRule>
  </conditionalFormatting>
  <conditionalFormatting sqref="E29">
    <cfRule type="expression" dxfId="3527" priority="3512" stopIfTrue="1">
      <formula>AND(NOT($C29=""),E29="")</formula>
    </cfRule>
    <cfRule type="expression" dxfId="3526" priority="3513" stopIfTrue="1">
      <formula>AL29="0"</formula>
    </cfRule>
  </conditionalFormatting>
  <conditionalFormatting sqref="F29">
    <cfRule type="expression" dxfId="3525" priority="3510" stopIfTrue="1">
      <formula>AND(NOT($C29=""),F29="")</formula>
    </cfRule>
    <cfRule type="expression" dxfId="3524" priority="3511" stopIfTrue="1">
      <formula>AQ29="0"</formula>
    </cfRule>
  </conditionalFormatting>
  <conditionalFormatting sqref="G29">
    <cfRule type="expression" dxfId="3523" priority="3508" stopIfTrue="1">
      <formula>AND(NOT($C29=""),G29="")</formula>
    </cfRule>
    <cfRule type="expression" dxfId="3522" priority="3509" stopIfTrue="1">
      <formula>AV29="0"</formula>
    </cfRule>
  </conditionalFormatting>
  <conditionalFormatting sqref="H29">
    <cfRule type="expression" dxfId="3521" priority="3506" stopIfTrue="1">
      <formula>AND(NOT($C29=""),H29="")</formula>
    </cfRule>
    <cfRule type="expression" dxfId="3520" priority="3507" stopIfTrue="1">
      <formula>BA29="0"</formula>
    </cfRule>
  </conditionalFormatting>
  <conditionalFormatting sqref="I29">
    <cfRule type="expression" dxfId="3519" priority="3504" stopIfTrue="1">
      <formula>AND(NOT($C29=""),I29="")</formula>
    </cfRule>
    <cfRule type="expression" dxfId="3518" priority="3505" stopIfTrue="1">
      <formula>BF29="0"</formula>
    </cfRule>
  </conditionalFormatting>
  <conditionalFormatting sqref="J29">
    <cfRule type="expression" dxfId="3517" priority="3502" stopIfTrue="1">
      <formula>AND(NOT($C29=""),J29="")</formula>
    </cfRule>
    <cfRule type="expression" dxfId="3516" priority="3503" stopIfTrue="1">
      <formula>BK29="0"</formula>
    </cfRule>
  </conditionalFormatting>
  <conditionalFormatting sqref="K29">
    <cfRule type="expression" dxfId="3515" priority="3500" stopIfTrue="1">
      <formula>AND(NOT($C29=""),K29="")</formula>
    </cfRule>
    <cfRule type="expression" dxfId="3514" priority="3501" stopIfTrue="1">
      <formula>BP29="0"</formula>
    </cfRule>
  </conditionalFormatting>
  <conditionalFormatting sqref="L29">
    <cfRule type="expression" dxfId="3513" priority="3498" stopIfTrue="1">
      <formula>AND(NOT($C29=""),L29="")</formula>
    </cfRule>
    <cfRule type="expression" dxfId="3512" priority="3499" stopIfTrue="1">
      <formula>BU29="0"</formula>
    </cfRule>
  </conditionalFormatting>
  <conditionalFormatting sqref="N29">
    <cfRule type="expression" dxfId="3511" priority="3496" stopIfTrue="1">
      <formula>AND(NOT($C29=""),N29="")</formula>
    </cfRule>
    <cfRule type="expression" dxfId="3510" priority="3497" stopIfTrue="1">
      <formula>CE29="0"</formula>
    </cfRule>
  </conditionalFormatting>
  <conditionalFormatting sqref="M30">
    <cfRule type="expression" dxfId="3509" priority="3495" stopIfTrue="1">
      <formula>BZ30="0"</formula>
    </cfRule>
  </conditionalFormatting>
  <conditionalFormatting sqref="D30">
    <cfRule type="expression" dxfId="3508" priority="3493" stopIfTrue="1">
      <formula>AND(NOT($C30=""),D30="")</formula>
    </cfRule>
    <cfRule type="expression" dxfId="3507" priority="3494" stopIfTrue="1">
      <formula>AG30="0"</formula>
    </cfRule>
  </conditionalFormatting>
  <conditionalFormatting sqref="E30">
    <cfRule type="expression" dxfId="3506" priority="3491" stopIfTrue="1">
      <formula>AND(NOT($C30=""),E30="")</formula>
    </cfRule>
    <cfRule type="expression" dxfId="3505" priority="3492" stopIfTrue="1">
      <formula>AL30="0"</formula>
    </cfRule>
  </conditionalFormatting>
  <conditionalFormatting sqref="F30">
    <cfRule type="expression" dxfId="3504" priority="3489" stopIfTrue="1">
      <formula>AND(NOT($C30=""),F30="")</formula>
    </cfRule>
    <cfRule type="expression" dxfId="3503" priority="3490" stopIfTrue="1">
      <formula>AQ30="0"</formula>
    </cfRule>
  </conditionalFormatting>
  <conditionalFormatting sqref="G30">
    <cfRule type="expression" dxfId="3502" priority="3487" stopIfTrue="1">
      <formula>AND(NOT($C30=""),G30="")</formula>
    </cfRule>
    <cfRule type="expression" dxfId="3501" priority="3488" stopIfTrue="1">
      <formula>AV30="0"</formula>
    </cfRule>
  </conditionalFormatting>
  <conditionalFormatting sqref="H30">
    <cfRule type="expression" dxfId="3500" priority="3485" stopIfTrue="1">
      <formula>AND(NOT($C30=""),H30="")</formula>
    </cfRule>
    <cfRule type="expression" dxfId="3499" priority="3486" stopIfTrue="1">
      <formula>BA30="0"</formula>
    </cfRule>
  </conditionalFormatting>
  <conditionalFormatting sqref="I30">
    <cfRule type="expression" dxfId="3498" priority="3483" stopIfTrue="1">
      <formula>AND(NOT($C30=""),I30="")</formula>
    </cfRule>
    <cfRule type="expression" dxfId="3497" priority="3484" stopIfTrue="1">
      <formula>BF30="0"</formula>
    </cfRule>
  </conditionalFormatting>
  <conditionalFormatting sqref="J30">
    <cfRule type="expression" dxfId="3496" priority="3481" stopIfTrue="1">
      <formula>AND(NOT($C30=""),J30="")</formula>
    </cfRule>
    <cfRule type="expression" dxfId="3495" priority="3482" stopIfTrue="1">
      <formula>BK30="0"</formula>
    </cfRule>
  </conditionalFormatting>
  <conditionalFormatting sqref="K30">
    <cfRule type="expression" dxfId="3494" priority="3479" stopIfTrue="1">
      <formula>AND(NOT($C30=""),K30="")</formula>
    </cfRule>
    <cfRule type="expression" dxfId="3493" priority="3480" stopIfTrue="1">
      <formula>BP30="0"</formula>
    </cfRule>
  </conditionalFormatting>
  <conditionalFormatting sqref="L30">
    <cfRule type="expression" dxfId="3492" priority="3477" stopIfTrue="1">
      <formula>AND(NOT($C30=""),L30="")</formula>
    </cfRule>
    <cfRule type="expression" dxfId="3491" priority="3478" stopIfTrue="1">
      <formula>BU30="0"</formula>
    </cfRule>
  </conditionalFormatting>
  <conditionalFormatting sqref="N30">
    <cfRule type="expression" dxfId="3490" priority="3475" stopIfTrue="1">
      <formula>AND(NOT($C30=""),N30="")</formula>
    </cfRule>
    <cfRule type="expression" dxfId="3489" priority="3476" stopIfTrue="1">
      <formula>CE30="0"</formula>
    </cfRule>
  </conditionalFormatting>
  <conditionalFormatting sqref="M30">
    <cfRule type="expression" dxfId="3488" priority="3474" stopIfTrue="1">
      <formula>BZ30="0"</formula>
    </cfRule>
  </conditionalFormatting>
  <conditionalFormatting sqref="D30">
    <cfRule type="expression" dxfId="3487" priority="3472" stopIfTrue="1">
      <formula>AND(NOT($C30=""),D30="")</formula>
    </cfRule>
    <cfRule type="expression" dxfId="3486" priority="3473" stopIfTrue="1">
      <formula>AG30="0"</formula>
    </cfRule>
  </conditionalFormatting>
  <conditionalFormatting sqref="E30">
    <cfRule type="expression" dxfId="3485" priority="3470" stopIfTrue="1">
      <formula>AND(NOT($C30=""),E30="")</formula>
    </cfRule>
    <cfRule type="expression" dxfId="3484" priority="3471" stopIfTrue="1">
      <formula>AL30="0"</formula>
    </cfRule>
  </conditionalFormatting>
  <conditionalFormatting sqref="F30">
    <cfRule type="expression" dxfId="3483" priority="3468" stopIfTrue="1">
      <formula>AND(NOT($C30=""),F30="")</formula>
    </cfRule>
    <cfRule type="expression" dxfId="3482" priority="3469" stopIfTrue="1">
      <formula>AQ30="0"</formula>
    </cfRule>
  </conditionalFormatting>
  <conditionalFormatting sqref="G30">
    <cfRule type="expression" dxfId="3481" priority="3466" stopIfTrue="1">
      <formula>AND(NOT($C30=""),G30="")</formula>
    </cfRule>
    <cfRule type="expression" dxfId="3480" priority="3467" stopIfTrue="1">
      <formula>AV30="0"</formula>
    </cfRule>
  </conditionalFormatting>
  <conditionalFormatting sqref="H30">
    <cfRule type="expression" dxfId="3479" priority="3464" stopIfTrue="1">
      <formula>AND(NOT($C30=""),H30="")</formula>
    </cfRule>
    <cfRule type="expression" dxfId="3478" priority="3465" stopIfTrue="1">
      <formula>BA30="0"</formula>
    </cfRule>
  </conditionalFormatting>
  <conditionalFormatting sqref="I30">
    <cfRule type="expression" dxfId="3477" priority="3462" stopIfTrue="1">
      <formula>AND(NOT($C30=""),I30="")</formula>
    </cfRule>
    <cfRule type="expression" dxfId="3476" priority="3463" stopIfTrue="1">
      <formula>BF30="0"</formula>
    </cfRule>
  </conditionalFormatting>
  <conditionalFormatting sqref="J30">
    <cfRule type="expression" dxfId="3475" priority="3460" stopIfTrue="1">
      <formula>AND(NOT($C30=""),J30="")</formula>
    </cfRule>
    <cfRule type="expression" dxfId="3474" priority="3461" stopIfTrue="1">
      <formula>BK30="0"</formula>
    </cfRule>
  </conditionalFormatting>
  <conditionalFormatting sqref="K30">
    <cfRule type="expression" dxfId="3473" priority="3458" stopIfTrue="1">
      <formula>AND(NOT($C30=""),K30="")</formula>
    </cfRule>
    <cfRule type="expression" dxfId="3472" priority="3459" stopIfTrue="1">
      <formula>BP30="0"</formula>
    </cfRule>
  </conditionalFormatting>
  <conditionalFormatting sqref="L30">
    <cfRule type="expression" dxfId="3471" priority="3456" stopIfTrue="1">
      <formula>AND(NOT($C30=""),L30="")</formula>
    </cfRule>
    <cfRule type="expression" dxfId="3470" priority="3457" stopIfTrue="1">
      <formula>BU30="0"</formula>
    </cfRule>
  </conditionalFormatting>
  <conditionalFormatting sqref="N30">
    <cfRule type="expression" dxfId="3469" priority="3454" stopIfTrue="1">
      <formula>AND(NOT($C30=""),N30="")</formula>
    </cfRule>
    <cfRule type="expression" dxfId="3468" priority="3455" stopIfTrue="1">
      <formula>CE30="0"</formula>
    </cfRule>
  </conditionalFormatting>
  <conditionalFormatting sqref="M30">
    <cfRule type="expression" dxfId="3467" priority="3453" stopIfTrue="1">
      <formula>BZ30="0"</formula>
    </cfRule>
  </conditionalFormatting>
  <conditionalFormatting sqref="D30">
    <cfRule type="expression" dxfId="3466" priority="3451" stopIfTrue="1">
      <formula>AND(NOT($C30=""),D30="")</formula>
    </cfRule>
    <cfRule type="expression" dxfId="3465" priority="3452" stopIfTrue="1">
      <formula>AG30="0"</formula>
    </cfRule>
  </conditionalFormatting>
  <conditionalFormatting sqref="E30">
    <cfRule type="expression" dxfId="3464" priority="3449" stopIfTrue="1">
      <formula>AND(NOT($C30=""),E30="")</formula>
    </cfRule>
    <cfRule type="expression" dxfId="3463" priority="3450" stopIfTrue="1">
      <formula>AL30="0"</formula>
    </cfRule>
  </conditionalFormatting>
  <conditionalFormatting sqref="F30">
    <cfRule type="expression" dxfId="3462" priority="3447" stopIfTrue="1">
      <formula>AND(NOT($C30=""),F30="")</formula>
    </cfRule>
    <cfRule type="expression" dxfId="3461" priority="3448" stopIfTrue="1">
      <formula>AQ30="0"</formula>
    </cfRule>
  </conditionalFormatting>
  <conditionalFormatting sqref="G30">
    <cfRule type="expression" dxfId="3460" priority="3445" stopIfTrue="1">
      <formula>AND(NOT($C30=""),G30="")</formula>
    </cfRule>
    <cfRule type="expression" dxfId="3459" priority="3446" stopIfTrue="1">
      <formula>AV30="0"</formula>
    </cfRule>
  </conditionalFormatting>
  <conditionalFormatting sqref="H30">
    <cfRule type="expression" dxfId="3458" priority="3443" stopIfTrue="1">
      <formula>AND(NOT($C30=""),H30="")</formula>
    </cfRule>
    <cfRule type="expression" dxfId="3457" priority="3444" stopIfTrue="1">
      <formula>BA30="0"</formula>
    </cfRule>
  </conditionalFormatting>
  <conditionalFormatting sqref="I30">
    <cfRule type="expression" dxfId="3456" priority="3441" stopIfTrue="1">
      <formula>AND(NOT($C30=""),I30="")</formula>
    </cfRule>
    <cfRule type="expression" dxfId="3455" priority="3442" stopIfTrue="1">
      <formula>BF30="0"</formula>
    </cfRule>
  </conditionalFormatting>
  <conditionalFormatting sqref="J30">
    <cfRule type="expression" dxfId="3454" priority="3439" stopIfTrue="1">
      <formula>AND(NOT($C30=""),J30="")</formula>
    </cfRule>
    <cfRule type="expression" dxfId="3453" priority="3440" stopIfTrue="1">
      <formula>BK30="0"</formula>
    </cfRule>
  </conditionalFormatting>
  <conditionalFormatting sqref="K30">
    <cfRule type="expression" dxfId="3452" priority="3437" stopIfTrue="1">
      <formula>AND(NOT($C30=""),K30="")</formula>
    </cfRule>
    <cfRule type="expression" dxfId="3451" priority="3438" stopIfTrue="1">
      <formula>BP30="0"</formula>
    </cfRule>
  </conditionalFormatting>
  <conditionalFormatting sqref="L30">
    <cfRule type="expression" dxfId="3450" priority="3435" stopIfTrue="1">
      <formula>AND(NOT($C30=""),L30="")</formula>
    </cfRule>
    <cfRule type="expression" dxfId="3449" priority="3436" stopIfTrue="1">
      <formula>BU30="0"</formula>
    </cfRule>
  </conditionalFormatting>
  <conditionalFormatting sqref="N30">
    <cfRule type="expression" dxfId="3448" priority="3433" stopIfTrue="1">
      <formula>AND(NOT($C30=""),N30="")</formula>
    </cfRule>
    <cfRule type="expression" dxfId="3447" priority="3434" stopIfTrue="1">
      <formula>CE30="0"</formula>
    </cfRule>
  </conditionalFormatting>
  <conditionalFormatting sqref="M30">
    <cfRule type="expression" dxfId="3446" priority="3432" stopIfTrue="1">
      <formula>BZ30="0"</formula>
    </cfRule>
  </conditionalFormatting>
  <conditionalFormatting sqref="D30">
    <cfRule type="expression" dxfId="3445" priority="3430" stopIfTrue="1">
      <formula>AND(NOT($C30=""),D30="")</formula>
    </cfRule>
    <cfRule type="expression" dxfId="3444" priority="3431" stopIfTrue="1">
      <formula>AG30="0"</formula>
    </cfRule>
  </conditionalFormatting>
  <conditionalFormatting sqref="E30">
    <cfRule type="expression" dxfId="3443" priority="3428" stopIfTrue="1">
      <formula>AND(NOT($C30=""),E30="")</formula>
    </cfRule>
    <cfRule type="expression" dxfId="3442" priority="3429" stopIfTrue="1">
      <formula>AL30="0"</formula>
    </cfRule>
  </conditionalFormatting>
  <conditionalFormatting sqref="F30">
    <cfRule type="expression" dxfId="3441" priority="3426" stopIfTrue="1">
      <formula>AND(NOT($C30=""),F30="")</formula>
    </cfRule>
    <cfRule type="expression" dxfId="3440" priority="3427" stopIfTrue="1">
      <formula>AQ30="0"</formula>
    </cfRule>
  </conditionalFormatting>
  <conditionalFormatting sqref="G30">
    <cfRule type="expression" dxfId="3439" priority="3424" stopIfTrue="1">
      <formula>AND(NOT($C30=""),G30="")</formula>
    </cfRule>
    <cfRule type="expression" dxfId="3438" priority="3425" stopIfTrue="1">
      <formula>AV30="0"</formula>
    </cfRule>
  </conditionalFormatting>
  <conditionalFormatting sqref="H30">
    <cfRule type="expression" dxfId="3437" priority="3422" stopIfTrue="1">
      <formula>AND(NOT($C30=""),H30="")</formula>
    </cfRule>
    <cfRule type="expression" dxfId="3436" priority="3423" stopIfTrue="1">
      <formula>BA30="0"</formula>
    </cfRule>
  </conditionalFormatting>
  <conditionalFormatting sqref="I30">
    <cfRule type="expression" dxfId="3435" priority="3420" stopIfTrue="1">
      <formula>AND(NOT($C30=""),I30="")</formula>
    </cfRule>
    <cfRule type="expression" dxfId="3434" priority="3421" stopIfTrue="1">
      <formula>BF30="0"</formula>
    </cfRule>
  </conditionalFormatting>
  <conditionalFormatting sqref="J30">
    <cfRule type="expression" dxfId="3433" priority="3418" stopIfTrue="1">
      <formula>AND(NOT($C30=""),J30="")</formula>
    </cfRule>
    <cfRule type="expression" dxfId="3432" priority="3419" stopIfTrue="1">
      <formula>BK30="0"</formula>
    </cfRule>
  </conditionalFormatting>
  <conditionalFormatting sqref="K30">
    <cfRule type="expression" dxfId="3431" priority="3416" stopIfTrue="1">
      <formula>AND(NOT($C30=""),K30="")</formula>
    </cfRule>
    <cfRule type="expression" dxfId="3430" priority="3417" stopIfTrue="1">
      <formula>BP30="0"</formula>
    </cfRule>
  </conditionalFormatting>
  <conditionalFormatting sqref="L30">
    <cfRule type="expression" dxfId="3429" priority="3414" stopIfTrue="1">
      <formula>AND(NOT($C30=""),L30="")</formula>
    </cfRule>
    <cfRule type="expression" dxfId="3428" priority="3415" stopIfTrue="1">
      <formula>BU30="0"</formula>
    </cfRule>
  </conditionalFormatting>
  <conditionalFormatting sqref="N30">
    <cfRule type="expression" dxfId="3427" priority="3412" stopIfTrue="1">
      <formula>AND(NOT($C30=""),N30="")</formula>
    </cfRule>
    <cfRule type="expression" dxfId="3426" priority="3413" stopIfTrue="1">
      <formula>CE30="0"</formula>
    </cfRule>
  </conditionalFormatting>
  <conditionalFormatting sqref="M30">
    <cfRule type="expression" dxfId="3425" priority="3411" stopIfTrue="1">
      <formula>BZ30="0"</formula>
    </cfRule>
  </conditionalFormatting>
  <conditionalFormatting sqref="D30">
    <cfRule type="expression" dxfId="3424" priority="3409" stopIfTrue="1">
      <formula>AND(NOT($C30=""),D30="")</formula>
    </cfRule>
    <cfRule type="expression" dxfId="3423" priority="3410" stopIfTrue="1">
      <formula>AG30="0"</formula>
    </cfRule>
  </conditionalFormatting>
  <conditionalFormatting sqref="E30">
    <cfRule type="expression" dxfId="3422" priority="3407" stopIfTrue="1">
      <formula>AND(NOT($C30=""),E30="")</formula>
    </cfRule>
    <cfRule type="expression" dxfId="3421" priority="3408" stopIfTrue="1">
      <formula>AL30="0"</formula>
    </cfRule>
  </conditionalFormatting>
  <conditionalFormatting sqref="F30">
    <cfRule type="expression" dxfId="3420" priority="3405" stopIfTrue="1">
      <formula>AND(NOT($C30=""),F30="")</formula>
    </cfRule>
    <cfRule type="expression" dxfId="3419" priority="3406" stopIfTrue="1">
      <formula>AQ30="0"</formula>
    </cfRule>
  </conditionalFormatting>
  <conditionalFormatting sqref="G30">
    <cfRule type="expression" dxfId="3418" priority="3403" stopIfTrue="1">
      <formula>AND(NOT($C30=""),G30="")</formula>
    </cfRule>
    <cfRule type="expression" dxfId="3417" priority="3404" stopIfTrue="1">
      <formula>AV30="0"</formula>
    </cfRule>
  </conditionalFormatting>
  <conditionalFormatting sqref="H30">
    <cfRule type="expression" dxfId="3416" priority="3401" stopIfTrue="1">
      <formula>AND(NOT($C30=""),H30="")</formula>
    </cfRule>
    <cfRule type="expression" dxfId="3415" priority="3402" stopIfTrue="1">
      <formula>BA30="0"</formula>
    </cfRule>
  </conditionalFormatting>
  <conditionalFormatting sqref="I30">
    <cfRule type="expression" dxfId="3414" priority="3399" stopIfTrue="1">
      <formula>AND(NOT($C30=""),I30="")</formula>
    </cfRule>
    <cfRule type="expression" dxfId="3413" priority="3400" stopIfTrue="1">
      <formula>BF30="0"</formula>
    </cfRule>
  </conditionalFormatting>
  <conditionalFormatting sqref="J30">
    <cfRule type="expression" dxfId="3412" priority="3397" stopIfTrue="1">
      <formula>AND(NOT($C30=""),J30="")</formula>
    </cfRule>
    <cfRule type="expression" dxfId="3411" priority="3398" stopIfTrue="1">
      <formula>BK30="0"</formula>
    </cfRule>
  </conditionalFormatting>
  <conditionalFormatting sqref="K30">
    <cfRule type="expression" dxfId="3410" priority="3395" stopIfTrue="1">
      <formula>AND(NOT($C30=""),K30="")</formula>
    </cfRule>
    <cfRule type="expression" dxfId="3409" priority="3396" stopIfTrue="1">
      <formula>BP30="0"</formula>
    </cfRule>
  </conditionalFormatting>
  <conditionalFormatting sqref="L30">
    <cfRule type="expression" dxfId="3408" priority="3393" stopIfTrue="1">
      <formula>AND(NOT($C30=""),L30="")</formula>
    </cfRule>
    <cfRule type="expression" dxfId="3407" priority="3394" stopIfTrue="1">
      <formula>BU30="0"</formula>
    </cfRule>
  </conditionalFormatting>
  <conditionalFormatting sqref="N30">
    <cfRule type="expression" dxfId="3406" priority="3391" stopIfTrue="1">
      <formula>AND(NOT($C30=""),N30="")</formula>
    </cfRule>
    <cfRule type="expression" dxfId="3405" priority="3392" stopIfTrue="1">
      <formula>CE30="0"</formula>
    </cfRule>
  </conditionalFormatting>
  <conditionalFormatting sqref="M30">
    <cfRule type="expression" dxfId="3404" priority="3390" stopIfTrue="1">
      <formula>BZ30="0"</formula>
    </cfRule>
  </conditionalFormatting>
  <conditionalFormatting sqref="D30">
    <cfRule type="expression" dxfId="3403" priority="3388" stopIfTrue="1">
      <formula>AND(NOT($C30=""),D30="")</formula>
    </cfRule>
    <cfRule type="expression" dxfId="3402" priority="3389" stopIfTrue="1">
      <formula>AG30="0"</formula>
    </cfRule>
  </conditionalFormatting>
  <conditionalFormatting sqref="E30">
    <cfRule type="expression" dxfId="3401" priority="3386" stopIfTrue="1">
      <formula>AND(NOT($C30=""),E30="")</formula>
    </cfRule>
    <cfRule type="expression" dxfId="3400" priority="3387" stopIfTrue="1">
      <formula>AL30="0"</formula>
    </cfRule>
  </conditionalFormatting>
  <conditionalFormatting sqref="F30">
    <cfRule type="expression" dxfId="3399" priority="3384" stopIfTrue="1">
      <formula>AND(NOT($C30=""),F30="")</formula>
    </cfRule>
    <cfRule type="expression" dxfId="3398" priority="3385" stopIfTrue="1">
      <formula>AQ30="0"</formula>
    </cfRule>
  </conditionalFormatting>
  <conditionalFormatting sqref="G30">
    <cfRule type="expression" dxfId="3397" priority="3382" stopIfTrue="1">
      <formula>AND(NOT($C30=""),G30="")</formula>
    </cfRule>
    <cfRule type="expression" dxfId="3396" priority="3383" stopIfTrue="1">
      <formula>AV30="0"</formula>
    </cfRule>
  </conditionalFormatting>
  <conditionalFormatting sqref="H30">
    <cfRule type="expression" dxfId="3395" priority="3380" stopIfTrue="1">
      <formula>AND(NOT($C30=""),H30="")</formula>
    </cfRule>
    <cfRule type="expression" dxfId="3394" priority="3381" stopIfTrue="1">
      <formula>BA30="0"</formula>
    </cfRule>
  </conditionalFormatting>
  <conditionalFormatting sqref="I30">
    <cfRule type="expression" dxfId="3393" priority="3378" stopIfTrue="1">
      <formula>AND(NOT($C30=""),I30="")</formula>
    </cfRule>
    <cfRule type="expression" dxfId="3392" priority="3379" stopIfTrue="1">
      <formula>BF30="0"</formula>
    </cfRule>
  </conditionalFormatting>
  <conditionalFormatting sqref="J30">
    <cfRule type="expression" dxfId="3391" priority="3376" stopIfTrue="1">
      <formula>AND(NOT($C30=""),J30="")</formula>
    </cfRule>
    <cfRule type="expression" dxfId="3390" priority="3377" stopIfTrue="1">
      <formula>BK30="0"</formula>
    </cfRule>
  </conditionalFormatting>
  <conditionalFormatting sqref="K30">
    <cfRule type="expression" dxfId="3389" priority="3374" stopIfTrue="1">
      <formula>AND(NOT($C30=""),K30="")</formula>
    </cfRule>
    <cfRule type="expression" dxfId="3388" priority="3375" stopIfTrue="1">
      <formula>BP30="0"</formula>
    </cfRule>
  </conditionalFormatting>
  <conditionalFormatting sqref="L30">
    <cfRule type="expression" dxfId="3387" priority="3372" stopIfTrue="1">
      <formula>AND(NOT($C30=""),L30="")</formula>
    </cfRule>
    <cfRule type="expression" dxfId="3386" priority="3373" stopIfTrue="1">
      <formula>BU30="0"</formula>
    </cfRule>
  </conditionalFormatting>
  <conditionalFormatting sqref="N30">
    <cfRule type="expression" dxfId="3385" priority="3370" stopIfTrue="1">
      <formula>AND(NOT($C30=""),N30="")</formula>
    </cfRule>
    <cfRule type="expression" dxfId="3384" priority="3371" stopIfTrue="1">
      <formula>CE30="0"</formula>
    </cfRule>
  </conditionalFormatting>
  <conditionalFormatting sqref="M30">
    <cfRule type="expression" dxfId="3383" priority="3369" stopIfTrue="1">
      <formula>BZ30="0"</formula>
    </cfRule>
  </conditionalFormatting>
  <conditionalFormatting sqref="D30">
    <cfRule type="expression" dxfId="3382" priority="3367" stopIfTrue="1">
      <formula>AND(NOT($C30=""),D30="")</formula>
    </cfRule>
    <cfRule type="expression" dxfId="3381" priority="3368" stopIfTrue="1">
      <formula>AG30="0"</formula>
    </cfRule>
  </conditionalFormatting>
  <conditionalFormatting sqref="E30">
    <cfRule type="expression" dxfId="3380" priority="3365" stopIfTrue="1">
      <formula>AND(NOT($C30=""),E30="")</formula>
    </cfRule>
    <cfRule type="expression" dxfId="3379" priority="3366" stopIfTrue="1">
      <formula>AL30="0"</formula>
    </cfRule>
  </conditionalFormatting>
  <conditionalFormatting sqref="F30">
    <cfRule type="expression" dxfId="3378" priority="3363" stopIfTrue="1">
      <formula>AND(NOT($C30=""),F30="")</formula>
    </cfRule>
    <cfRule type="expression" dxfId="3377" priority="3364" stopIfTrue="1">
      <formula>AQ30="0"</formula>
    </cfRule>
  </conditionalFormatting>
  <conditionalFormatting sqref="G30">
    <cfRule type="expression" dxfId="3376" priority="3361" stopIfTrue="1">
      <formula>AND(NOT($C30=""),G30="")</formula>
    </cfRule>
    <cfRule type="expression" dxfId="3375" priority="3362" stopIfTrue="1">
      <formula>AV30="0"</formula>
    </cfRule>
  </conditionalFormatting>
  <conditionalFormatting sqref="H30">
    <cfRule type="expression" dxfId="3374" priority="3359" stopIfTrue="1">
      <formula>AND(NOT($C30=""),H30="")</formula>
    </cfRule>
    <cfRule type="expression" dxfId="3373" priority="3360" stopIfTrue="1">
      <formula>BA30="0"</formula>
    </cfRule>
  </conditionalFormatting>
  <conditionalFormatting sqref="I30">
    <cfRule type="expression" dxfId="3372" priority="3357" stopIfTrue="1">
      <formula>AND(NOT($C30=""),I30="")</formula>
    </cfRule>
    <cfRule type="expression" dxfId="3371" priority="3358" stopIfTrue="1">
      <formula>BF30="0"</formula>
    </cfRule>
  </conditionalFormatting>
  <conditionalFormatting sqref="J30">
    <cfRule type="expression" dxfId="3370" priority="3355" stopIfTrue="1">
      <formula>AND(NOT($C30=""),J30="")</formula>
    </cfRule>
    <cfRule type="expression" dxfId="3369" priority="3356" stopIfTrue="1">
      <formula>BK30="0"</formula>
    </cfRule>
  </conditionalFormatting>
  <conditionalFormatting sqref="K30">
    <cfRule type="expression" dxfId="3368" priority="3353" stopIfTrue="1">
      <formula>AND(NOT($C30=""),K30="")</formula>
    </cfRule>
    <cfRule type="expression" dxfId="3367" priority="3354" stopIfTrue="1">
      <formula>BP30="0"</formula>
    </cfRule>
  </conditionalFormatting>
  <conditionalFormatting sqref="L30">
    <cfRule type="expression" dxfId="3366" priority="3351" stopIfTrue="1">
      <formula>AND(NOT($C30=""),L30="")</formula>
    </cfRule>
    <cfRule type="expression" dxfId="3365" priority="3352" stopIfTrue="1">
      <formula>BU30="0"</formula>
    </cfRule>
  </conditionalFormatting>
  <conditionalFormatting sqref="N30">
    <cfRule type="expression" dxfId="3364" priority="3349" stopIfTrue="1">
      <formula>AND(NOT($C30=""),N30="")</formula>
    </cfRule>
    <cfRule type="expression" dxfId="3363" priority="3350" stopIfTrue="1">
      <formula>CE30="0"</formula>
    </cfRule>
  </conditionalFormatting>
  <conditionalFormatting sqref="M30">
    <cfRule type="expression" dxfId="3362" priority="3348" stopIfTrue="1">
      <formula>BZ30="0"</formula>
    </cfRule>
  </conditionalFormatting>
  <conditionalFormatting sqref="D30">
    <cfRule type="expression" dxfId="3361" priority="3346" stopIfTrue="1">
      <formula>AND(NOT($C30=""),D30="")</formula>
    </cfRule>
    <cfRule type="expression" dxfId="3360" priority="3347" stopIfTrue="1">
      <formula>AG30="0"</formula>
    </cfRule>
  </conditionalFormatting>
  <conditionalFormatting sqref="E30">
    <cfRule type="expression" dxfId="3359" priority="3344" stopIfTrue="1">
      <formula>AND(NOT($C30=""),E30="")</formula>
    </cfRule>
    <cfRule type="expression" dxfId="3358" priority="3345" stopIfTrue="1">
      <formula>AL30="0"</formula>
    </cfRule>
  </conditionalFormatting>
  <conditionalFormatting sqref="F30">
    <cfRule type="expression" dxfId="3357" priority="3342" stopIfTrue="1">
      <formula>AND(NOT($C30=""),F30="")</formula>
    </cfRule>
    <cfRule type="expression" dxfId="3356" priority="3343" stopIfTrue="1">
      <formula>AQ30="0"</formula>
    </cfRule>
  </conditionalFormatting>
  <conditionalFormatting sqref="G30">
    <cfRule type="expression" dxfId="3355" priority="3340" stopIfTrue="1">
      <formula>AND(NOT($C30=""),G30="")</formula>
    </cfRule>
    <cfRule type="expression" dxfId="3354" priority="3341" stopIfTrue="1">
      <formula>AV30="0"</formula>
    </cfRule>
  </conditionalFormatting>
  <conditionalFormatting sqref="H30">
    <cfRule type="expression" dxfId="3353" priority="3338" stopIfTrue="1">
      <formula>AND(NOT($C30=""),H30="")</formula>
    </cfRule>
    <cfRule type="expression" dxfId="3352" priority="3339" stopIfTrue="1">
      <formula>BA30="0"</formula>
    </cfRule>
  </conditionalFormatting>
  <conditionalFormatting sqref="I30">
    <cfRule type="expression" dxfId="3351" priority="3336" stopIfTrue="1">
      <formula>AND(NOT($C30=""),I30="")</formula>
    </cfRule>
    <cfRule type="expression" dxfId="3350" priority="3337" stopIfTrue="1">
      <formula>BF30="0"</formula>
    </cfRule>
  </conditionalFormatting>
  <conditionalFormatting sqref="J30">
    <cfRule type="expression" dxfId="3349" priority="3334" stopIfTrue="1">
      <formula>AND(NOT($C30=""),J30="")</formula>
    </cfRule>
    <cfRule type="expression" dxfId="3348" priority="3335" stopIfTrue="1">
      <formula>BK30="0"</formula>
    </cfRule>
  </conditionalFormatting>
  <conditionalFormatting sqref="K30">
    <cfRule type="expression" dxfId="3347" priority="3332" stopIfTrue="1">
      <formula>AND(NOT($C30=""),K30="")</formula>
    </cfRule>
    <cfRule type="expression" dxfId="3346" priority="3333" stopIfTrue="1">
      <formula>BP30="0"</formula>
    </cfRule>
  </conditionalFormatting>
  <conditionalFormatting sqref="L30">
    <cfRule type="expression" dxfId="3345" priority="3330" stopIfTrue="1">
      <formula>AND(NOT($C30=""),L30="")</formula>
    </cfRule>
    <cfRule type="expression" dxfId="3344" priority="3331" stopIfTrue="1">
      <formula>BU30="0"</formula>
    </cfRule>
  </conditionalFormatting>
  <conditionalFormatting sqref="N30">
    <cfRule type="expression" dxfId="3343" priority="3328" stopIfTrue="1">
      <formula>AND(NOT($C30=""),N30="")</formula>
    </cfRule>
    <cfRule type="expression" dxfId="3342" priority="3329" stopIfTrue="1">
      <formula>CE30="0"</formula>
    </cfRule>
  </conditionalFormatting>
  <conditionalFormatting sqref="M30">
    <cfRule type="expression" dxfId="3341" priority="3327" stopIfTrue="1">
      <formula>BZ30="0"</formula>
    </cfRule>
  </conditionalFormatting>
  <conditionalFormatting sqref="D30">
    <cfRule type="expression" dxfId="3340" priority="3325" stopIfTrue="1">
      <formula>AND(NOT($C30=""),D30="")</formula>
    </cfRule>
    <cfRule type="expression" dxfId="3339" priority="3326" stopIfTrue="1">
      <formula>AG30="0"</formula>
    </cfRule>
  </conditionalFormatting>
  <conditionalFormatting sqref="E30">
    <cfRule type="expression" dxfId="3338" priority="3323" stopIfTrue="1">
      <formula>AND(NOT($C30=""),E30="")</formula>
    </cfRule>
    <cfRule type="expression" dxfId="3337" priority="3324" stopIfTrue="1">
      <formula>AL30="0"</formula>
    </cfRule>
  </conditionalFormatting>
  <conditionalFormatting sqref="F30">
    <cfRule type="expression" dxfId="3336" priority="3321" stopIfTrue="1">
      <formula>AND(NOT($C30=""),F30="")</formula>
    </cfRule>
    <cfRule type="expression" dxfId="3335" priority="3322" stopIfTrue="1">
      <formula>AQ30="0"</formula>
    </cfRule>
  </conditionalFormatting>
  <conditionalFormatting sqref="G30">
    <cfRule type="expression" dxfId="3334" priority="3319" stopIfTrue="1">
      <formula>AND(NOT($C30=""),G30="")</formula>
    </cfRule>
    <cfRule type="expression" dxfId="3333" priority="3320" stopIfTrue="1">
      <formula>AV30="0"</formula>
    </cfRule>
  </conditionalFormatting>
  <conditionalFormatting sqref="H30">
    <cfRule type="expression" dxfId="3332" priority="3317" stopIfTrue="1">
      <formula>AND(NOT($C30=""),H30="")</formula>
    </cfRule>
    <cfRule type="expression" dxfId="3331" priority="3318" stopIfTrue="1">
      <formula>BA30="0"</formula>
    </cfRule>
  </conditionalFormatting>
  <conditionalFormatting sqref="I30">
    <cfRule type="expression" dxfId="3330" priority="3315" stopIfTrue="1">
      <formula>AND(NOT($C30=""),I30="")</formula>
    </cfRule>
    <cfRule type="expression" dxfId="3329" priority="3316" stopIfTrue="1">
      <formula>BF30="0"</formula>
    </cfRule>
  </conditionalFormatting>
  <conditionalFormatting sqref="J30">
    <cfRule type="expression" dxfId="3328" priority="3313" stopIfTrue="1">
      <formula>AND(NOT($C30=""),J30="")</formula>
    </cfRule>
    <cfRule type="expression" dxfId="3327" priority="3314" stopIfTrue="1">
      <formula>BK30="0"</formula>
    </cfRule>
  </conditionalFormatting>
  <conditionalFormatting sqref="K30">
    <cfRule type="expression" dxfId="3326" priority="3311" stopIfTrue="1">
      <formula>AND(NOT($C30=""),K30="")</formula>
    </cfRule>
    <cfRule type="expression" dxfId="3325" priority="3312" stopIfTrue="1">
      <formula>BP30="0"</formula>
    </cfRule>
  </conditionalFormatting>
  <conditionalFormatting sqref="L30">
    <cfRule type="expression" dxfId="3324" priority="3309" stopIfTrue="1">
      <formula>AND(NOT($C30=""),L30="")</formula>
    </cfRule>
    <cfRule type="expression" dxfId="3323" priority="3310" stopIfTrue="1">
      <formula>BU30="0"</formula>
    </cfRule>
  </conditionalFormatting>
  <conditionalFormatting sqref="N30">
    <cfRule type="expression" dxfId="3322" priority="3307" stopIfTrue="1">
      <formula>AND(NOT($C30=""),N30="")</formula>
    </cfRule>
    <cfRule type="expression" dxfId="3321" priority="3308" stopIfTrue="1">
      <formula>CE30="0"</formula>
    </cfRule>
  </conditionalFormatting>
  <conditionalFormatting sqref="M12">
    <cfRule type="expression" dxfId="3320" priority="3306" stopIfTrue="1">
      <formula>BZ12="0"</formula>
    </cfRule>
  </conditionalFormatting>
  <conditionalFormatting sqref="E12">
    <cfRule type="expression" dxfId="3319" priority="3304" stopIfTrue="1">
      <formula>AND(NOT($C12=""),E12="")</formula>
    </cfRule>
    <cfRule type="expression" dxfId="3318" priority="3305" stopIfTrue="1">
      <formula>AL12="0"</formula>
    </cfRule>
  </conditionalFormatting>
  <conditionalFormatting sqref="F12">
    <cfRule type="expression" dxfId="3317" priority="3302" stopIfTrue="1">
      <formula>AND(NOT($C12=""),F12="")</formula>
    </cfRule>
    <cfRule type="expression" dxfId="3316" priority="3303" stopIfTrue="1">
      <formula>AQ12="0"</formula>
    </cfRule>
  </conditionalFormatting>
  <conditionalFormatting sqref="G12">
    <cfRule type="expression" dxfId="3315" priority="3300" stopIfTrue="1">
      <formula>AND(NOT($C12=""),G12="")</formula>
    </cfRule>
    <cfRule type="expression" dxfId="3314" priority="3301" stopIfTrue="1">
      <formula>AV12="0"</formula>
    </cfRule>
  </conditionalFormatting>
  <conditionalFormatting sqref="H12">
    <cfRule type="expression" dxfId="3313" priority="3298" stopIfTrue="1">
      <formula>AND(NOT($C12=""),H12="")</formula>
    </cfRule>
    <cfRule type="expression" dxfId="3312" priority="3299" stopIfTrue="1">
      <formula>BA12="0"</formula>
    </cfRule>
  </conditionalFormatting>
  <conditionalFormatting sqref="I12">
    <cfRule type="expression" dxfId="3311" priority="3296" stopIfTrue="1">
      <formula>AND(NOT($C12=""),I12="")</formula>
    </cfRule>
    <cfRule type="expression" dxfId="3310" priority="3297" stopIfTrue="1">
      <formula>BF12="0"</formula>
    </cfRule>
  </conditionalFormatting>
  <conditionalFormatting sqref="J12">
    <cfRule type="expression" dxfId="3309" priority="3294" stopIfTrue="1">
      <formula>AND(NOT($C12=""),J12="")</formula>
    </cfRule>
    <cfRule type="expression" dxfId="3308" priority="3295" stopIfTrue="1">
      <formula>BK12="0"</formula>
    </cfRule>
  </conditionalFormatting>
  <conditionalFormatting sqref="K12">
    <cfRule type="expression" dxfId="3307" priority="3292" stopIfTrue="1">
      <formula>AND(NOT($C12=""),K12="")</formula>
    </cfRule>
    <cfRule type="expression" dxfId="3306" priority="3293" stopIfTrue="1">
      <formula>BP12="0"</formula>
    </cfRule>
  </conditionalFormatting>
  <conditionalFormatting sqref="L12">
    <cfRule type="expression" dxfId="3305" priority="3290" stopIfTrue="1">
      <formula>AND(NOT($C12=""),L12="")</formula>
    </cfRule>
    <cfRule type="expression" dxfId="3304" priority="3291" stopIfTrue="1">
      <formula>BU12="0"</formula>
    </cfRule>
  </conditionalFormatting>
  <conditionalFormatting sqref="N12">
    <cfRule type="expression" dxfId="3303" priority="3288" stopIfTrue="1">
      <formula>AND(NOT($C12=""),N12="")</formula>
    </cfRule>
    <cfRule type="expression" dxfId="3302" priority="3289" stopIfTrue="1">
      <formula>CE12="0"</formula>
    </cfRule>
  </conditionalFormatting>
  <conditionalFormatting sqref="M12">
    <cfRule type="expression" dxfId="3301" priority="3287" stopIfTrue="1">
      <formula>BZ12="0"</formula>
    </cfRule>
  </conditionalFormatting>
  <conditionalFormatting sqref="E12">
    <cfRule type="expression" dxfId="3300" priority="3285" stopIfTrue="1">
      <formula>AND(NOT($C12=""),E12="")</formula>
    </cfRule>
    <cfRule type="expression" dxfId="3299" priority="3286" stopIfTrue="1">
      <formula>AL12="0"</formula>
    </cfRule>
  </conditionalFormatting>
  <conditionalFormatting sqref="F12">
    <cfRule type="expression" dxfId="3298" priority="3283" stopIfTrue="1">
      <formula>AND(NOT($C12=""),F12="")</formula>
    </cfRule>
    <cfRule type="expression" dxfId="3297" priority="3284" stopIfTrue="1">
      <formula>AQ12="0"</formula>
    </cfRule>
  </conditionalFormatting>
  <conditionalFormatting sqref="G12">
    <cfRule type="expression" dxfId="3296" priority="3281" stopIfTrue="1">
      <formula>AND(NOT($C12=""),G12="")</formula>
    </cfRule>
    <cfRule type="expression" dxfId="3295" priority="3282" stopIfTrue="1">
      <formula>AV12="0"</formula>
    </cfRule>
  </conditionalFormatting>
  <conditionalFormatting sqref="H12">
    <cfRule type="expression" dxfId="3294" priority="3279" stopIfTrue="1">
      <formula>AND(NOT($C12=""),H12="")</formula>
    </cfRule>
    <cfRule type="expression" dxfId="3293" priority="3280" stopIfTrue="1">
      <formula>BA12="0"</formula>
    </cfRule>
  </conditionalFormatting>
  <conditionalFormatting sqref="I12">
    <cfRule type="expression" dxfId="3292" priority="3277" stopIfTrue="1">
      <formula>AND(NOT($C12=""),I12="")</formula>
    </cfRule>
    <cfRule type="expression" dxfId="3291" priority="3278" stopIfTrue="1">
      <formula>BF12="0"</formula>
    </cfRule>
  </conditionalFormatting>
  <conditionalFormatting sqref="J12">
    <cfRule type="expression" dxfId="3290" priority="3275" stopIfTrue="1">
      <formula>AND(NOT($C12=""),J12="")</formula>
    </cfRule>
    <cfRule type="expression" dxfId="3289" priority="3276" stopIfTrue="1">
      <formula>BK12="0"</formula>
    </cfRule>
  </conditionalFormatting>
  <conditionalFormatting sqref="K12">
    <cfRule type="expression" dxfId="3288" priority="3273" stopIfTrue="1">
      <formula>AND(NOT($C12=""),K12="")</formula>
    </cfRule>
    <cfRule type="expression" dxfId="3287" priority="3274" stopIfTrue="1">
      <formula>BP12="0"</formula>
    </cfRule>
  </conditionalFormatting>
  <conditionalFormatting sqref="L12">
    <cfRule type="expression" dxfId="3286" priority="3271" stopIfTrue="1">
      <formula>AND(NOT($C12=""),L12="")</formula>
    </cfRule>
    <cfRule type="expression" dxfId="3285" priority="3272" stopIfTrue="1">
      <formula>BU12="0"</formula>
    </cfRule>
  </conditionalFormatting>
  <conditionalFormatting sqref="N12">
    <cfRule type="expression" dxfId="3284" priority="3269" stopIfTrue="1">
      <formula>AND(NOT($C12=""),N12="")</formula>
    </cfRule>
    <cfRule type="expression" dxfId="3283" priority="3270" stopIfTrue="1">
      <formula>CE12="0"</formula>
    </cfRule>
  </conditionalFormatting>
  <conditionalFormatting sqref="M12">
    <cfRule type="expression" dxfId="3282" priority="3268" stopIfTrue="1">
      <formula>BZ12="0"</formula>
    </cfRule>
  </conditionalFormatting>
  <conditionalFormatting sqref="E12">
    <cfRule type="expression" dxfId="3281" priority="3266" stopIfTrue="1">
      <formula>AND(NOT($C12=""),E12="")</formula>
    </cfRule>
    <cfRule type="expression" dxfId="3280" priority="3267" stopIfTrue="1">
      <formula>AL12="0"</formula>
    </cfRule>
  </conditionalFormatting>
  <conditionalFormatting sqref="F12">
    <cfRule type="expression" dxfId="3279" priority="3264" stopIfTrue="1">
      <formula>AND(NOT($C12=""),F12="")</formula>
    </cfRule>
    <cfRule type="expression" dxfId="3278" priority="3265" stopIfTrue="1">
      <formula>AQ12="0"</formula>
    </cfRule>
  </conditionalFormatting>
  <conditionalFormatting sqref="G12">
    <cfRule type="expression" dxfId="3277" priority="3262" stopIfTrue="1">
      <formula>AND(NOT($C12=""),G12="")</formula>
    </cfRule>
    <cfRule type="expression" dxfId="3276" priority="3263" stopIfTrue="1">
      <formula>AV12="0"</formula>
    </cfRule>
  </conditionalFormatting>
  <conditionalFormatting sqref="H12">
    <cfRule type="expression" dxfId="3275" priority="3260" stopIfTrue="1">
      <formula>AND(NOT($C12=""),H12="")</formula>
    </cfRule>
    <cfRule type="expression" dxfId="3274" priority="3261" stopIfTrue="1">
      <formula>BA12="0"</formula>
    </cfRule>
  </conditionalFormatting>
  <conditionalFormatting sqref="I12">
    <cfRule type="expression" dxfId="3273" priority="3258" stopIfTrue="1">
      <formula>AND(NOT($C12=""),I12="")</formula>
    </cfRule>
    <cfRule type="expression" dxfId="3272" priority="3259" stopIfTrue="1">
      <formula>BF12="0"</formula>
    </cfRule>
  </conditionalFormatting>
  <conditionalFormatting sqref="J12">
    <cfRule type="expression" dxfId="3271" priority="3256" stopIfTrue="1">
      <formula>AND(NOT($C12=""),J12="")</formula>
    </cfRule>
    <cfRule type="expression" dxfId="3270" priority="3257" stopIfTrue="1">
      <formula>BK12="0"</formula>
    </cfRule>
  </conditionalFormatting>
  <conditionalFormatting sqref="K12">
    <cfRule type="expression" dxfId="3269" priority="3254" stopIfTrue="1">
      <formula>AND(NOT($C12=""),K12="")</formula>
    </cfRule>
    <cfRule type="expression" dxfId="3268" priority="3255" stopIfTrue="1">
      <formula>BP12="0"</formula>
    </cfRule>
  </conditionalFormatting>
  <conditionalFormatting sqref="L12">
    <cfRule type="expression" dxfId="3267" priority="3252" stopIfTrue="1">
      <formula>AND(NOT($C12=""),L12="")</formula>
    </cfRule>
    <cfRule type="expression" dxfId="3266" priority="3253" stopIfTrue="1">
      <formula>BU12="0"</formula>
    </cfRule>
  </conditionalFormatting>
  <conditionalFormatting sqref="N12">
    <cfRule type="expression" dxfId="3265" priority="3250" stopIfTrue="1">
      <formula>AND(NOT($C12=""),N12="")</formula>
    </cfRule>
    <cfRule type="expression" dxfId="3264" priority="3251" stopIfTrue="1">
      <formula>CE12="0"</formula>
    </cfRule>
  </conditionalFormatting>
  <conditionalFormatting sqref="M12">
    <cfRule type="expression" dxfId="3263" priority="3249" stopIfTrue="1">
      <formula>BZ12="0"</formula>
    </cfRule>
  </conditionalFormatting>
  <conditionalFormatting sqref="E12">
    <cfRule type="expression" dxfId="3262" priority="3247" stopIfTrue="1">
      <formula>AND(NOT($C12=""),E12="")</formula>
    </cfRule>
    <cfRule type="expression" dxfId="3261" priority="3248" stopIfTrue="1">
      <formula>AL12="0"</formula>
    </cfRule>
  </conditionalFormatting>
  <conditionalFormatting sqref="F12">
    <cfRule type="expression" dxfId="3260" priority="3245" stopIfTrue="1">
      <formula>AND(NOT($C12=""),F12="")</formula>
    </cfRule>
    <cfRule type="expression" dxfId="3259" priority="3246" stopIfTrue="1">
      <formula>AQ12="0"</formula>
    </cfRule>
  </conditionalFormatting>
  <conditionalFormatting sqref="G12">
    <cfRule type="expression" dxfId="3258" priority="3243" stopIfTrue="1">
      <formula>AND(NOT($C12=""),G12="")</formula>
    </cfRule>
    <cfRule type="expression" dxfId="3257" priority="3244" stopIfTrue="1">
      <formula>AV12="0"</formula>
    </cfRule>
  </conditionalFormatting>
  <conditionalFormatting sqref="H12">
    <cfRule type="expression" dxfId="3256" priority="3241" stopIfTrue="1">
      <formula>AND(NOT($C12=""),H12="")</formula>
    </cfRule>
    <cfRule type="expression" dxfId="3255" priority="3242" stopIfTrue="1">
      <formula>BA12="0"</formula>
    </cfRule>
  </conditionalFormatting>
  <conditionalFormatting sqref="I12">
    <cfRule type="expression" dxfId="3254" priority="3239" stopIfTrue="1">
      <formula>AND(NOT($C12=""),I12="")</formula>
    </cfRule>
    <cfRule type="expression" dxfId="3253" priority="3240" stopIfTrue="1">
      <formula>BF12="0"</formula>
    </cfRule>
  </conditionalFormatting>
  <conditionalFormatting sqref="J12">
    <cfRule type="expression" dxfId="3252" priority="3237" stopIfTrue="1">
      <formula>AND(NOT($C12=""),J12="")</formula>
    </cfRule>
    <cfRule type="expression" dxfId="3251" priority="3238" stopIfTrue="1">
      <formula>BK12="0"</formula>
    </cfRule>
  </conditionalFormatting>
  <conditionalFormatting sqref="K12">
    <cfRule type="expression" dxfId="3250" priority="3235" stopIfTrue="1">
      <formula>AND(NOT($C12=""),K12="")</formula>
    </cfRule>
    <cfRule type="expression" dxfId="3249" priority="3236" stopIfTrue="1">
      <formula>BP12="0"</formula>
    </cfRule>
  </conditionalFormatting>
  <conditionalFormatting sqref="L12">
    <cfRule type="expression" dxfId="3248" priority="3233" stopIfTrue="1">
      <formula>AND(NOT($C12=""),L12="")</formula>
    </cfRule>
    <cfRule type="expression" dxfId="3247" priority="3234" stopIfTrue="1">
      <formula>BU12="0"</formula>
    </cfRule>
  </conditionalFormatting>
  <conditionalFormatting sqref="N12">
    <cfRule type="expression" dxfId="3246" priority="3231" stopIfTrue="1">
      <formula>AND(NOT($C12=""),N12="")</formula>
    </cfRule>
    <cfRule type="expression" dxfId="3245" priority="3232" stopIfTrue="1">
      <formula>CE12="0"</formula>
    </cfRule>
  </conditionalFormatting>
  <conditionalFormatting sqref="M12">
    <cfRule type="expression" dxfId="3244" priority="3230" stopIfTrue="1">
      <formula>BZ12="0"</formula>
    </cfRule>
  </conditionalFormatting>
  <conditionalFormatting sqref="E12">
    <cfRule type="expression" dxfId="3243" priority="3228" stopIfTrue="1">
      <formula>AND(NOT($C12=""),E12="")</formula>
    </cfRule>
    <cfRule type="expression" dxfId="3242" priority="3229" stopIfTrue="1">
      <formula>AL12="0"</formula>
    </cfRule>
  </conditionalFormatting>
  <conditionalFormatting sqref="F12">
    <cfRule type="expression" dxfId="3241" priority="3226" stopIfTrue="1">
      <formula>AND(NOT($C12=""),F12="")</formula>
    </cfRule>
    <cfRule type="expression" dxfId="3240" priority="3227" stopIfTrue="1">
      <formula>AQ12="0"</formula>
    </cfRule>
  </conditionalFormatting>
  <conditionalFormatting sqref="G12">
    <cfRule type="expression" dxfId="3239" priority="3224" stopIfTrue="1">
      <formula>AND(NOT($C12=""),G12="")</formula>
    </cfRule>
    <cfRule type="expression" dxfId="3238" priority="3225" stopIfTrue="1">
      <formula>AV12="0"</formula>
    </cfRule>
  </conditionalFormatting>
  <conditionalFormatting sqref="H12">
    <cfRule type="expression" dxfId="3237" priority="3222" stopIfTrue="1">
      <formula>AND(NOT($C12=""),H12="")</formula>
    </cfRule>
    <cfRule type="expression" dxfId="3236" priority="3223" stopIfTrue="1">
      <formula>BA12="0"</formula>
    </cfRule>
  </conditionalFormatting>
  <conditionalFormatting sqref="I12">
    <cfRule type="expression" dxfId="3235" priority="3220" stopIfTrue="1">
      <formula>AND(NOT($C12=""),I12="")</formula>
    </cfRule>
    <cfRule type="expression" dxfId="3234" priority="3221" stopIfTrue="1">
      <formula>BF12="0"</formula>
    </cfRule>
  </conditionalFormatting>
  <conditionalFormatting sqref="J12">
    <cfRule type="expression" dxfId="3233" priority="3218" stopIfTrue="1">
      <formula>AND(NOT($C12=""),J12="")</formula>
    </cfRule>
    <cfRule type="expression" dxfId="3232" priority="3219" stopIfTrue="1">
      <formula>BK12="0"</formula>
    </cfRule>
  </conditionalFormatting>
  <conditionalFormatting sqref="K12">
    <cfRule type="expression" dxfId="3231" priority="3216" stopIfTrue="1">
      <formula>AND(NOT($C12=""),K12="")</formula>
    </cfRule>
    <cfRule type="expression" dxfId="3230" priority="3217" stopIfTrue="1">
      <formula>BP12="0"</formula>
    </cfRule>
  </conditionalFormatting>
  <conditionalFormatting sqref="L12">
    <cfRule type="expression" dxfId="3229" priority="3214" stopIfTrue="1">
      <formula>AND(NOT($C12=""),L12="")</formula>
    </cfRule>
    <cfRule type="expression" dxfId="3228" priority="3215" stopIfTrue="1">
      <formula>BU12="0"</formula>
    </cfRule>
  </conditionalFormatting>
  <conditionalFormatting sqref="N12">
    <cfRule type="expression" dxfId="3227" priority="3212" stopIfTrue="1">
      <formula>AND(NOT($C12=""),N12="")</formula>
    </cfRule>
    <cfRule type="expression" dxfId="3226" priority="3213" stopIfTrue="1">
      <formula>CE12="0"</formula>
    </cfRule>
  </conditionalFormatting>
  <conditionalFormatting sqref="M31">
    <cfRule type="expression" dxfId="3225" priority="3211" stopIfTrue="1">
      <formula>BZ31="0"</formula>
    </cfRule>
  </conditionalFormatting>
  <conditionalFormatting sqref="D31">
    <cfRule type="expression" dxfId="3224" priority="3209" stopIfTrue="1">
      <formula>AND(NOT($C31=""),D31="")</formula>
    </cfRule>
    <cfRule type="expression" dxfId="3223" priority="3210" stopIfTrue="1">
      <formula>AG31="0"</formula>
    </cfRule>
  </conditionalFormatting>
  <conditionalFormatting sqref="E31">
    <cfRule type="expression" dxfId="3222" priority="3207" stopIfTrue="1">
      <formula>AND(NOT($C31=""),E31="")</formula>
    </cfRule>
    <cfRule type="expression" dxfId="3221" priority="3208" stopIfTrue="1">
      <formula>AL31="0"</formula>
    </cfRule>
  </conditionalFormatting>
  <conditionalFormatting sqref="F31">
    <cfRule type="expression" dxfId="3220" priority="3205" stopIfTrue="1">
      <formula>AND(NOT($C31=""),F31="")</formula>
    </cfRule>
    <cfRule type="expression" dxfId="3219" priority="3206" stopIfTrue="1">
      <formula>AQ31="0"</formula>
    </cfRule>
  </conditionalFormatting>
  <conditionalFormatting sqref="G31">
    <cfRule type="expression" dxfId="3218" priority="3203" stopIfTrue="1">
      <formula>AND(NOT($C31=""),G31="")</formula>
    </cfRule>
    <cfRule type="expression" dxfId="3217" priority="3204" stopIfTrue="1">
      <formula>AV31="0"</formula>
    </cfRule>
  </conditionalFormatting>
  <conditionalFormatting sqref="H31">
    <cfRule type="expression" dxfId="3216" priority="3201" stopIfTrue="1">
      <formula>AND(NOT($C31=""),H31="")</formula>
    </cfRule>
    <cfRule type="expression" dxfId="3215" priority="3202" stopIfTrue="1">
      <formula>BA31="0"</formula>
    </cfRule>
  </conditionalFormatting>
  <conditionalFormatting sqref="I31">
    <cfRule type="expression" dxfId="3214" priority="3199" stopIfTrue="1">
      <formula>AND(NOT($C31=""),I31="")</formula>
    </cfRule>
    <cfRule type="expression" dxfId="3213" priority="3200" stopIfTrue="1">
      <formula>BF31="0"</formula>
    </cfRule>
  </conditionalFormatting>
  <conditionalFormatting sqref="J31">
    <cfRule type="expression" dxfId="3212" priority="3197" stopIfTrue="1">
      <formula>AND(NOT($C31=""),J31="")</formula>
    </cfRule>
    <cfRule type="expression" dxfId="3211" priority="3198" stopIfTrue="1">
      <formula>BK31="0"</formula>
    </cfRule>
  </conditionalFormatting>
  <conditionalFormatting sqref="K31">
    <cfRule type="expression" dxfId="3210" priority="3195" stopIfTrue="1">
      <formula>AND(NOT($C31=""),K31="")</formula>
    </cfRule>
    <cfRule type="expression" dxfId="3209" priority="3196" stopIfTrue="1">
      <formula>BP31="0"</formula>
    </cfRule>
  </conditionalFormatting>
  <conditionalFormatting sqref="L31">
    <cfRule type="expression" dxfId="3208" priority="3193" stopIfTrue="1">
      <formula>AND(NOT($C31=""),L31="")</formula>
    </cfRule>
    <cfRule type="expression" dxfId="3207" priority="3194" stopIfTrue="1">
      <formula>BU31="0"</formula>
    </cfRule>
  </conditionalFormatting>
  <conditionalFormatting sqref="N31">
    <cfRule type="expression" dxfId="3206" priority="3191" stopIfTrue="1">
      <formula>AND(NOT($C31=""),N31="")</formula>
    </cfRule>
    <cfRule type="expression" dxfId="3205" priority="3192" stopIfTrue="1">
      <formula>CE31="0"</formula>
    </cfRule>
  </conditionalFormatting>
  <conditionalFormatting sqref="M31">
    <cfRule type="expression" dxfId="3204" priority="3190" stopIfTrue="1">
      <formula>BZ31="0"</formula>
    </cfRule>
  </conditionalFormatting>
  <conditionalFormatting sqref="D31">
    <cfRule type="expression" dxfId="3203" priority="3188" stopIfTrue="1">
      <formula>AND(NOT($C31=""),D31="")</formula>
    </cfRule>
    <cfRule type="expression" dxfId="3202" priority="3189" stopIfTrue="1">
      <formula>AG31="0"</formula>
    </cfRule>
  </conditionalFormatting>
  <conditionalFormatting sqref="E31">
    <cfRule type="expression" dxfId="3201" priority="3186" stopIfTrue="1">
      <formula>AND(NOT($C31=""),E31="")</formula>
    </cfRule>
    <cfRule type="expression" dxfId="3200" priority="3187" stopIfTrue="1">
      <formula>AL31="0"</formula>
    </cfRule>
  </conditionalFormatting>
  <conditionalFormatting sqref="F31">
    <cfRule type="expression" dxfId="3199" priority="3184" stopIfTrue="1">
      <formula>AND(NOT($C31=""),F31="")</formula>
    </cfRule>
    <cfRule type="expression" dxfId="3198" priority="3185" stopIfTrue="1">
      <formula>AQ31="0"</formula>
    </cfRule>
  </conditionalFormatting>
  <conditionalFormatting sqref="G31">
    <cfRule type="expression" dxfId="3197" priority="3182" stopIfTrue="1">
      <formula>AND(NOT($C31=""),G31="")</formula>
    </cfRule>
    <cfRule type="expression" dxfId="3196" priority="3183" stopIfTrue="1">
      <formula>AV31="0"</formula>
    </cfRule>
  </conditionalFormatting>
  <conditionalFormatting sqref="H31">
    <cfRule type="expression" dxfId="3195" priority="3180" stopIfTrue="1">
      <formula>AND(NOT($C31=""),H31="")</formula>
    </cfRule>
    <cfRule type="expression" dxfId="3194" priority="3181" stopIfTrue="1">
      <formula>BA31="0"</formula>
    </cfRule>
  </conditionalFormatting>
  <conditionalFormatting sqref="I31">
    <cfRule type="expression" dxfId="3193" priority="3178" stopIfTrue="1">
      <formula>AND(NOT($C31=""),I31="")</formula>
    </cfRule>
    <cfRule type="expression" dxfId="3192" priority="3179" stopIfTrue="1">
      <formula>BF31="0"</formula>
    </cfRule>
  </conditionalFormatting>
  <conditionalFormatting sqref="J31">
    <cfRule type="expression" dxfId="3191" priority="3176" stopIfTrue="1">
      <formula>AND(NOT($C31=""),J31="")</formula>
    </cfRule>
    <cfRule type="expression" dxfId="3190" priority="3177" stopIfTrue="1">
      <formula>BK31="0"</formula>
    </cfRule>
  </conditionalFormatting>
  <conditionalFormatting sqref="K31">
    <cfRule type="expression" dxfId="3189" priority="3174" stopIfTrue="1">
      <formula>AND(NOT($C31=""),K31="")</formula>
    </cfRule>
    <cfRule type="expression" dxfId="3188" priority="3175" stopIfTrue="1">
      <formula>BP31="0"</formula>
    </cfRule>
  </conditionalFormatting>
  <conditionalFormatting sqref="L31">
    <cfRule type="expression" dxfId="3187" priority="3172" stopIfTrue="1">
      <formula>AND(NOT($C31=""),L31="")</formula>
    </cfRule>
    <cfRule type="expression" dxfId="3186" priority="3173" stopIfTrue="1">
      <formula>BU31="0"</formula>
    </cfRule>
  </conditionalFormatting>
  <conditionalFormatting sqref="N31">
    <cfRule type="expression" dxfId="3185" priority="3170" stopIfTrue="1">
      <formula>AND(NOT($C31=""),N31="")</formula>
    </cfRule>
    <cfRule type="expression" dxfId="3184" priority="3171" stopIfTrue="1">
      <formula>CE31="0"</formula>
    </cfRule>
  </conditionalFormatting>
  <conditionalFormatting sqref="M31">
    <cfRule type="expression" dxfId="3183" priority="3169" stopIfTrue="1">
      <formula>BZ31="0"</formula>
    </cfRule>
  </conditionalFormatting>
  <conditionalFormatting sqref="D31">
    <cfRule type="expression" dxfId="3182" priority="3167" stopIfTrue="1">
      <formula>AND(NOT($C31=""),D31="")</formula>
    </cfRule>
    <cfRule type="expression" dxfId="3181" priority="3168" stopIfTrue="1">
      <formula>AG31="0"</formula>
    </cfRule>
  </conditionalFormatting>
  <conditionalFormatting sqref="E31">
    <cfRule type="expression" dxfId="3180" priority="3165" stopIfTrue="1">
      <formula>AND(NOT($C31=""),E31="")</formula>
    </cfRule>
    <cfRule type="expression" dxfId="3179" priority="3166" stopIfTrue="1">
      <formula>AL31="0"</formula>
    </cfRule>
  </conditionalFormatting>
  <conditionalFormatting sqref="F31">
    <cfRule type="expression" dxfId="3178" priority="3163" stopIfTrue="1">
      <formula>AND(NOT($C31=""),F31="")</formula>
    </cfRule>
    <cfRule type="expression" dxfId="3177" priority="3164" stopIfTrue="1">
      <formula>AQ31="0"</formula>
    </cfRule>
  </conditionalFormatting>
  <conditionalFormatting sqref="G31">
    <cfRule type="expression" dxfId="3176" priority="3161" stopIfTrue="1">
      <formula>AND(NOT($C31=""),G31="")</formula>
    </cfRule>
    <cfRule type="expression" dxfId="3175" priority="3162" stopIfTrue="1">
      <formula>AV31="0"</formula>
    </cfRule>
  </conditionalFormatting>
  <conditionalFormatting sqref="H31">
    <cfRule type="expression" dxfId="3174" priority="3159" stopIfTrue="1">
      <formula>AND(NOT($C31=""),H31="")</formula>
    </cfRule>
    <cfRule type="expression" dxfId="3173" priority="3160" stopIfTrue="1">
      <formula>BA31="0"</formula>
    </cfRule>
  </conditionalFormatting>
  <conditionalFormatting sqref="I31">
    <cfRule type="expression" dxfId="3172" priority="3157" stopIfTrue="1">
      <formula>AND(NOT($C31=""),I31="")</formula>
    </cfRule>
    <cfRule type="expression" dxfId="3171" priority="3158" stopIfTrue="1">
      <formula>BF31="0"</formula>
    </cfRule>
  </conditionalFormatting>
  <conditionalFormatting sqref="J31">
    <cfRule type="expression" dxfId="3170" priority="3155" stopIfTrue="1">
      <formula>AND(NOT($C31=""),J31="")</formula>
    </cfRule>
    <cfRule type="expression" dxfId="3169" priority="3156" stopIfTrue="1">
      <formula>BK31="0"</formula>
    </cfRule>
  </conditionalFormatting>
  <conditionalFormatting sqref="K31">
    <cfRule type="expression" dxfId="3168" priority="3153" stopIfTrue="1">
      <formula>AND(NOT($C31=""),K31="")</formula>
    </cfRule>
    <cfRule type="expression" dxfId="3167" priority="3154" stopIfTrue="1">
      <formula>BP31="0"</formula>
    </cfRule>
  </conditionalFormatting>
  <conditionalFormatting sqref="L31">
    <cfRule type="expression" dxfId="3166" priority="3151" stopIfTrue="1">
      <formula>AND(NOT($C31=""),L31="")</formula>
    </cfRule>
    <cfRule type="expression" dxfId="3165" priority="3152" stopIfTrue="1">
      <formula>BU31="0"</formula>
    </cfRule>
  </conditionalFormatting>
  <conditionalFormatting sqref="N31">
    <cfRule type="expression" dxfId="3164" priority="3149" stopIfTrue="1">
      <formula>AND(NOT($C31=""),N31="")</formula>
    </cfRule>
    <cfRule type="expression" dxfId="3163" priority="3150" stopIfTrue="1">
      <formula>CE31="0"</formula>
    </cfRule>
  </conditionalFormatting>
  <conditionalFormatting sqref="M31">
    <cfRule type="expression" dxfId="3162" priority="3148" stopIfTrue="1">
      <formula>BZ31="0"</formula>
    </cfRule>
  </conditionalFormatting>
  <conditionalFormatting sqref="D31">
    <cfRule type="expression" dxfId="3161" priority="3146" stopIfTrue="1">
      <formula>AND(NOT($C31=""),D31="")</formula>
    </cfRule>
    <cfRule type="expression" dxfId="3160" priority="3147" stopIfTrue="1">
      <formula>AG31="0"</formula>
    </cfRule>
  </conditionalFormatting>
  <conditionalFormatting sqref="E31">
    <cfRule type="expression" dxfId="3159" priority="3144" stopIfTrue="1">
      <formula>AND(NOT($C31=""),E31="")</formula>
    </cfRule>
    <cfRule type="expression" dxfId="3158" priority="3145" stopIfTrue="1">
      <formula>AL31="0"</formula>
    </cfRule>
  </conditionalFormatting>
  <conditionalFormatting sqref="F31">
    <cfRule type="expression" dxfId="3157" priority="3142" stopIfTrue="1">
      <formula>AND(NOT($C31=""),F31="")</formula>
    </cfRule>
    <cfRule type="expression" dxfId="3156" priority="3143" stopIfTrue="1">
      <formula>AQ31="0"</formula>
    </cfRule>
  </conditionalFormatting>
  <conditionalFormatting sqref="G31">
    <cfRule type="expression" dxfId="3155" priority="3140" stopIfTrue="1">
      <formula>AND(NOT($C31=""),G31="")</formula>
    </cfRule>
    <cfRule type="expression" dxfId="3154" priority="3141" stopIfTrue="1">
      <formula>AV31="0"</formula>
    </cfRule>
  </conditionalFormatting>
  <conditionalFormatting sqref="H31">
    <cfRule type="expression" dxfId="3153" priority="3138" stopIfTrue="1">
      <formula>AND(NOT($C31=""),H31="")</formula>
    </cfRule>
    <cfRule type="expression" dxfId="3152" priority="3139" stopIfTrue="1">
      <formula>BA31="0"</formula>
    </cfRule>
  </conditionalFormatting>
  <conditionalFormatting sqref="I31">
    <cfRule type="expression" dxfId="3151" priority="3136" stopIfTrue="1">
      <formula>AND(NOT($C31=""),I31="")</formula>
    </cfRule>
    <cfRule type="expression" dxfId="3150" priority="3137" stopIfTrue="1">
      <formula>BF31="0"</formula>
    </cfRule>
  </conditionalFormatting>
  <conditionalFormatting sqref="J31">
    <cfRule type="expression" dxfId="3149" priority="3134" stopIfTrue="1">
      <formula>AND(NOT($C31=""),J31="")</formula>
    </cfRule>
    <cfRule type="expression" dxfId="3148" priority="3135" stopIfTrue="1">
      <formula>BK31="0"</formula>
    </cfRule>
  </conditionalFormatting>
  <conditionalFormatting sqref="K31">
    <cfRule type="expression" dxfId="3147" priority="3132" stopIfTrue="1">
      <formula>AND(NOT($C31=""),K31="")</formula>
    </cfRule>
    <cfRule type="expression" dxfId="3146" priority="3133" stopIfTrue="1">
      <formula>BP31="0"</formula>
    </cfRule>
  </conditionalFormatting>
  <conditionalFormatting sqref="L31">
    <cfRule type="expression" dxfId="3145" priority="3130" stopIfTrue="1">
      <formula>AND(NOT($C31=""),L31="")</formula>
    </cfRule>
    <cfRule type="expression" dxfId="3144" priority="3131" stopIfTrue="1">
      <formula>BU31="0"</formula>
    </cfRule>
  </conditionalFormatting>
  <conditionalFormatting sqref="N31">
    <cfRule type="expression" dxfId="3143" priority="3128" stopIfTrue="1">
      <formula>AND(NOT($C31=""),N31="")</formula>
    </cfRule>
    <cfRule type="expression" dxfId="3142" priority="3129" stopIfTrue="1">
      <formula>CE31="0"</formula>
    </cfRule>
  </conditionalFormatting>
  <conditionalFormatting sqref="M31">
    <cfRule type="expression" dxfId="3141" priority="3127" stopIfTrue="1">
      <formula>BZ31="0"</formula>
    </cfRule>
  </conditionalFormatting>
  <conditionalFormatting sqref="D31">
    <cfRule type="expression" dxfId="3140" priority="3125" stopIfTrue="1">
      <formula>AND(NOT($C31=""),D31="")</formula>
    </cfRule>
    <cfRule type="expression" dxfId="3139" priority="3126" stopIfTrue="1">
      <formula>AG31="0"</formula>
    </cfRule>
  </conditionalFormatting>
  <conditionalFormatting sqref="E31">
    <cfRule type="expression" dxfId="3138" priority="3123" stopIfTrue="1">
      <formula>AND(NOT($C31=""),E31="")</formula>
    </cfRule>
    <cfRule type="expression" dxfId="3137" priority="3124" stopIfTrue="1">
      <formula>AL31="0"</formula>
    </cfRule>
  </conditionalFormatting>
  <conditionalFormatting sqref="F31">
    <cfRule type="expression" dxfId="3136" priority="3121" stopIfTrue="1">
      <formula>AND(NOT($C31=""),F31="")</formula>
    </cfRule>
    <cfRule type="expression" dxfId="3135" priority="3122" stopIfTrue="1">
      <formula>AQ31="0"</formula>
    </cfRule>
  </conditionalFormatting>
  <conditionalFormatting sqref="G31">
    <cfRule type="expression" dxfId="3134" priority="3119" stopIfTrue="1">
      <formula>AND(NOT($C31=""),G31="")</formula>
    </cfRule>
    <cfRule type="expression" dxfId="3133" priority="3120" stopIfTrue="1">
      <formula>AV31="0"</formula>
    </cfRule>
  </conditionalFormatting>
  <conditionalFormatting sqref="H31">
    <cfRule type="expression" dxfId="3132" priority="3117" stopIfTrue="1">
      <formula>AND(NOT($C31=""),H31="")</formula>
    </cfRule>
    <cfRule type="expression" dxfId="3131" priority="3118" stopIfTrue="1">
      <formula>BA31="0"</formula>
    </cfRule>
  </conditionalFormatting>
  <conditionalFormatting sqref="I31">
    <cfRule type="expression" dxfId="3130" priority="3115" stopIfTrue="1">
      <formula>AND(NOT($C31=""),I31="")</formula>
    </cfRule>
    <cfRule type="expression" dxfId="3129" priority="3116" stopIfTrue="1">
      <formula>BF31="0"</formula>
    </cfRule>
  </conditionalFormatting>
  <conditionalFormatting sqref="J31">
    <cfRule type="expression" dxfId="3128" priority="3113" stopIfTrue="1">
      <formula>AND(NOT($C31=""),J31="")</formula>
    </cfRule>
    <cfRule type="expression" dxfId="3127" priority="3114" stopIfTrue="1">
      <formula>BK31="0"</formula>
    </cfRule>
  </conditionalFormatting>
  <conditionalFormatting sqref="K31">
    <cfRule type="expression" dxfId="3126" priority="3111" stopIfTrue="1">
      <formula>AND(NOT($C31=""),K31="")</formula>
    </cfRule>
    <cfRule type="expression" dxfId="3125" priority="3112" stopIfTrue="1">
      <formula>BP31="0"</formula>
    </cfRule>
  </conditionalFormatting>
  <conditionalFormatting sqref="L31">
    <cfRule type="expression" dxfId="3124" priority="3109" stopIfTrue="1">
      <formula>AND(NOT($C31=""),L31="")</formula>
    </cfRule>
    <cfRule type="expression" dxfId="3123" priority="3110" stopIfTrue="1">
      <formula>BU31="0"</formula>
    </cfRule>
  </conditionalFormatting>
  <conditionalFormatting sqref="N31">
    <cfRule type="expression" dxfId="3122" priority="3107" stopIfTrue="1">
      <formula>AND(NOT($C31=""),N31="")</formula>
    </cfRule>
    <cfRule type="expression" dxfId="3121" priority="3108" stopIfTrue="1">
      <formula>CE31="0"</formula>
    </cfRule>
  </conditionalFormatting>
  <conditionalFormatting sqref="M31">
    <cfRule type="expression" dxfId="3120" priority="3106" stopIfTrue="1">
      <formula>BZ31="0"</formula>
    </cfRule>
  </conditionalFormatting>
  <conditionalFormatting sqref="D31">
    <cfRule type="expression" dxfId="3119" priority="3104" stopIfTrue="1">
      <formula>AND(NOT($C31=""),D31="")</formula>
    </cfRule>
    <cfRule type="expression" dxfId="3118" priority="3105" stopIfTrue="1">
      <formula>AG31="0"</formula>
    </cfRule>
  </conditionalFormatting>
  <conditionalFormatting sqref="E31">
    <cfRule type="expression" dxfId="3117" priority="3102" stopIfTrue="1">
      <formula>AND(NOT($C31=""),E31="")</formula>
    </cfRule>
    <cfRule type="expression" dxfId="3116" priority="3103" stopIfTrue="1">
      <formula>AL31="0"</formula>
    </cfRule>
  </conditionalFormatting>
  <conditionalFormatting sqref="F31">
    <cfRule type="expression" dxfId="3115" priority="3100" stopIfTrue="1">
      <formula>AND(NOT($C31=""),F31="")</formula>
    </cfRule>
    <cfRule type="expression" dxfId="3114" priority="3101" stopIfTrue="1">
      <formula>AQ31="0"</formula>
    </cfRule>
  </conditionalFormatting>
  <conditionalFormatting sqref="G31">
    <cfRule type="expression" dxfId="3113" priority="3098" stopIfTrue="1">
      <formula>AND(NOT($C31=""),G31="")</formula>
    </cfRule>
    <cfRule type="expression" dxfId="3112" priority="3099" stopIfTrue="1">
      <formula>AV31="0"</formula>
    </cfRule>
  </conditionalFormatting>
  <conditionalFormatting sqref="H31">
    <cfRule type="expression" dxfId="3111" priority="3096" stopIfTrue="1">
      <formula>AND(NOT($C31=""),H31="")</formula>
    </cfRule>
    <cfRule type="expression" dxfId="3110" priority="3097" stopIfTrue="1">
      <formula>BA31="0"</formula>
    </cfRule>
  </conditionalFormatting>
  <conditionalFormatting sqref="I31">
    <cfRule type="expression" dxfId="3109" priority="3094" stopIfTrue="1">
      <formula>AND(NOT($C31=""),I31="")</formula>
    </cfRule>
    <cfRule type="expression" dxfId="3108" priority="3095" stopIfTrue="1">
      <formula>BF31="0"</formula>
    </cfRule>
  </conditionalFormatting>
  <conditionalFormatting sqref="J31">
    <cfRule type="expression" dxfId="3107" priority="3092" stopIfTrue="1">
      <formula>AND(NOT($C31=""),J31="")</formula>
    </cfRule>
    <cfRule type="expression" dxfId="3106" priority="3093" stopIfTrue="1">
      <formula>BK31="0"</formula>
    </cfRule>
  </conditionalFormatting>
  <conditionalFormatting sqref="K31">
    <cfRule type="expression" dxfId="3105" priority="3090" stopIfTrue="1">
      <formula>AND(NOT($C31=""),K31="")</formula>
    </cfRule>
    <cfRule type="expression" dxfId="3104" priority="3091" stopIfTrue="1">
      <formula>BP31="0"</formula>
    </cfRule>
  </conditionalFormatting>
  <conditionalFormatting sqref="L31">
    <cfRule type="expression" dxfId="3103" priority="3088" stopIfTrue="1">
      <formula>AND(NOT($C31=""),L31="")</formula>
    </cfRule>
    <cfRule type="expression" dxfId="3102" priority="3089" stopIfTrue="1">
      <formula>BU31="0"</formula>
    </cfRule>
  </conditionalFormatting>
  <conditionalFormatting sqref="N31">
    <cfRule type="expression" dxfId="3101" priority="3086" stopIfTrue="1">
      <formula>AND(NOT($C31=""),N31="")</formula>
    </cfRule>
    <cfRule type="expression" dxfId="3100" priority="3087" stopIfTrue="1">
      <formula>CE31="0"</formula>
    </cfRule>
  </conditionalFormatting>
  <conditionalFormatting sqref="M31">
    <cfRule type="expression" dxfId="3099" priority="3085" stopIfTrue="1">
      <formula>BZ31="0"</formula>
    </cfRule>
  </conditionalFormatting>
  <conditionalFormatting sqref="D31">
    <cfRule type="expression" dxfId="3098" priority="3083" stopIfTrue="1">
      <formula>AND(NOT($C31=""),D31="")</formula>
    </cfRule>
    <cfRule type="expression" dxfId="3097" priority="3084" stopIfTrue="1">
      <formula>AG31="0"</formula>
    </cfRule>
  </conditionalFormatting>
  <conditionalFormatting sqref="E31">
    <cfRule type="expression" dxfId="3096" priority="3081" stopIfTrue="1">
      <formula>AND(NOT($C31=""),E31="")</formula>
    </cfRule>
    <cfRule type="expression" dxfId="3095" priority="3082" stopIfTrue="1">
      <formula>AL31="0"</formula>
    </cfRule>
  </conditionalFormatting>
  <conditionalFormatting sqref="F31">
    <cfRule type="expression" dxfId="3094" priority="3079" stopIfTrue="1">
      <formula>AND(NOT($C31=""),F31="")</formula>
    </cfRule>
    <cfRule type="expression" dxfId="3093" priority="3080" stopIfTrue="1">
      <formula>AQ31="0"</formula>
    </cfRule>
  </conditionalFormatting>
  <conditionalFormatting sqref="G31">
    <cfRule type="expression" dxfId="3092" priority="3077" stopIfTrue="1">
      <formula>AND(NOT($C31=""),G31="")</formula>
    </cfRule>
    <cfRule type="expression" dxfId="3091" priority="3078" stopIfTrue="1">
      <formula>AV31="0"</formula>
    </cfRule>
  </conditionalFormatting>
  <conditionalFormatting sqref="H31">
    <cfRule type="expression" dxfId="3090" priority="3075" stopIfTrue="1">
      <formula>AND(NOT($C31=""),H31="")</formula>
    </cfRule>
    <cfRule type="expression" dxfId="3089" priority="3076" stopIfTrue="1">
      <formula>BA31="0"</formula>
    </cfRule>
  </conditionalFormatting>
  <conditionalFormatting sqref="I31">
    <cfRule type="expression" dxfId="3088" priority="3073" stopIfTrue="1">
      <formula>AND(NOT($C31=""),I31="")</formula>
    </cfRule>
    <cfRule type="expression" dxfId="3087" priority="3074" stopIfTrue="1">
      <formula>BF31="0"</formula>
    </cfRule>
  </conditionalFormatting>
  <conditionalFormatting sqref="J31">
    <cfRule type="expression" dxfId="3086" priority="3071" stopIfTrue="1">
      <formula>AND(NOT($C31=""),J31="")</formula>
    </cfRule>
    <cfRule type="expression" dxfId="3085" priority="3072" stopIfTrue="1">
      <formula>BK31="0"</formula>
    </cfRule>
  </conditionalFormatting>
  <conditionalFormatting sqref="K31">
    <cfRule type="expression" dxfId="3084" priority="3069" stopIfTrue="1">
      <formula>AND(NOT($C31=""),K31="")</formula>
    </cfRule>
    <cfRule type="expression" dxfId="3083" priority="3070" stopIfTrue="1">
      <formula>BP31="0"</formula>
    </cfRule>
  </conditionalFormatting>
  <conditionalFormatting sqref="L31">
    <cfRule type="expression" dxfId="3082" priority="3067" stopIfTrue="1">
      <formula>AND(NOT($C31=""),L31="")</formula>
    </cfRule>
    <cfRule type="expression" dxfId="3081" priority="3068" stopIfTrue="1">
      <formula>BU31="0"</formula>
    </cfRule>
  </conditionalFormatting>
  <conditionalFormatting sqref="N31">
    <cfRule type="expression" dxfId="3080" priority="3065" stopIfTrue="1">
      <formula>AND(NOT($C31=""),N31="")</formula>
    </cfRule>
    <cfRule type="expression" dxfId="3079" priority="3066" stopIfTrue="1">
      <formula>CE31="0"</formula>
    </cfRule>
  </conditionalFormatting>
  <conditionalFormatting sqref="M31">
    <cfRule type="expression" dxfId="3078" priority="3064" stopIfTrue="1">
      <formula>BZ31="0"</formula>
    </cfRule>
  </conditionalFormatting>
  <conditionalFormatting sqref="D31">
    <cfRule type="expression" dxfId="3077" priority="3062" stopIfTrue="1">
      <formula>AND(NOT($C31=""),D31="")</formula>
    </cfRule>
    <cfRule type="expression" dxfId="3076" priority="3063" stopIfTrue="1">
      <formula>AG31="0"</formula>
    </cfRule>
  </conditionalFormatting>
  <conditionalFormatting sqref="E31">
    <cfRule type="expression" dxfId="3075" priority="3060" stopIfTrue="1">
      <formula>AND(NOT($C31=""),E31="")</formula>
    </cfRule>
    <cfRule type="expression" dxfId="3074" priority="3061" stopIfTrue="1">
      <formula>AL31="0"</formula>
    </cfRule>
  </conditionalFormatting>
  <conditionalFormatting sqref="F31">
    <cfRule type="expression" dxfId="3073" priority="3058" stopIfTrue="1">
      <formula>AND(NOT($C31=""),F31="")</formula>
    </cfRule>
    <cfRule type="expression" dxfId="3072" priority="3059" stopIfTrue="1">
      <formula>AQ31="0"</formula>
    </cfRule>
  </conditionalFormatting>
  <conditionalFormatting sqref="G31">
    <cfRule type="expression" dxfId="3071" priority="3056" stopIfTrue="1">
      <formula>AND(NOT($C31=""),G31="")</formula>
    </cfRule>
    <cfRule type="expression" dxfId="3070" priority="3057" stopIfTrue="1">
      <formula>AV31="0"</formula>
    </cfRule>
  </conditionalFormatting>
  <conditionalFormatting sqref="H31">
    <cfRule type="expression" dxfId="3069" priority="3054" stopIfTrue="1">
      <formula>AND(NOT($C31=""),H31="")</formula>
    </cfRule>
    <cfRule type="expression" dxfId="3068" priority="3055" stopIfTrue="1">
      <formula>BA31="0"</formula>
    </cfRule>
  </conditionalFormatting>
  <conditionalFormatting sqref="I31">
    <cfRule type="expression" dxfId="3067" priority="3052" stopIfTrue="1">
      <formula>AND(NOT($C31=""),I31="")</formula>
    </cfRule>
    <cfRule type="expression" dxfId="3066" priority="3053" stopIfTrue="1">
      <formula>BF31="0"</formula>
    </cfRule>
  </conditionalFormatting>
  <conditionalFormatting sqref="J31">
    <cfRule type="expression" dxfId="3065" priority="3050" stopIfTrue="1">
      <formula>AND(NOT($C31=""),J31="")</formula>
    </cfRule>
    <cfRule type="expression" dxfId="3064" priority="3051" stopIfTrue="1">
      <formula>BK31="0"</formula>
    </cfRule>
  </conditionalFormatting>
  <conditionalFormatting sqref="K31">
    <cfRule type="expression" dxfId="3063" priority="3048" stopIfTrue="1">
      <formula>AND(NOT($C31=""),K31="")</formula>
    </cfRule>
    <cfRule type="expression" dxfId="3062" priority="3049" stopIfTrue="1">
      <formula>BP31="0"</formula>
    </cfRule>
  </conditionalFormatting>
  <conditionalFormatting sqref="L31">
    <cfRule type="expression" dxfId="3061" priority="3046" stopIfTrue="1">
      <formula>AND(NOT($C31=""),L31="")</formula>
    </cfRule>
    <cfRule type="expression" dxfId="3060" priority="3047" stopIfTrue="1">
      <formula>BU31="0"</formula>
    </cfRule>
  </conditionalFormatting>
  <conditionalFormatting sqref="N31">
    <cfRule type="expression" dxfId="3059" priority="3044" stopIfTrue="1">
      <formula>AND(NOT($C31=""),N31="")</formula>
    </cfRule>
    <cfRule type="expression" dxfId="3058" priority="3045" stopIfTrue="1">
      <formula>CE31="0"</formula>
    </cfRule>
  </conditionalFormatting>
  <conditionalFormatting sqref="M31">
    <cfRule type="expression" dxfId="3057" priority="3043" stopIfTrue="1">
      <formula>BZ31="0"</formula>
    </cfRule>
  </conditionalFormatting>
  <conditionalFormatting sqref="D31">
    <cfRule type="expression" dxfId="3056" priority="3041" stopIfTrue="1">
      <formula>AND(NOT($C31=""),D31="")</formula>
    </cfRule>
    <cfRule type="expression" dxfId="3055" priority="3042" stopIfTrue="1">
      <formula>AG31="0"</formula>
    </cfRule>
  </conditionalFormatting>
  <conditionalFormatting sqref="E31">
    <cfRule type="expression" dxfId="3054" priority="3039" stopIfTrue="1">
      <formula>AND(NOT($C31=""),E31="")</formula>
    </cfRule>
    <cfRule type="expression" dxfId="3053" priority="3040" stopIfTrue="1">
      <formula>AL31="0"</formula>
    </cfRule>
  </conditionalFormatting>
  <conditionalFormatting sqref="F31">
    <cfRule type="expression" dxfId="3052" priority="3037" stopIfTrue="1">
      <formula>AND(NOT($C31=""),F31="")</formula>
    </cfRule>
    <cfRule type="expression" dxfId="3051" priority="3038" stopIfTrue="1">
      <formula>AQ31="0"</formula>
    </cfRule>
  </conditionalFormatting>
  <conditionalFormatting sqref="G31">
    <cfRule type="expression" dxfId="3050" priority="3035" stopIfTrue="1">
      <formula>AND(NOT($C31=""),G31="")</formula>
    </cfRule>
    <cfRule type="expression" dxfId="3049" priority="3036" stopIfTrue="1">
      <formula>AV31="0"</formula>
    </cfRule>
  </conditionalFormatting>
  <conditionalFormatting sqref="H31">
    <cfRule type="expression" dxfId="3048" priority="3033" stopIfTrue="1">
      <formula>AND(NOT($C31=""),H31="")</formula>
    </cfRule>
    <cfRule type="expression" dxfId="3047" priority="3034" stopIfTrue="1">
      <formula>BA31="0"</formula>
    </cfRule>
  </conditionalFormatting>
  <conditionalFormatting sqref="I31">
    <cfRule type="expression" dxfId="3046" priority="3031" stopIfTrue="1">
      <formula>AND(NOT($C31=""),I31="")</formula>
    </cfRule>
    <cfRule type="expression" dxfId="3045" priority="3032" stopIfTrue="1">
      <formula>BF31="0"</formula>
    </cfRule>
  </conditionalFormatting>
  <conditionalFormatting sqref="J31">
    <cfRule type="expression" dxfId="3044" priority="3029" stopIfTrue="1">
      <formula>AND(NOT($C31=""),J31="")</formula>
    </cfRule>
    <cfRule type="expression" dxfId="3043" priority="3030" stopIfTrue="1">
      <formula>BK31="0"</formula>
    </cfRule>
  </conditionalFormatting>
  <conditionalFormatting sqref="K31">
    <cfRule type="expression" dxfId="3042" priority="3027" stopIfTrue="1">
      <formula>AND(NOT($C31=""),K31="")</formula>
    </cfRule>
    <cfRule type="expression" dxfId="3041" priority="3028" stopIfTrue="1">
      <formula>BP31="0"</formula>
    </cfRule>
  </conditionalFormatting>
  <conditionalFormatting sqref="L31">
    <cfRule type="expression" dxfId="3040" priority="3025" stopIfTrue="1">
      <formula>AND(NOT($C31=""),L31="")</formula>
    </cfRule>
    <cfRule type="expression" dxfId="3039" priority="3026" stopIfTrue="1">
      <formula>BU31="0"</formula>
    </cfRule>
  </conditionalFormatting>
  <conditionalFormatting sqref="N31">
    <cfRule type="expression" dxfId="3038" priority="3023" stopIfTrue="1">
      <formula>AND(NOT($C31=""),N31="")</formula>
    </cfRule>
    <cfRule type="expression" dxfId="3037" priority="3024" stopIfTrue="1">
      <formula>CE31="0"</formula>
    </cfRule>
  </conditionalFormatting>
  <conditionalFormatting sqref="M31">
    <cfRule type="expression" dxfId="3036" priority="3022" stopIfTrue="1">
      <formula>BZ31="0"</formula>
    </cfRule>
  </conditionalFormatting>
  <conditionalFormatting sqref="D31">
    <cfRule type="expression" dxfId="3035" priority="3020" stopIfTrue="1">
      <formula>AND(NOT($C31=""),D31="")</formula>
    </cfRule>
    <cfRule type="expression" dxfId="3034" priority="3021" stopIfTrue="1">
      <formula>AG31="0"</formula>
    </cfRule>
  </conditionalFormatting>
  <conditionalFormatting sqref="E31">
    <cfRule type="expression" dxfId="3033" priority="3018" stopIfTrue="1">
      <formula>AND(NOT($C31=""),E31="")</formula>
    </cfRule>
    <cfRule type="expression" dxfId="3032" priority="3019" stopIfTrue="1">
      <formula>AL31="0"</formula>
    </cfRule>
  </conditionalFormatting>
  <conditionalFormatting sqref="F31">
    <cfRule type="expression" dxfId="3031" priority="3016" stopIfTrue="1">
      <formula>AND(NOT($C31=""),F31="")</formula>
    </cfRule>
    <cfRule type="expression" dxfId="3030" priority="3017" stopIfTrue="1">
      <formula>AQ31="0"</formula>
    </cfRule>
  </conditionalFormatting>
  <conditionalFormatting sqref="G31">
    <cfRule type="expression" dxfId="3029" priority="3014" stopIfTrue="1">
      <formula>AND(NOT($C31=""),G31="")</formula>
    </cfRule>
    <cfRule type="expression" dxfId="3028" priority="3015" stopIfTrue="1">
      <formula>AV31="0"</formula>
    </cfRule>
  </conditionalFormatting>
  <conditionalFormatting sqref="H31">
    <cfRule type="expression" dxfId="3027" priority="3012" stopIfTrue="1">
      <formula>AND(NOT($C31=""),H31="")</formula>
    </cfRule>
    <cfRule type="expression" dxfId="3026" priority="3013" stopIfTrue="1">
      <formula>BA31="0"</formula>
    </cfRule>
  </conditionalFormatting>
  <conditionalFormatting sqref="I31">
    <cfRule type="expression" dxfId="3025" priority="3010" stopIfTrue="1">
      <formula>AND(NOT($C31=""),I31="")</formula>
    </cfRule>
    <cfRule type="expression" dxfId="3024" priority="3011" stopIfTrue="1">
      <formula>BF31="0"</formula>
    </cfRule>
  </conditionalFormatting>
  <conditionalFormatting sqref="J31">
    <cfRule type="expression" dxfId="3023" priority="3008" stopIfTrue="1">
      <formula>AND(NOT($C31=""),J31="")</formula>
    </cfRule>
    <cfRule type="expression" dxfId="3022" priority="3009" stopIfTrue="1">
      <formula>BK31="0"</formula>
    </cfRule>
  </conditionalFormatting>
  <conditionalFormatting sqref="K31">
    <cfRule type="expression" dxfId="3021" priority="3006" stopIfTrue="1">
      <formula>AND(NOT($C31=""),K31="")</formula>
    </cfRule>
    <cfRule type="expression" dxfId="3020" priority="3007" stopIfTrue="1">
      <formula>BP31="0"</formula>
    </cfRule>
  </conditionalFormatting>
  <conditionalFormatting sqref="L31">
    <cfRule type="expression" dxfId="3019" priority="3004" stopIfTrue="1">
      <formula>AND(NOT($C31=""),L31="")</formula>
    </cfRule>
    <cfRule type="expression" dxfId="3018" priority="3005" stopIfTrue="1">
      <formula>BU31="0"</formula>
    </cfRule>
  </conditionalFormatting>
  <conditionalFormatting sqref="N31">
    <cfRule type="expression" dxfId="3017" priority="3002" stopIfTrue="1">
      <formula>AND(NOT($C31=""),N31="")</formula>
    </cfRule>
    <cfRule type="expression" dxfId="3016" priority="3003" stopIfTrue="1">
      <formula>CE31="0"</formula>
    </cfRule>
  </conditionalFormatting>
  <conditionalFormatting sqref="M31">
    <cfRule type="expression" dxfId="3015" priority="3001" stopIfTrue="1">
      <formula>BZ31="0"</formula>
    </cfRule>
  </conditionalFormatting>
  <conditionalFormatting sqref="D31">
    <cfRule type="expression" dxfId="3014" priority="2999" stopIfTrue="1">
      <formula>AND(NOT($C31=""),D31="")</formula>
    </cfRule>
    <cfRule type="expression" dxfId="3013" priority="3000" stopIfTrue="1">
      <formula>AG31="0"</formula>
    </cfRule>
  </conditionalFormatting>
  <conditionalFormatting sqref="E31">
    <cfRule type="expression" dxfId="3012" priority="2997" stopIfTrue="1">
      <formula>AND(NOT($C31=""),E31="")</formula>
    </cfRule>
    <cfRule type="expression" dxfId="3011" priority="2998" stopIfTrue="1">
      <formula>AL31="0"</formula>
    </cfRule>
  </conditionalFormatting>
  <conditionalFormatting sqref="F31">
    <cfRule type="expression" dxfId="3010" priority="2995" stopIfTrue="1">
      <formula>AND(NOT($C31=""),F31="")</formula>
    </cfRule>
    <cfRule type="expression" dxfId="3009" priority="2996" stopIfTrue="1">
      <formula>AQ31="0"</formula>
    </cfRule>
  </conditionalFormatting>
  <conditionalFormatting sqref="G31">
    <cfRule type="expression" dxfId="3008" priority="2993" stopIfTrue="1">
      <formula>AND(NOT($C31=""),G31="")</formula>
    </cfRule>
    <cfRule type="expression" dxfId="3007" priority="2994" stopIfTrue="1">
      <formula>AV31="0"</formula>
    </cfRule>
  </conditionalFormatting>
  <conditionalFormatting sqref="H31">
    <cfRule type="expression" dxfId="3006" priority="2991" stopIfTrue="1">
      <formula>AND(NOT($C31=""),H31="")</formula>
    </cfRule>
    <cfRule type="expression" dxfId="3005" priority="2992" stopIfTrue="1">
      <formula>BA31="0"</formula>
    </cfRule>
  </conditionalFormatting>
  <conditionalFormatting sqref="I31">
    <cfRule type="expression" dxfId="3004" priority="2989" stopIfTrue="1">
      <formula>AND(NOT($C31=""),I31="")</formula>
    </cfRule>
    <cfRule type="expression" dxfId="3003" priority="2990" stopIfTrue="1">
      <formula>BF31="0"</formula>
    </cfRule>
  </conditionalFormatting>
  <conditionalFormatting sqref="J31">
    <cfRule type="expression" dxfId="3002" priority="2987" stopIfTrue="1">
      <formula>AND(NOT($C31=""),J31="")</formula>
    </cfRule>
    <cfRule type="expression" dxfId="3001" priority="2988" stopIfTrue="1">
      <formula>BK31="0"</formula>
    </cfRule>
  </conditionalFormatting>
  <conditionalFormatting sqref="K31">
    <cfRule type="expression" dxfId="3000" priority="2985" stopIfTrue="1">
      <formula>AND(NOT($C31=""),K31="")</formula>
    </cfRule>
    <cfRule type="expression" dxfId="2999" priority="2986" stopIfTrue="1">
      <formula>BP31="0"</formula>
    </cfRule>
  </conditionalFormatting>
  <conditionalFormatting sqref="L31">
    <cfRule type="expression" dxfId="2998" priority="2983" stopIfTrue="1">
      <formula>AND(NOT($C31=""),L31="")</formula>
    </cfRule>
    <cfRule type="expression" dxfId="2997" priority="2984" stopIfTrue="1">
      <formula>BU31="0"</formula>
    </cfRule>
  </conditionalFormatting>
  <conditionalFormatting sqref="N31">
    <cfRule type="expression" dxfId="2996" priority="2981" stopIfTrue="1">
      <formula>AND(NOT($C31=""),N31="")</formula>
    </cfRule>
    <cfRule type="expression" dxfId="2995" priority="2982" stopIfTrue="1">
      <formula>CE31="0"</formula>
    </cfRule>
  </conditionalFormatting>
  <conditionalFormatting sqref="E77">
    <cfRule type="expression" dxfId="2994" priority="2979" stopIfTrue="1">
      <formula>AND(NOT($C77=""),E77="")</formula>
    </cfRule>
    <cfRule type="expression" dxfId="2993" priority="2980" stopIfTrue="1">
      <formula>AQ77="0"</formula>
    </cfRule>
  </conditionalFormatting>
  <conditionalFormatting sqref="E77">
    <cfRule type="expression" dxfId="2992" priority="2977" stopIfTrue="1">
      <formula>AND(NOT($C77=""),E77="")</formula>
    </cfRule>
    <cfRule type="expression" dxfId="2991" priority="2978" stopIfTrue="1">
      <formula>AL77="0"</formula>
    </cfRule>
  </conditionalFormatting>
  <conditionalFormatting sqref="E77">
    <cfRule type="expression" dxfId="2990" priority="2975" stopIfTrue="1">
      <formula>AND(NOT($C77=""),E77="")</formula>
    </cfRule>
    <cfRule type="expression" dxfId="2989" priority="2976" stopIfTrue="1">
      <formula>AL77="0"</formula>
    </cfRule>
  </conditionalFormatting>
  <conditionalFormatting sqref="F77">
    <cfRule type="expression" dxfId="2988" priority="2973" stopIfTrue="1">
      <formula>AND(NOT($C77=""),F77="")</formula>
    </cfRule>
    <cfRule type="expression" dxfId="2987" priority="2974" stopIfTrue="1">
      <formula>AQ77="0"</formula>
    </cfRule>
  </conditionalFormatting>
  <conditionalFormatting sqref="E77">
    <cfRule type="expression" dxfId="2986" priority="2971" stopIfTrue="1">
      <formula>AND(NOT($C77=""),E77="")</formula>
    </cfRule>
    <cfRule type="expression" dxfId="2985" priority="2972" stopIfTrue="1">
      <formula>AL77="0"</formula>
    </cfRule>
  </conditionalFormatting>
  <conditionalFormatting sqref="E77">
    <cfRule type="expression" dxfId="2984" priority="2969" stopIfTrue="1">
      <formula>AND(NOT($C77=""),E77="")</formula>
    </cfRule>
    <cfRule type="expression" dxfId="2983" priority="2970" stopIfTrue="1">
      <formula>AL77="0"</formula>
    </cfRule>
  </conditionalFormatting>
  <conditionalFormatting sqref="F77">
    <cfRule type="expression" dxfId="2982" priority="2967" stopIfTrue="1">
      <formula>AND(NOT($C77=""),F77="")</formula>
    </cfRule>
    <cfRule type="expression" dxfId="2981" priority="2968" stopIfTrue="1">
      <formula>AQ77="0"</formula>
    </cfRule>
  </conditionalFormatting>
  <conditionalFormatting sqref="E77">
    <cfRule type="expression" dxfId="2980" priority="2965" stopIfTrue="1">
      <formula>AND(NOT($C77=""),E77="")</formula>
    </cfRule>
    <cfRule type="expression" dxfId="2979" priority="2966" stopIfTrue="1">
      <formula>AL77="0"</formula>
    </cfRule>
  </conditionalFormatting>
  <conditionalFormatting sqref="F77">
    <cfRule type="expression" dxfId="2978" priority="2963" stopIfTrue="1">
      <formula>AND(NOT($C77=""),F77="")</formula>
    </cfRule>
    <cfRule type="expression" dxfId="2977" priority="2964" stopIfTrue="1">
      <formula>AQ77="0"</formula>
    </cfRule>
  </conditionalFormatting>
  <conditionalFormatting sqref="E77">
    <cfRule type="expression" dxfId="2976" priority="2961" stopIfTrue="1">
      <formula>AND(NOT($C77=""),E77="")</formula>
    </cfRule>
    <cfRule type="expression" dxfId="2975" priority="2962" stopIfTrue="1">
      <formula>AL77="0"</formula>
    </cfRule>
  </conditionalFormatting>
  <conditionalFormatting sqref="F77">
    <cfRule type="expression" dxfId="2974" priority="2959" stopIfTrue="1">
      <formula>AND(NOT($C77=""),F77="")</formula>
    </cfRule>
    <cfRule type="expression" dxfId="2973" priority="2960" stopIfTrue="1">
      <formula>AQ77="0"</formula>
    </cfRule>
  </conditionalFormatting>
  <conditionalFormatting sqref="E79">
    <cfRule type="expression" dxfId="2972" priority="2957" stopIfTrue="1">
      <formula>AND(NOT($C79=""),E79="")</formula>
    </cfRule>
    <cfRule type="expression" dxfId="2971" priority="2958" stopIfTrue="1">
      <formula>AQ79="0"</formula>
    </cfRule>
  </conditionalFormatting>
  <conditionalFormatting sqref="E79">
    <cfRule type="expression" dxfId="2970" priority="2955" stopIfTrue="1">
      <formula>AND(NOT($C79=""),E79="")</formula>
    </cfRule>
    <cfRule type="expression" dxfId="2969" priority="2956" stopIfTrue="1">
      <formula>AL79="0"</formula>
    </cfRule>
  </conditionalFormatting>
  <conditionalFormatting sqref="E79">
    <cfRule type="expression" dxfId="2968" priority="2953" stopIfTrue="1">
      <formula>AND(NOT($C79=""),E79="")</formula>
    </cfRule>
    <cfRule type="expression" dxfId="2967" priority="2954" stopIfTrue="1">
      <formula>AL79="0"</formula>
    </cfRule>
  </conditionalFormatting>
  <conditionalFormatting sqref="F79">
    <cfRule type="expression" dxfId="2966" priority="2951" stopIfTrue="1">
      <formula>AND(NOT($C79=""),F79="")</formula>
    </cfRule>
    <cfRule type="expression" dxfId="2965" priority="2952" stopIfTrue="1">
      <formula>AQ79="0"</formula>
    </cfRule>
  </conditionalFormatting>
  <conditionalFormatting sqref="E79">
    <cfRule type="expression" dxfId="2964" priority="2949" stopIfTrue="1">
      <formula>AND(NOT($C79=""),E79="")</formula>
    </cfRule>
    <cfRule type="expression" dxfId="2963" priority="2950" stopIfTrue="1">
      <formula>AL79="0"</formula>
    </cfRule>
  </conditionalFormatting>
  <conditionalFormatting sqref="E79">
    <cfRule type="expression" dxfId="2962" priority="2947" stopIfTrue="1">
      <formula>AND(NOT($C79=""),E79="")</formula>
    </cfRule>
    <cfRule type="expression" dxfId="2961" priority="2948" stopIfTrue="1">
      <formula>AL79="0"</formula>
    </cfRule>
  </conditionalFormatting>
  <conditionalFormatting sqref="F79">
    <cfRule type="expression" dxfId="2960" priority="2945" stopIfTrue="1">
      <formula>AND(NOT($C79=""),F79="")</formula>
    </cfRule>
    <cfRule type="expression" dxfId="2959" priority="2946" stopIfTrue="1">
      <formula>AQ79="0"</formula>
    </cfRule>
  </conditionalFormatting>
  <conditionalFormatting sqref="E79">
    <cfRule type="expression" dxfId="2958" priority="2943" stopIfTrue="1">
      <formula>AND(NOT($C79=""),E79="")</formula>
    </cfRule>
    <cfRule type="expression" dxfId="2957" priority="2944" stopIfTrue="1">
      <formula>AL79="0"</formula>
    </cfRule>
  </conditionalFormatting>
  <conditionalFormatting sqref="F79">
    <cfRule type="expression" dxfId="2956" priority="2941" stopIfTrue="1">
      <formula>AND(NOT($C79=""),F79="")</formula>
    </cfRule>
    <cfRule type="expression" dxfId="2955" priority="2942" stopIfTrue="1">
      <formula>AQ79="0"</formula>
    </cfRule>
  </conditionalFormatting>
  <conditionalFormatting sqref="E79">
    <cfRule type="expression" dxfId="2954" priority="2939" stopIfTrue="1">
      <formula>AND(NOT($C79=""),E79="")</formula>
    </cfRule>
    <cfRule type="expression" dxfId="2953" priority="2940" stopIfTrue="1">
      <formula>AL79="0"</formula>
    </cfRule>
  </conditionalFormatting>
  <conditionalFormatting sqref="F79">
    <cfRule type="expression" dxfId="2952" priority="2937" stopIfTrue="1">
      <formula>AND(NOT($C79=""),F79="")</formula>
    </cfRule>
    <cfRule type="expression" dxfId="2951" priority="2938" stopIfTrue="1">
      <formula>AQ79="0"</formula>
    </cfRule>
  </conditionalFormatting>
  <conditionalFormatting sqref="M11">
    <cfRule type="expression" dxfId="2950" priority="2936" stopIfTrue="1">
      <formula>BZ11="0"</formula>
    </cfRule>
  </conditionalFormatting>
  <conditionalFormatting sqref="D11">
    <cfRule type="expression" dxfId="2949" priority="2934" stopIfTrue="1">
      <formula>AND(NOT($C11=""),D11="")</formula>
    </cfRule>
    <cfRule type="expression" dxfId="2948" priority="2935" stopIfTrue="1">
      <formula>AG11="0"</formula>
    </cfRule>
  </conditionalFormatting>
  <conditionalFormatting sqref="E11">
    <cfRule type="expression" dxfId="2947" priority="2932" stopIfTrue="1">
      <formula>AND(NOT($C11=""),E11="")</formula>
    </cfRule>
    <cfRule type="expression" dxfId="2946" priority="2933" stopIfTrue="1">
      <formula>AL11="0"</formula>
    </cfRule>
  </conditionalFormatting>
  <conditionalFormatting sqref="F11">
    <cfRule type="expression" dxfId="2945" priority="2930" stopIfTrue="1">
      <formula>AND(NOT($C11=""),F11="")</formula>
    </cfRule>
    <cfRule type="expression" dxfId="2944" priority="2931" stopIfTrue="1">
      <formula>AQ11="0"</formula>
    </cfRule>
  </conditionalFormatting>
  <conditionalFormatting sqref="G11">
    <cfRule type="expression" dxfId="2943" priority="2928" stopIfTrue="1">
      <formula>AND(NOT($C11=""),G11="")</formula>
    </cfRule>
    <cfRule type="expression" dxfId="2942" priority="2929" stopIfTrue="1">
      <formula>AV11="0"</formula>
    </cfRule>
  </conditionalFormatting>
  <conditionalFormatting sqref="H11">
    <cfRule type="expression" dxfId="2941" priority="2926" stopIfTrue="1">
      <formula>AND(NOT($C11=""),H11="")</formula>
    </cfRule>
    <cfRule type="expression" dxfId="2940" priority="2927" stopIfTrue="1">
      <formula>BA11="0"</formula>
    </cfRule>
  </conditionalFormatting>
  <conditionalFormatting sqref="I11">
    <cfRule type="expression" dxfId="2939" priority="2924" stopIfTrue="1">
      <formula>AND(NOT($C11=""),I11="")</formula>
    </cfRule>
    <cfRule type="expression" dxfId="2938" priority="2925" stopIfTrue="1">
      <formula>BF11="0"</formula>
    </cfRule>
  </conditionalFormatting>
  <conditionalFormatting sqref="J11">
    <cfRule type="expression" dxfId="2937" priority="2922" stopIfTrue="1">
      <formula>AND(NOT($C11=""),J11="")</formula>
    </cfRule>
    <cfRule type="expression" dxfId="2936" priority="2923" stopIfTrue="1">
      <formula>BK11="0"</formula>
    </cfRule>
  </conditionalFormatting>
  <conditionalFormatting sqref="K11">
    <cfRule type="expression" dxfId="2935" priority="2920" stopIfTrue="1">
      <formula>AND(NOT($C11=""),K11="")</formula>
    </cfRule>
    <cfRule type="expression" dxfId="2934" priority="2921" stopIfTrue="1">
      <formula>BP11="0"</formula>
    </cfRule>
  </conditionalFormatting>
  <conditionalFormatting sqref="L11">
    <cfRule type="expression" dxfId="2933" priority="2918" stopIfTrue="1">
      <formula>AND(NOT($C11=""),L11="")</formula>
    </cfRule>
    <cfRule type="expression" dxfId="2932" priority="2919" stopIfTrue="1">
      <formula>BU11="0"</formula>
    </cfRule>
  </conditionalFormatting>
  <conditionalFormatting sqref="N11">
    <cfRule type="expression" dxfId="2931" priority="2916" stopIfTrue="1">
      <formula>AND(NOT($C11=""),N11="")</formula>
    </cfRule>
    <cfRule type="expression" dxfId="2930" priority="2917" stopIfTrue="1">
      <formula>CE11="0"</formula>
    </cfRule>
  </conditionalFormatting>
  <conditionalFormatting sqref="M11">
    <cfRule type="expression" dxfId="2929" priority="2915" stopIfTrue="1">
      <formula>BZ11="0"</formula>
    </cfRule>
  </conditionalFormatting>
  <conditionalFormatting sqref="D11">
    <cfRule type="expression" dxfId="2928" priority="2913" stopIfTrue="1">
      <formula>AND(NOT($C11=""),D11="")</formula>
    </cfRule>
    <cfRule type="expression" dxfId="2927" priority="2914" stopIfTrue="1">
      <formula>AG11="0"</formula>
    </cfRule>
  </conditionalFormatting>
  <conditionalFormatting sqref="E11">
    <cfRule type="expression" dxfId="2926" priority="2911" stopIfTrue="1">
      <formula>AND(NOT($C11=""),E11="")</formula>
    </cfRule>
    <cfRule type="expression" dxfId="2925" priority="2912" stopIfTrue="1">
      <formula>AL11="0"</formula>
    </cfRule>
  </conditionalFormatting>
  <conditionalFormatting sqref="F11">
    <cfRule type="expression" dxfId="2924" priority="2909" stopIfTrue="1">
      <formula>AND(NOT($C11=""),F11="")</formula>
    </cfRule>
    <cfRule type="expression" dxfId="2923" priority="2910" stopIfTrue="1">
      <formula>AQ11="0"</formula>
    </cfRule>
  </conditionalFormatting>
  <conditionalFormatting sqref="G11">
    <cfRule type="expression" dxfId="2922" priority="2907" stopIfTrue="1">
      <formula>AND(NOT($C11=""),G11="")</formula>
    </cfRule>
    <cfRule type="expression" dxfId="2921" priority="2908" stopIfTrue="1">
      <formula>AV11="0"</formula>
    </cfRule>
  </conditionalFormatting>
  <conditionalFormatting sqref="H11">
    <cfRule type="expression" dxfId="2920" priority="2905" stopIfTrue="1">
      <formula>AND(NOT($C11=""),H11="")</formula>
    </cfRule>
    <cfRule type="expression" dxfId="2919" priority="2906" stopIfTrue="1">
      <formula>BA11="0"</formula>
    </cfRule>
  </conditionalFormatting>
  <conditionalFormatting sqref="I11">
    <cfRule type="expression" dxfId="2918" priority="2903" stopIfTrue="1">
      <formula>AND(NOT($C11=""),I11="")</formula>
    </cfRule>
    <cfRule type="expression" dxfId="2917" priority="2904" stopIfTrue="1">
      <formula>BF11="0"</formula>
    </cfRule>
  </conditionalFormatting>
  <conditionalFormatting sqref="J11">
    <cfRule type="expression" dxfId="2916" priority="2901" stopIfTrue="1">
      <formula>AND(NOT($C11=""),J11="")</formula>
    </cfRule>
    <cfRule type="expression" dxfId="2915" priority="2902" stopIfTrue="1">
      <formula>BK11="0"</formula>
    </cfRule>
  </conditionalFormatting>
  <conditionalFormatting sqref="K11">
    <cfRule type="expression" dxfId="2914" priority="2899" stopIfTrue="1">
      <formula>AND(NOT($C11=""),K11="")</formula>
    </cfRule>
    <cfRule type="expression" dxfId="2913" priority="2900" stopIfTrue="1">
      <formula>BP11="0"</formula>
    </cfRule>
  </conditionalFormatting>
  <conditionalFormatting sqref="L11">
    <cfRule type="expression" dxfId="2912" priority="2897" stopIfTrue="1">
      <formula>AND(NOT($C11=""),L11="")</formula>
    </cfRule>
    <cfRule type="expression" dxfId="2911" priority="2898" stopIfTrue="1">
      <formula>BU11="0"</formula>
    </cfRule>
  </conditionalFormatting>
  <conditionalFormatting sqref="N11">
    <cfRule type="expression" dxfId="2910" priority="2895" stopIfTrue="1">
      <formula>AND(NOT($C11=""),N11="")</formula>
    </cfRule>
    <cfRule type="expression" dxfId="2909" priority="2896" stopIfTrue="1">
      <formula>CE11="0"</formula>
    </cfRule>
  </conditionalFormatting>
  <conditionalFormatting sqref="M11">
    <cfRule type="expression" dxfId="2908" priority="2894" stopIfTrue="1">
      <formula>BZ11="0"</formula>
    </cfRule>
  </conditionalFormatting>
  <conditionalFormatting sqref="D11">
    <cfRule type="expression" dxfId="2907" priority="2892" stopIfTrue="1">
      <formula>AND(NOT($C11=""),D11="")</formula>
    </cfRule>
    <cfRule type="expression" dxfId="2906" priority="2893" stopIfTrue="1">
      <formula>AG11="0"</formula>
    </cfRule>
  </conditionalFormatting>
  <conditionalFormatting sqref="E11">
    <cfRule type="expression" dxfId="2905" priority="2890" stopIfTrue="1">
      <formula>AND(NOT($C11=""),E11="")</formula>
    </cfRule>
    <cfRule type="expression" dxfId="2904" priority="2891" stopIfTrue="1">
      <formula>AL11="0"</formula>
    </cfRule>
  </conditionalFormatting>
  <conditionalFormatting sqref="F11">
    <cfRule type="expression" dxfId="2903" priority="2888" stopIfTrue="1">
      <formula>AND(NOT($C11=""),F11="")</formula>
    </cfRule>
    <cfRule type="expression" dxfId="2902" priority="2889" stopIfTrue="1">
      <formula>AQ11="0"</formula>
    </cfRule>
  </conditionalFormatting>
  <conditionalFormatting sqref="G11">
    <cfRule type="expression" dxfId="2901" priority="2886" stopIfTrue="1">
      <formula>AND(NOT($C11=""),G11="")</formula>
    </cfRule>
    <cfRule type="expression" dxfId="2900" priority="2887" stopIfTrue="1">
      <formula>AV11="0"</formula>
    </cfRule>
  </conditionalFormatting>
  <conditionalFormatting sqref="H11">
    <cfRule type="expression" dxfId="2899" priority="2884" stopIfTrue="1">
      <formula>AND(NOT($C11=""),H11="")</formula>
    </cfRule>
    <cfRule type="expression" dxfId="2898" priority="2885" stopIfTrue="1">
      <formula>BA11="0"</formula>
    </cfRule>
  </conditionalFormatting>
  <conditionalFormatting sqref="I11">
    <cfRule type="expression" dxfId="2897" priority="2882" stopIfTrue="1">
      <formula>AND(NOT($C11=""),I11="")</formula>
    </cfRule>
    <cfRule type="expression" dxfId="2896" priority="2883" stopIfTrue="1">
      <formula>BF11="0"</formula>
    </cfRule>
  </conditionalFormatting>
  <conditionalFormatting sqref="J11">
    <cfRule type="expression" dxfId="2895" priority="2880" stopIfTrue="1">
      <formula>AND(NOT($C11=""),J11="")</formula>
    </cfRule>
    <cfRule type="expression" dxfId="2894" priority="2881" stopIfTrue="1">
      <formula>BK11="0"</formula>
    </cfRule>
  </conditionalFormatting>
  <conditionalFormatting sqref="K11">
    <cfRule type="expression" dxfId="2893" priority="2878" stopIfTrue="1">
      <formula>AND(NOT($C11=""),K11="")</formula>
    </cfRule>
    <cfRule type="expression" dxfId="2892" priority="2879" stopIfTrue="1">
      <formula>BP11="0"</formula>
    </cfRule>
  </conditionalFormatting>
  <conditionalFormatting sqref="L11">
    <cfRule type="expression" dxfId="2891" priority="2876" stopIfTrue="1">
      <formula>AND(NOT($C11=""),L11="")</formula>
    </cfRule>
    <cfRule type="expression" dxfId="2890" priority="2877" stopIfTrue="1">
      <formula>BU11="0"</formula>
    </cfRule>
  </conditionalFormatting>
  <conditionalFormatting sqref="N11">
    <cfRule type="expression" dxfId="2889" priority="2874" stopIfTrue="1">
      <formula>AND(NOT($C11=""),N11="")</formula>
    </cfRule>
    <cfRule type="expression" dxfId="2888" priority="2875" stopIfTrue="1">
      <formula>CE11="0"</formula>
    </cfRule>
  </conditionalFormatting>
  <conditionalFormatting sqref="M11">
    <cfRule type="expression" dxfId="2887" priority="2873" stopIfTrue="1">
      <formula>BZ11="0"</formula>
    </cfRule>
  </conditionalFormatting>
  <conditionalFormatting sqref="D11">
    <cfRule type="expression" dxfId="2886" priority="2871" stopIfTrue="1">
      <formula>AND(NOT($C11=""),D11="")</formula>
    </cfRule>
    <cfRule type="expression" dxfId="2885" priority="2872" stopIfTrue="1">
      <formula>AG11="0"</formula>
    </cfRule>
  </conditionalFormatting>
  <conditionalFormatting sqref="E11">
    <cfRule type="expression" dxfId="2884" priority="2869" stopIfTrue="1">
      <formula>AND(NOT($C11=""),E11="")</formula>
    </cfRule>
    <cfRule type="expression" dxfId="2883" priority="2870" stopIfTrue="1">
      <formula>AL11="0"</formula>
    </cfRule>
  </conditionalFormatting>
  <conditionalFormatting sqref="F11">
    <cfRule type="expression" dxfId="2882" priority="2867" stopIfTrue="1">
      <formula>AND(NOT($C11=""),F11="")</formula>
    </cfRule>
    <cfRule type="expression" dxfId="2881" priority="2868" stopIfTrue="1">
      <formula>AQ11="0"</formula>
    </cfRule>
  </conditionalFormatting>
  <conditionalFormatting sqref="G11">
    <cfRule type="expression" dxfId="2880" priority="2865" stopIfTrue="1">
      <formula>AND(NOT($C11=""),G11="")</formula>
    </cfRule>
    <cfRule type="expression" dxfId="2879" priority="2866" stopIfTrue="1">
      <formula>AV11="0"</formula>
    </cfRule>
  </conditionalFormatting>
  <conditionalFormatting sqref="H11">
    <cfRule type="expression" dxfId="2878" priority="2863" stopIfTrue="1">
      <formula>AND(NOT($C11=""),H11="")</formula>
    </cfRule>
    <cfRule type="expression" dxfId="2877" priority="2864" stopIfTrue="1">
      <formula>BA11="0"</formula>
    </cfRule>
  </conditionalFormatting>
  <conditionalFormatting sqref="I11">
    <cfRule type="expression" dxfId="2876" priority="2861" stopIfTrue="1">
      <formula>AND(NOT($C11=""),I11="")</formula>
    </cfRule>
    <cfRule type="expression" dxfId="2875" priority="2862" stopIfTrue="1">
      <formula>BF11="0"</formula>
    </cfRule>
  </conditionalFormatting>
  <conditionalFormatting sqref="J11">
    <cfRule type="expression" dxfId="2874" priority="2859" stopIfTrue="1">
      <formula>AND(NOT($C11=""),J11="")</formula>
    </cfRule>
    <cfRule type="expression" dxfId="2873" priority="2860" stopIfTrue="1">
      <formula>BK11="0"</formula>
    </cfRule>
  </conditionalFormatting>
  <conditionalFormatting sqref="K11">
    <cfRule type="expression" dxfId="2872" priority="2857" stopIfTrue="1">
      <formula>AND(NOT($C11=""),K11="")</formula>
    </cfRule>
    <cfRule type="expression" dxfId="2871" priority="2858" stopIfTrue="1">
      <formula>BP11="0"</formula>
    </cfRule>
  </conditionalFormatting>
  <conditionalFormatting sqref="L11">
    <cfRule type="expression" dxfId="2870" priority="2855" stopIfTrue="1">
      <formula>AND(NOT($C11=""),L11="")</formula>
    </cfRule>
    <cfRule type="expression" dxfId="2869" priority="2856" stopIfTrue="1">
      <formula>BU11="0"</formula>
    </cfRule>
  </conditionalFormatting>
  <conditionalFormatting sqref="N11">
    <cfRule type="expression" dxfId="2868" priority="2853" stopIfTrue="1">
      <formula>AND(NOT($C11=""),N11="")</formula>
    </cfRule>
    <cfRule type="expression" dxfId="2867" priority="2854" stopIfTrue="1">
      <formula>CE11="0"</formula>
    </cfRule>
  </conditionalFormatting>
  <conditionalFormatting sqref="M11">
    <cfRule type="expression" dxfId="2866" priority="2852" stopIfTrue="1">
      <formula>BZ11="0"</formula>
    </cfRule>
  </conditionalFormatting>
  <conditionalFormatting sqref="D11">
    <cfRule type="expression" dxfId="2865" priority="2850" stopIfTrue="1">
      <formula>AND(NOT($C11=""),D11="")</formula>
    </cfRule>
    <cfRule type="expression" dxfId="2864" priority="2851" stopIfTrue="1">
      <formula>AG11="0"</formula>
    </cfRule>
  </conditionalFormatting>
  <conditionalFormatting sqref="E11">
    <cfRule type="expression" dxfId="2863" priority="2848" stopIfTrue="1">
      <formula>AND(NOT($C11=""),E11="")</formula>
    </cfRule>
    <cfRule type="expression" dxfId="2862" priority="2849" stopIfTrue="1">
      <formula>AL11="0"</formula>
    </cfRule>
  </conditionalFormatting>
  <conditionalFormatting sqref="F11">
    <cfRule type="expression" dxfId="2861" priority="2846" stopIfTrue="1">
      <formula>AND(NOT($C11=""),F11="")</formula>
    </cfRule>
    <cfRule type="expression" dxfId="2860" priority="2847" stopIfTrue="1">
      <formula>AQ11="0"</formula>
    </cfRule>
  </conditionalFormatting>
  <conditionalFormatting sqref="G11">
    <cfRule type="expression" dxfId="2859" priority="2844" stopIfTrue="1">
      <formula>AND(NOT($C11=""),G11="")</formula>
    </cfRule>
    <cfRule type="expression" dxfId="2858" priority="2845" stopIfTrue="1">
      <formula>AV11="0"</formula>
    </cfRule>
  </conditionalFormatting>
  <conditionalFormatting sqref="H11">
    <cfRule type="expression" dxfId="2857" priority="2842" stopIfTrue="1">
      <formula>AND(NOT($C11=""),H11="")</formula>
    </cfRule>
    <cfRule type="expression" dxfId="2856" priority="2843" stopIfTrue="1">
      <formula>BA11="0"</formula>
    </cfRule>
  </conditionalFormatting>
  <conditionalFormatting sqref="I11">
    <cfRule type="expression" dxfId="2855" priority="2840" stopIfTrue="1">
      <formula>AND(NOT($C11=""),I11="")</formula>
    </cfRule>
    <cfRule type="expression" dxfId="2854" priority="2841" stopIfTrue="1">
      <formula>BF11="0"</formula>
    </cfRule>
  </conditionalFormatting>
  <conditionalFormatting sqref="J11">
    <cfRule type="expression" dxfId="2853" priority="2838" stopIfTrue="1">
      <formula>AND(NOT($C11=""),J11="")</formula>
    </cfRule>
    <cfRule type="expression" dxfId="2852" priority="2839" stopIfTrue="1">
      <formula>BK11="0"</formula>
    </cfRule>
  </conditionalFormatting>
  <conditionalFormatting sqref="K11">
    <cfRule type="expression" dxfId="2851" priority="2836" stopIfTrue="1">
      <formula>AND(NOT($C11=""),K11="")</formula>
    </cfRule>
    <cfRule type="expression" dxfId="2850" priority="2837" stopIfTrue="1">
      <formula>BP11="0"</formula>
    </cfRule>
  </conditionalFormatting>
  <conditionalFormatting sqref="L11">
    <cfRule type="expression" dxfId="2849" priority="2834" stopIfTrue="1">
      <formula>AND(NOT($C11=""),L11="")</formula>
    </cfRule>
    <cfRule type="expression" dxfId="2848" priority="2835" stopIfTrue="1">
      <formula>BU11="0"</formula>
    </cfRule>
  </conditionalFormatting>
  <conditionalFormatting sqref="N11">
    <cfRule type="expression" dxfId="2847" priority="2832" stopIfTrue="1">
      <formula>AND(NOT($C11=""),N11="")</formula>
    </cfRule>
    <cfRule type="expression" dxfId="2846" priority="2833" stopIfTrue="1">
      <formula>CE11="0"</formula>
    </cfRule>
  </conditionalFormatting>
  <conditionalFormatting sqref="M11">
    <cfRule type="expression" dxfId="2845" priority="2831" stopIfTrue="1">
      <formula>BZ11="0"</formula>
    </cfRule>
  </conditionalFormatting>
  <conditionalFormatting sqref="D11">
    <cfRule type="expression" dxfId="2844" priority="2829" stopIfTrue="1">
      <formula>AND(NOT($C11=""),D11="")</formula>
    </cfRule>
    <cfRule type="expression" dxfId="2843" priority="2830" stopIfTrue="1">
      <formula>AG11="0"</formula>
    </cfRule>
  </conditionalFormatting>
  <conditionalFormatting sqref="E11">
    <cfRule type="expression" dxfId="2842" priority="2827" stopIfTrue="1">
      <formula>AND(NOT($C11=""),E11="")</formula>
    </cfRule>
    <cfRule type="expression" dxfId="2841" priority="2828" stopIfTrue="1">
      <formula>AL11="0"</formula>
    </cfRule>
  </conditionalFormatting>
  <conditionalFormatting sqref="F11">
    <cfRule type="expression" dxfId="2840" priority="2825" stopIfTrue="1">
      <formula>AND(NOT($C11=""),F11="")</formula>
    </cfRule>
    <cfRule type="expression" dxfId="2839" priority="2826" stopIfTrue="1">
      <formula>AQ11="0"</formula>
    </cfRule>
  </conditionalFormatting>
  <conditionalFormatting sqref="G11">
    <cfRule type="expression" dxfId="2838" priority="2823" stopIfTrue="1">
      <formula>AND(NOT($C11=""),G11="")</formula>
    </cfRule>
    <cfRule type="expression" dxfId="2837" priority="2824" stopIfTrue="1">
      <formula>AV11="0"</formula>
    </cfRule>
  </conditionalFormatting>
  <conditionalFormatting sqref="H11">
    <cfRule type="expression" dxfId="2836" priority="2821" stopIfTrue="1">
      <formula>AND(NOT($C11=""),H11="")</formula>
    </cfRule>
    <cfRule type="expression" dxfId="2835" priority="2822" stopIfTrue="1">
      <formula>BA11="0"</formula>
    </cfRule>
  </conditionalFormatting>
  <conditionalFormatting sqref="I11">
    <cfRule type="expression" dxfId="2834" priority="2819" stopIfTrue="1">
      <formula>AND(NOT($C11=""),I11="")</formula>
    </cfRule>
    <cfRule type="expression" dxfId="2833" priority="2820" stopIfTrue="1">
      <formula>BF11="0"</formula>
    </cfRule>
  </conditionalFormatting>
  <conditionalFormatting sqref="J11">
    <cfRule type="expression" dxfId="2832" priority="2817" stopIfTrue="1">
      <formula>AND(NOT($C11=""),J11="")</formula>
    </cfRule>
    <cfRule type="expression" dxfId="2831" priority="2818" stopIfTrue="1">
      <formula>BK11="0"</formula>
    </cfRule>
  </conditionalFormatting>
  <conditionalFormatting sqref="K11">
    <cfRule type="expression" dxfId="2830" priority="2815" stopIfTrue="1">
      <formula>AND(NOT($C11=""),K11="")</formula>
    </cfRule>
    <cfRule type="expression" dxfId="2829" priority="2816" stopIfTrue="1">
      <formula>BP11="0"</formula>
    </cfRule>
  </conditionalFormatting>
  <conditionalFormatting sqref="L11">
    <cfRule type="expression" dxfId="2828" priority="2813" stopIfTrue="1">
      <formula>AND(NOT($C11=""),L11="")</formula>
    </cfRule>
    <cfRule type="expression" dxfId="2827" priority="2814" stopIfTrue="1">
      <formula>BU11="0"</formula>
    </cfRule>
  </conditionalFormatting>
  <conditionalFormatting sqref="N11">
    <cfRule type="expression" dxfId="2826" priority="2811" stopIfTrue="1">
      <formula>AND(NOT($C11=""),N11="")</formula>
    </cfRule>
    <cfRule type="expression" dxfId="2825" priority="2812" stopIfTrue="1">
      <formula>CE11="0"</formula>
    </cfRule>
  </conditionalFormatting>
  <conditionalFormatting sqref="M11">
    <cfRule type="expression" dxfId="2824" priority="2810" stopIfTrue="1">
      <formula>BZ11="0"</formula>
    </cfRule>
  </conditionalFormatting>
  <conditionalFormatting sqref="D11">
    <cfRule type="expression" dxfId="2823" priority="2808" stopIfTrue="1">
      <formula>AND(NOT($C11=""),D11="")</formula>
    </cfRule>
    <cfRule type="expression" dxfId="2822" priority="2809" stopIfTrue="1">
      <formula>AG11="0"</formula>
    </cfRule>
  </conditionalFormatting>
  <conditionalFormatting sqref="E11">
    <cfRule type="expression" dxfId="2821" priority="2806" stopIfTrue="1">
      <formula>AND(NOT($C11=""),E11="")</formula>
    </cfRule>
    <cfRule type="expression" dxfId="2820" priority="2807" stopIfTrue="1">
      <formula>AL11="0"</formula>
    </cfRule>
  </conditionalFormatting>
  <conditionalFormatting sqref="F11">
    <cfRule type="expression" dxfId="2819" priority="2804" stopIfTrue="1">
      <formula>AND(NOT($C11=""),F11="")</formula>
    </cfRule>
    <cfRule type="expression" dxfId="2818" priority="2805" stopIfTrue="1">
      <formula>AQ11="0"</formula>
    </cfRule>
  </conditionalFormatting>
  <conditionalFormatting sqref="G11">
    <cfRule type="expression" dxfId="2817" priority="2802" stopIfTrue="1">
      <formula>AND(NOT($C11=""),G11="")</formula>
    </cfRule>
    <cfRule type="expression" dxfId="2816" priority="2803" stopIfTrue="1">
      <formula>AV11="0"</formula>
    </cfRule>
  </conditionalFormatting>
  <conditionalFormatting sqref="H11">
    <cfRule type="expression" dxfId="2815" priority="2800" stopIfTrue="1">
      <formula>AND(NOT($C11=""),H11="")</formula>
    </cfRule>
    <cfRule type="expression" dxfId="2814" priority="2801" stopIfTrue="1">
      <formula>BA11="0"</formula>
    </cfRule>
  </conditionalFormatting>
  <conditionalFormatting sqref="I11">
    <cfRule type="expression" dxfId="2813" priority="2798" stopIfTrue="1">
      <formula>AND(NOT($C11=""),I11="")</formula>
    </cfRule>
    <cfRule type="expression" dxfId="2812" priority="2799" stopIfTrue="1">
      <formula>BF11="0"</formula>
    </cfRule>
  </conditionalFormatting>
  <conditionalFormatting sqref="J11">
    <cfRule type="expression" dxfId="2811" priority="2796" stopIfTrue="1">
      <formula>AND(NOT($C11=""),J11="")</formula>
    </cfRule>
    <cfRule type="expression" dxfId="2810" priority="2797" stopIfTrue="1">
      <formula>BK11="0"</formula>
    </cfRule>
  </conditionalFormatting>
  <conditionalFormatting sqref="K11">
    <cfRule type="expression" dxfId="2809" priority="2794" stopIfTrue="1">
      <formula>AND(NOT($C11=""),K11="")</formula>
    </cfRule>
    <cfRule type="expression" dxfId="2808" priority="2795" stopIfTrue="1">
      <formula>BP11="0"</formula>
    </cfRule>
  </conditionalFormatting>
  <conditionalFormatting sqref="L11">
    <cfRule type="expression" dxfId="2807" priority="2792" stopIfTrue="1">
      <formula>AND(NOT($C11=""),L11="")</formula>
    </cfRule>
    <cfRule type="expression" dxfId="2806" priority="2793" stopIfTrue="1">
      <formula>BU11="0"</formula>
    </cfRule>
  </conditionalFormatting>
  <conditionalFormatting sqref="N11">
    <cfRule type="expression" dxfId="2805" priority="2790" stopIfTrue="1">
      <formula>AND(NOT($C11=""),N11="")</formula>
    </cfRule>
    <cfRule type="expression" dxfId="2804" priority="2791" stopIfTrue="1">
      <formula>CE11="0"</formula>
    </cfRule>
  </conditionalFormatting>
  <conditionalFormatting sqref="M11">
    <cfRule type="expression" dxfId="2803" priority="2789" stopIfTrue="1">
      <formula>BZ11="0"</formula>
    </cfRule>
  </conditionalFormatting>
  <conditionalFormatting sqref="D11">
    <cfRule type="expression" dxfId="2802" priority="2787" stopIfTrue="1">
      <formula>AND(NOT($C11=""),D11="")</formula>
    </cfRule>
    <cfRule type="expression" dxfId="2801" priority="2788" stopIfTrue="1">
      <formula>AG11="0"</formula>
    </cfRule>
  </conditionalFormatting>
  <conditionalFormatting sqref="E11">
    <cfRule type="expression" dxfId="2800" priority="2785" stopIfTrue="1">
      <formula>AND(NOT($C11=""),E11="")</formula>
    </cfRule>
    <cfRule type="expression" dxfId="2799" priority="2786" stopIfTrue="1">
      <formula>AL11="0"</formula>
    </cfRule>
  </conditionalFormatting>
  <conditionalFormatting sqref="F11">
    <cfRule type="expression" dxfId="2798" priority="2783" stopIfTrue="1">
      <formula>AND(NOT($C11=""),F11="")</formula>
    </cfRule>
    <cfRule type="expression" dxfId="2797" priority="2784" stopIfTrue="1">
      <formula>AQ11="0"</formula>
    </cfRule>
  </conditionalFormatting>
  <conditionalFormatting sqref="G11">
    <cfRule type="expression" dxfId="2796" priority="2781" stopIfTrue="1">
      <formula>AND(NOT($C11=""),G11="")</formula>
    </cfRule>
    <cfRule type="expression" dxfId="2795" priority="2782" stopIfTrue="1">
      <formula>AV11="0"</formula>
    </cfRule>
  </conditionalFormatting>
  <conditionalFormatting sqref="H11">
    <cfRule type="expression" dxfId="2794" priority="2779" stopIfTrue="1">
      <formula>AND(NOT($C11=""),H11="")</formula>
    </cfRule>
    <cfRule type="expression" dxfId="2793" priority="2780" stopIfTrue="1">
      <formula>BA11="0"</formula>
    </cfRule>
  </conditionalFormatting>
  <conditionalFormatting sqref="I11">
    <cfRule type="expression" dxfId="2792" priority="2777" stopIfTrue="1">
      <formula>AND(NOT($C11=""),I11="")</formula>
    </cfRule>
    <cfRule type="expression" dxfId="2791" priority="2778" stopIfTrue="1">
      <formula>BF11="0"</formula>
    </cfRule>
  </conditionalFormatting>
  <conditionalFormatting sqref="J11">
    <cfRule type="expression" dxfId="2790" priority="2775" stopIfTrue="1">
      <formula>AND(NOT($C11=""),J11="")</formula>
    </cfRule>
    <cfRule type="expression" dxfId="2789" priority="2776" stopIfTrue="1">
      <formula>BK11="0"</formula>
    </cfRule>
  </conditionalFormatting>
  <conditionalFormatting sqref="K11">
    <cfRule type="expression" dxfId="2788" priority="2773" stopIfTrue="1">
      <formula>AND(NOT($C11=""),K11="")</formula>
    </cfRule>
    <cfRule type="expression" dxfId="2787" priority="2774" stopIfTrue="1">
      <formula>BP11="0"</formula>
    </cfRule>
  </conditionalFormatting>
  <conditionalFormatting sqref="L11">
    <cfRule type="expression" dxfId="2786" priority="2771" stopIfTrue="1">
      <formula>AND(NOT($C11=""),L11="")</formula>
    </cfRule>
    <cfRule type="expression" dxfId="2785" priority="2772" stopIfTrue="1">
      <formula>BU11="0"</formula>
    </cfRule>
  </conditionalFormatting>
  <conditionalFormatting sqref="N11">
    <cfRule type="expression" dxfId="2784" priority="2769" stopIfTrue="1">
      <formula>AND(NOT($C11=""),N11="")</formula>
    </cfRule>
    <cfRule type="expression" dxfId="2783" priority="2770" stopIfTrue="1">
      <formula>CE11="0"</formula>
    </cfRule>
  </conditionalFormatting>
  <conditionalFormatting sqref="M11">
    <cfRule type="expression" dxfId="2782" priority="2768" stopIfTrue="1">
      <formula>BZ11="0"</formula>
    </cfRule>
  </conditionalFormatting>
  <conditionalFormatting sqref="D11">
    <cfRule type="expression" dxfId="2781" priority="2766" stopIfTrue="1">
      <formula>AND(NOT($C11=""),D11="")</formula>
    </cfRule>
    <cfRule type="expression" dxfId="2780" priority="2767" stopIfTrue="1">
      <formula>AG11="0"</formula>
    </cfRule>
  </conditionalFormatting>
  <conditionalFormatting sqref="E11">
    <cfRule type="expression" dxfId="2779" priority="2764" stopIfTrue="1">
      <formula>AND(NOT($C11=""),E11="")</formula>
    </cfRule>
    <cfRule type="expression" dxfId="2778" priority="2765" stopIfTrue="1">
      <formula>AL11="0"</formula>
    </cfRule>
  </conditionalFormatting>
  <conditionalFormatting sqref="F11">
    <cfRule type="expression" dxfId="2777" priority="2762" stopIfTrue="1">
      <formula>AND(NOT($C11=""),F11="")</formula>
    </cfRule>
    <cfRule type="expression" dxfId="2776" priority="2763" stopIfTrue="1">
      <formula>AQ11="0"</formula>
    </cfRule>
  </conditionalFormatting>
  <conditionalFormatting sqref="G11">
    <cfRule type="expression" dxfId="2775" priority="2760" stopIfTrue="1">
      <formula>AND(NOT($C11=""),G11="")</formula>
    </cfRule>
    <cfRule type="expression" dxfId="2774" priority="2761" stopIfTrue="1">
      <formula>AV11="0"</formula>
    </cfRule>
  </conditionalFormatting>
  <conditionalFormatting sqref="H11">
    <cfRule type="expression" dxfId="2773" priority="2758" stopIfTrue="1">
      <formula>AND(NOT($C11=""),H11="")</formula>
    </cfRule>
    <cfRule type="expression" dxfId="2772" priority="2759" stopIfTrue="1">
      <formula>BA11="0"</formula>
    </cfRule>
  </conditionalFormatting>
  <conditionalFormatting sqref="I11">
    <cfRule type="expression" dxfId="2771" priority="2756" stopIfTrue="1">
      <formula>AND(NOT($C11=""),I11="")</formula>
    </cfRule>
    <cfRule type="expression" dxfId="2770" priority="2757" stopIfTrue="1">
      <formula>BF11="0"</formula>
    </cfRule>
  </conditionalFormatting>
  <conditionalFormatting sqref="J11">
    <cfRule type="expression" dxfId="2769" priority="2754" stopIfTrue="1">
      <formula>AND(NOT($C11=""),J11="")</formula>
    </cfRule>
    <cfRule type="expression" dxfId="2768" priority="2755" stopIfTrue="1">
      <formula>BK11="0"</formula>
    </cfRule>
  </conditionalFormatting>
  <conditionalFormatting sqref="K11">
    <cfRule type="expression" dxfId="2767" priority="2752" stopIfTrue="1">
      <formula>AND(NOT($C11=""),K11="")</formula>
    </cfRule>
    <cfRule type="expression" dxfId="2766" priority="2753" stopIfTrue="1">
      <formula>BP11="0"</formula>
    </cfRule>
  </conditionalFormatting>
  <conditionalFormatting sqref="L11">
    <cfRule type="expression" dxfId="2765" priority="2750" stopIfTrue="1">
      <formula>AND(NOT($C11=""),L11="")</formula>
    </cfRule>
    <cfRule type="expression" dxfId="2764" priority="2751" stopIfTrue="1">
      <formula>BU11="0"</formula>
    </cfRule>
  </conditionalFormatting>
  <conditionalFormatting sqref="N11">
    <cfRule type="expression" dxfId="2763" priority="2748" stopIfTrue="1">
      <formula>AND(NOT($C11=""),N11="")</formula>
    </cfRule>
    <cfRule type="expression" dxfId="2762" priority="2749" stopIfTrue="1">
      <formula>CE11="0"</formula>
    </cfRule>
  </conditionalFormatting>
  <conditionalFormatting sqref="M31">
    <cfRule type="expression" dxfId="2761" priority="2747" stopIfTrue="1">
      <formula>BZ31="0"</formula>
    </cfRule>
  </conditionalFormatting>
  <conditionalFormatting sqref="D31">
    <cfRule type="expression" dxfId="2760" priority="2745" stopIfTrue="1">
      <formula>AND(NOT($C31=""),D31="")</formula>
    </cfRule>
    <cfRule type="expression" dxfId="2759" priority="2746" stopIfTrue="1">
      <formula>AG31="0"</formula>
    </cfRule>
  </conditionalFormatting>
  <conditionalFormatting sqref="E31">
    <cfRule type="expression" dxfId="2758" priority="2743" stopIfTrue="1">
      <formula>AND(NOT($C31=""),E31="")</formula>
    </cfRule>
    <cfRule type="expression" dxfId="2757" priority="2744" stopIfTrue="1">
      <formula>AL31="0"</formula>
    </cfRule>
  </conditionalFormatting>
  <conditionalFormatting sqref="F31">
    <cfRule type="expression" dxfId="2756" priority="2741" stopIfTrue="1">
      <formula>AND(NOT($C31=""),F31="")</formula>
    </cfRule>
    <cfRule type="expression" dxfId="2755" priority="2742" stopIfTrue="1">
      <formula>AQ31="0"</formula>
    </cfRule>
  </conditionalFormatting>
  <conditionalFormatting sqref="G31">
    <cfRule type="expression" dxfId="2754" priority="2739" stopIfTrue="1">
      <formula>AND(NOT($C31=""),G31="")</formula>
    </cfRule>
    <cfRule type="expression" dxfId="2753" priority="2740" stopIfTrue="1">
      <formula>AV31="0"</formula>
    </cfRule>
  </conditionalFormatting>
  <conditionalFormatting sqref="H31">
    <cfRule type="expression" dxfId="2752" priority="2737" stopIfTrue="1">
      <formula>AND(NOT($C31=""),H31="")</formula>
    </cfRule>
    <cfRule type="expression" dxfId="2751" priority="2738" stopIfTrue="1">
      <formula>BA31="0"</formula>
    </cfRule>
  </conditionalFormatting>
  <conditionalFormatting sqref="I31">
    <cfRule type="expression" dxfId="2750" priority="2735" stopIfTrue="1">
      <formula>AND(NOT($C31=""),I31="")</formula>
    </cfRule>
    <cfRule type="expression" dxfId="2749" priority="2736" stopIfTrue="1">
      <formula>BF31="0"</formula>
    </cfRule>
  </conditionalFormatting>
  <conditionalFormatting sqref="J31">
    <cfRule type="expression" dxfId="2748" priority="2733" stopIfTrue="1">
      <formula>AND(NOT($C31=""),J31="")</formula>
    </cfRule>
    <cfRule type="expression" dxfId="2747" priority="2734" stopIfTrue="1">
      <formula>BK31="0"</formula>
    </cfRule>
  </conditionalFormatting>
  <conditionalFormatting sqref="K31">
    <cfRule type="expression" dxfId="2746" priority="2731" stopIfTrue="1">
      <formula>AND(NOT($C31=""),K31="")</formula>
    </cfRule>
    <cfRule type="expression" dxfId="2745" priority="2732" stopIfTrue="1">
      <formula>BP31="0"</formula>
    </cfRule>
  </conditionalFormatting>
  <conditionalFormatting sqref="L31">
    <cfRule type="expression" dxfId="2744" priority="2729" stopIfTrue="1">
      <formula>AND(NOT($C31=""),L31="")</formula>
    </cfRule>
    <cfRule type="expression" dxfId="2743" priority="2730" stopIfTrue="1">
      <formula>BU31="0"</formula>
    </cfRule>
  </conditionalFormatting>
  <conditionalFormatting sqref="N31">
    <cfRule type="expression" dxfId="2742" priority="2727" stopIfTrue="1">
      <formula>AND(NOT($C31=""),N31="")</formula>
    </cfRule>
    <cfRule type="expression" dxfId="2741" priority="2728" stopIfTrue="1">
      <formula>CE31="0"</formula>
    </cfRule>
  </conditionalFormatting>
  <conditionalFormatting sqref="M31">
    <cfRule type="expression" dxfId="2740" priority="2726" stopIfTrue="1">
      <formula>BZ31="0"</formula>
    </cfRule>
  </conditionalFormatting>
  <conditionalFormatting sqref="D31">
    <cfRule type="expression" dxfId="2739" priority="2724" stopIfTrue="1">
      <formula>AND(NOT($C31=""),D31="")</formula>
    </cfRule>
    <cfRule type="expression" dxfId="2738" priority="2725" stopIfTrue="1">
      <formula>AG31="0"</formula>
    </cfRule>
  </conditionalFormatting>
  <conditionalFormatting sqref="E31">
    <cfRule type="expression" dxfId="2737" priority="2722" stopIfTrue="1">
      <formula>AND(NOT($C31=""),E31="")</formula>
    </cfRule>
    <cfRule type="expression" dxfId="2736" priority="2723" stopIfTrue="1">
      <formula>AL31="0"</formula>
    </cfRule>
  </conditionalFormatting>
  <conditionalFormatting sqref="F31">
    <cfRule type="expression" dxfId="2735" priority="2720" stopIfTrue="1">
      <formula>AND(NOT($C31=""),F31="")</formula>
    </cfRule>
    <cfRule type="expression" dxfId="2734" priority="2721" stopIfTrue="1">
      <formula>AQ31="0"</formula>
    </cfRule>
  </conditionalFormatting>
  <conditionalFormatting sqref="G31">
    <cfRule type="expression" dxfId="2733" priority="2718" stopIfTrue="1">
      <formula>AND(NOT($C31=""),G31="")</formula>
    </cfRule>
    <cfRule type="expression" dxfId="2732" priority="2719" stopIfTrue="1">
      <formula>AV31="0"</formula>
    </cfRule>
  </conditionalFormatting>
  <conditionalFormatting sqref="H31">
    <cfRule type="expression" dxfId="2731" priority="2716" stopIfTrue="1">
      <formula>AND(NOT($C31=""),H31="")</formula>
    </cfRule>
    <cfRule type="expression" dxfId="2730" priority="2717" stopIfTrue="1">
      <formula>BA31="0"</formula>
    </cfRule>
  </conditionalFormatting>
  <conditionalFormatting sqref="I31">
    <cfRule type="expression" dxfId="2729" priority="2714" stopIfTrue="1">
      <formula>AND(NOT($C31=""),I31="")</formula>
    </cfRule>
    <cfRule type="expression" dxfId="2728" priority="2715" stopIfTrue="1">
      <formula>BF31="0"</formula>
    </cfRule>
  </conditionalFormatting>
  <conditionalFormatting sqref="J31">
    <cfRule type="expression" dxfId="2727" priority="2712" stopIfTrue="1">
      <formula>AND(NOT($C31=""),J31="")</formula>
    </cfRule>
    <cfRule type="expression" dxfId="2726" priority="2713" stopIfTrue="1">
      <formula>BK31="0"</formula>
    </cfRule>
  </conditionalFormatting>
  <conditionalFormatting sqref="K31">
    <cfRule type="expression" dxfId="2725" priority="2710" stopIfTrue="1">
      <formula>AND(NOT($C31=""),K31="")</formula>
    </cfRule>
    <cfRule type="expression" dxfId="2724" priority="2711" stopIfTrue="1">
      <formula>BP31="0"</formula>
    </cfRule>
  </conditionalFormatting>
  <conditionalFormatting sqref="L31">
    <cfRule type="expression" dxfId="2723" priority="2708" stopIfTrue="1">
      <formula>AND(NOT($C31=""),L31="")</formula>
    </cfRule>
    <cfRule type="expression" dxfId="2722" priority="2709" stopIfTrue="1">
      <formula>BU31="0"</formula>
    </cfRule>
  </conditionalFormatting>
  <conditionalFormatting sqref="N31">
    <cfRule type="expression" dxfId="2721" priority="2706" stopIfTrue="1">
      <formula>AND(NOT($C31=""),N31="")</formula>
    </cfRule>
    <cfRule type="expression" dxfId="2720" priority="2707" stopIfTrue="1">
      <formula>CE31="0"</formula>
    </cfRule>
  </conditionalFormatting>
  <conditionalFormatting sqref="M31">
    <cfRule type="expression" dxfId="2719" priority="2705" stopIfTrue="1">
      <formula>BZ31="0"</formula>
    </cfRule>
  </conditionalFormatting>
  <conditionalFormatting sqref="D31">
    <cfRule type="expression" dxfId="2718" priority="2703" stopIfTrue="1">
      <formula>AND(NOT($C31=""),D31="")</formula>
    </cfRule>
    <cfRule type="expression" dxfId="2717" priority="2704" stopIfTrue="1">
      <formula>AG31="0"</formula>
    </cfRule>
  </conditionalFormatting>
  <conditionalFormatting sqref="E31">
    <cfRule type="expression" dxfId="2716" priority="2701" stopIfTrue="1">
      <formula>AND(NOT($C31=""),E31="")</formula>
    </cfRule>
    <cfRule type="expression" dxfId="2715" priority="2702" stopIfTrue="1">
      <formula>AL31="0"</formula>
    </cfRule>
  </conditionalFormatting>
  <conditionalFormatting sqref="F31">
    <cfRule type="expression" dxfId="2714" priority="2699" stopIfTrue="1">
      <formula>AND(NOT($C31=""),F31="")</formula>
    </cfRule>
    <cfRule type="expression" dxfId="2713" priority="2700" stopIfTrue="1">
      <formula>AQ31="0"</formula>
    </cfRule>
  </conditionalFormatting>
  <conditionalFormatting sqref="G31">
    <cfRule type="expression" dxfId="2712" priority="2697" stopIfTrue="1">
      <formula>AND(NOT($C31=""),G31="")</formula>
    </cfRule>
    <cfRule type="expression" dxfId="2711" priority="2698" stopIfTrue="1">
      <formula>AV31="0"</formula>
    </cfRule>
  </conditionalFormatting>
  <conditionalFormatting sqref="H31">
    <cfRule type="expression" dxfId="2710" priority="2695" stopIfTrue="1">
      <formula>AND(NOT($C31=""),H31="")</formula>
    </cfRule>
    <cfRule type="expression" dxfId="2709" priority="2696" stopIfTrue="1">
      <formula>BA31="0"</formula>
    </cfRule>
  </conditionalFormatting>
  <conditionalFormatting sqref="I31">
    <cfRule type="expression" dxfId="2708" priority="2693" stopIfTrue="1">
      <formula>AND(NOT($C31=""),I31="")</formula>
    </cfRule>
    <cfRule type="expression" dxfId="2707" priority="2694" stopIfTrue="1">
      <formula>BF31="0"</formula>
    </cfRule>
  </conditionalFormatting>
  <conditionalFormatting sqref="J31">
    <cfRule type="expression" dxfId="2706" priority="2691" stopIfTrue="1">
      <formula>AND(NOT($C31=""),J31="")</formula>
    </cfRule>
    <cfRule type="expression" dxfId="2705" priority="2692" stopIfTrue="1">
      <formula>BK31="0"</formula>
    </cfRule>
  </conditionalFormatting>
  <conditionalFormatting sqref="K31">
    <cfRule type="expression" dxfId="2704" priority="2689" stopIfTrue="1">
      <formula>AND(NOT($C31=""),K31="")</formula>
    </cfRule>
    <cfRule type="expression" dxfId="2703" priority="2690" stopIfTrue="1">
      <formula>BP31="0"</formula>
    </cfRule>
  </conditionalFormatting>
  <conditionalFormatting sqref="L31">
    <cfRule type="expression" dxfId="2702" priority="2687" stopIfTrue="1">
      <formula>AND(NOT($C31=""),L31="")</formula>
    </cfRule>
    <cfRule type="expression" dxfId="2701" priority="2688" stopIfTrue="1">
      <formula>BU31="0"</formula>
    </cfRule>
  </conditionalFormatting>
  <conditionalFormatting sqref="N31">
    <cfRule type="expression" dxfId="2700" priority="2685" stopIfTrue="1">
      <formula>AND(NOT($C31=""),N31="")</formula>
    </cfRule>
    <cfRule type="expression" dxfId="2699" priority="2686" stopIfTrue="1">
      <formula>CE31="0"</formula>
    </cfRule>
  </conditionalFormatting>
  <conditionalFormatting sqref="M31">
    <cfRule type="expression" dxfId="2698" priority="2684" stopIfTrue="1">
      <formula>BZ31="0"</formula>
    </cfRule>
  </conditionalFormatting>
  <conditionalFormatting sqref="D31">
    <cfRule type="expression" dxfId="2697" priority="2682" stopIfTrue="1">
      <formula>AND(NOT($C31=""),D31="")</formula>
    </cfRule>
    <cfRule type="expression" dxfId="2696" priority="2683" stopIfTrue="1">
      <formula>AG31="0"</formula>
    </cfRule>
  </conditionalFormatting>
  <conditionalFormatting sqref="E31">
    <cfRule type="expression" dxfId="2695" priority="2680" stopIfTrue="1">
      <formula>AND(NOT($C31=""),E31="")</formula>
    </cfRule>
    <cfRule type="expression" dxfId="2694" priority="2681" stopIfTrue="1">
      <formula>AL31="0"</formula>
    </cfRule>
  </conditionalFormatting>
  <conditionalFormatting sqref="F31">
    <cfRule type="expression" dxfId="2693" priority="2678" stopIfTrue="1">
      <formula>AND(NOT($C31=""),F31="")</formula>
    </cfRule>
    <cfRule type="expression" dxfId="2692" priority="2679" stopIfTrue="1">
      <formula>AQ31="0"</formula>
    </cfRule>
  </conditionalFormatting>
  <conditionalFormatting sqref="G31">
    <cfRule type="expression" dxfId="2691" priority="2676" stopIfTrue="1">
      <formula>AND(NOT($C31=""),G31="")</formula>
    </cfRule>
    <cfRule type="expression" dxfId="2690" priority="2677" stopIfTrue="1">
      <formula>AV31="0"</formula>
    </cfRule>
  </conditionalFormatting>
  <conditionalFormatting sqref="H31">
    <cfRule type="expression" dxfId="2689" priority="2674" stopIfTrue="1">
      <formula>AND(NOT($C31=""),H31="")</formula>
    </cfRule>
    <cfRule type="expression" dxfId="2688" priority="2675" stopIfTrue="1">
      <formula>BA31="0"</formula>
    </cfRule>
  </conditionalFormatting>
  <conditionalFormatting sqref="I31">
    <cfRule type="expression" dxfId="2687" priority="2672" stopIfTrue="1">
      <formula>AND(NOT($C31=""),I31="")</formula>
    </cfRule>
    <cfRule type="expression" dxfId="2686" priority="2673" stopIfTrue="1">
      <formula>BF31="0"</formula>
    </cfRule>
  </conditionalFormatting>
  <conditionalFormatting sqref="J31">
    <cfRule type="expression" dxfId="2685" priority="2670" stopIfTrue="1">
      <formula>AND(NOT($C31=""),J31="")</formula>
    </cfRule>
    <cfRule type="expression" dxfId="2684" priority="2671" stopIfTrue="1">
      <formula>BK31="0"</formula>
    </cfRule>
  </conditionalFormatting>
  <conditionalFormatting sqref="K31">
    <cfRule type="expression" dxfId="2683" priority="2668" stopIfTrue="1">
      <formula>AND(NOT($C31=""),K31="")</formula>
    </cfRule>
    <cfRule type="expression" dxfId="2682" priority="2669" stopIfTrue="1">
      <formula>BP31="0"</formula>
    </cfRule>
  </conditionalFormatting>
  <conditionalFormatting sqref="L31">
    <cfRule type="expression" dxfId="2681" priority="2666" stopIfTrue="1">
      <formula>AND(NOT($C31=""),L31="")</formula>
    </cfRule>
    <cfRule type="expression" dxfId="2680" priority="2667" stopIfTrue="1">
      <formula>BU31="0"</formula>
    </cfRule>
  </conditionalFormatting>
  <conditionalFormatting sqref="N31">
    <cfRule type="expression" dxfId="2679" priority="2664" stopIfTrue="1">
      <formula>AND(NOT($C31=""),N31="")</formula>
    </cfRule>
    <cfRule type="expression" dxfId="2678" priority="2665" stopIfTrue="1">
      <formula>CE31="0"</formula>
    </cfRule>
  </conditionalFormatting>
  <conditionalFormatting sqref="M31">
    <cfRule type="expression" dxfId="2677" priority="2663" stopIfTrue="1">
      <formula>BZ31="0"</formula>
    </cfRule>
  </conditionalFormatting>
  <conditionalFormatting sqref="D31">
    <cfRule type="expression" dxfId="2676" priority="2661" stopIfTrue="1">
      <formula>AND(NOT($C31=""),D31="")</formula>
    </cfRule>
    <cfRule type="expression" dxfId="2675" priority="2662" stopIfTrue="1">
      <formula>AG31="0"</formula>
    </cfRule>
  </conditionalFormatting>
  <conditionalFormatting sqref="E31">
    <cfRule type="expression" dxfId="2674" priority="2659" stopIfTrue="1">
      <formula>AND(NOT($C31=""),E31="")</formula>
    </cfRule>
    <cfRule type="expression" dxfId="2673" priority="2660" stopIfTrue="1">
      <formula>AL31="0"</formula>
    </cfRule>
  </conditionalFormatting>
  <conditionalFormatting sqref="F31">
    <cfRule type="expression" dxfId="2672" priority="2657" stopIfTrue="1">
      <formula>AND(NOT($C31=""),F31="")</formula>
    </cfRule>
    <cfRule type="expression" dxfId="2671" priority="2658" stopIfTrue="1">
      <formula>AQ31="0"</formula>
    </cfRule>
  </conditionalFormatting>
  <conditionalFormatting sqref="G31">
    <cfRule type="expression" dxfId="2670" priority="2655" stopIfTrue="1">
      <formula>AND(NOT($C31=""),G31="")</formula>
    </cfRule>
    <cfRule type="expression" dxfId="2669" priority="2656" stopIfTrue="1">
      <formula>AV31="0"</formula>
    </cfRule>
  </conditionalFormatting>
  <conditionalFormatting sqref="H31">
    <cfRule type="expression" dxfId="2668" priority="2653" stopIfTrue="1">
      <formula>AND(NOT($C31=""),H31="")</formula>
    </cfRule>
    <cfRule type="expression" dxfId="2667" priority="2654" stopIfTrue="1">
      <formula>BA31="0"</formula>
    </cfRule>
  </conditionalFormatting>
  <conditionalFormatting sqref="I31">
    <cfRule type="expression" dxfId="2666" priority="2651" stopIfTrue="1">
      <formula>AND(NOT($C31=""),I31="")</formula>
    </cfRule>
    <cfRule type="expression" dxfId="2665" priority="2652" stopIfTrue="1">
      <formula>BF31="0"</formula>
    </cfRule>
  </conditionalFormatting>
  <conditionalFormatting sqref="J31">
    <cfRule type="expression" dxfId="2664" priority="2649" stopIfTrue="1">
      <formula>AND(NOT($C31=""),J31="")</formula>
    </cfRule>
    <cfRule type="expression" dxfId="2663" priority="2650" stopIfTrue="1">
      <formula>BK31="0"</formula>
    </cfRule>
  </conditionalFormatting>
  <conditionalFormatting sqref="K31">
    <cfRule type="expression" dxfId="2662" priority="2647" stopIfTrue="1">
      <formula>AND(NOT($C31=""),K31="")</formula>
    </cfRule>
    <cfRule type="expression" dxfId="2661" priority="2648" stopIfTrue="1">
      <formula>BP31="0"</formula>
    </cfRule>
  </conditionalFormatting>
  <conditionalFormatting sqref="L31">
    <cfRule type="expression" dxfId="2660" priority="2645" stopIfTrue="1">
      <formula>AND(NOT($C31=""),L31="")</formula>
    </cfRule>
    <cfRule type="expression" dxfId="2659" priority="2646" stopIfTrue="1">
      <formula>BU31="0"</formula>
    </cfRule>
  </conditionalFormatting>
  <conditionalFormatting sqref="N31">
    <cfRule type="expression" dxfId="2658" priority="2643" stopIfTrue="1">
      <formula>AND(NOT($C31=""),N31="")</formula>
    </cfRule>
    <cfRule type="expression" dxfId="2657" priority="2644" stopIfTrue="1">
      <formula>CE31="0"</formula>
    </cfRule>
  </conditionalFormatting>
  <conditionalFormatting sqref="M31">
    <cfRule type="expression" dxfId="2656" priority="2642" stopIfTrue="1">
      <formula>BZ31="0"</formula>
    </cfRule>
  </conditionalFormatting>
  <conditionalFormatting sqref="D31">
    <cfRule type="expression" dxfId="2655" priority="2640" stopIfTrue="1">
      <formula>AND(NOT($C31=""),D31="")</formula>
    </cfRule>
    <cfRule type="expression" dxfId="2654" priority="2641" stopIfTrue="1">
      <formula>AG31="0"</formula>
    </cfRule>
  </conditionalFormatting>
  <conditionalFormatting sqref="E31">
    <cfRule type="expression" dxfId="2653" priority="2638" stopIfTrue="1">
      <formula>AND(NOT($C31=""),E31="")</formula>
    </cfRule>
    <cfRule type="expression" dxfId="2652" priority="2639" stopIfTrue="1">
      <formula>AL31="0"</formula>
    </cfRule>
  </conditionalFormatting>
  <conditionalFormatting sqref="F31">
    <cfRule type="expression" dxfId="2651" priority="2636" stopIfTrue="1">
      <formula>AND(NOT($C31=""),F31="")</formula>
    </cfRule>
    <cfRule type="expression" dxfId="2650" priority="2637" stopIfTrue="1">
      <formula>AQ31="0"</formula>
    </cfRule>
  </conditionalFormatting>
  <conditionalFormatting sqref="G31">
    <cfRule type="expression" dxfId="2649" priority="2634" stopIfTrue="1">
      <formula>AND(NOT($C31=""),G31="")</formula>
    </cfRule>
    <cfRule type="expression" dxfId="2648" priority="2635" stopIfTrue="1">
      <formula>AV31="0"</formula>
    </cfRule>
  </conditionalFormatting>
  <conditionalFormatting sqref="H31">
    <cfRule type="expression" dxfId="2647" priority="2632" stopIfTrue="1">
      <formula>AND(NOT($C31=""),H31="")</formula>
    </cfRule>
    <cfRule type="expression" dxfId="2646" priority="2633" stopIfTrue="1">
      <formula>BA31="0"</formula>
    </cfRule>
  </conditionalFormatting>
  <conditionalFormatting sqref="I31">
    <cfRule type="expression" dxfId="2645" priority="2630" stopIfTrue="1">
      <formula>AND(NOT($C31=""),I31="")</formula>
    </cfRule>
    <cfRule type="expression" dxfId="2644" priority="2631" stopIfTrue="1">
      <formula>BF31="0"</formula>
    </cfRule>
  </conditionalFormatting>
  <conditionalFormatting sqref="J31">
    <cfRule type="expression" dxfId="2643" priority="2628" stopIfTrue="1">
      <formula>AND(NOT($C31=""),J31="")</formula>
    </cfRule>
    <cfRule type="expression" dxfId="2642" priority="2629" stopIfTrue="1">
      <formula>BK31="0"</formula>
    </cfRule>
  </conditionalFormatting>
  <conditionalFormatting sqref="K31">
    <cfRule type="expression" dxfId="2641" priority="2626" stopIfTrue="1">
      <formula>AND(NOT($C31=""),K31="")</formula>
    </cfRule>
    <cfRule type="expression" dxfId="2640" priority="2627" stopIfTrue="1">
      <formula>BP31="0"</formula>
    </cfRule>
  </conditionalFormatting>
  <conditionalFormatting sqref="L31">
    <cfRule type="expression" dxfId="2639" priority="2624" stopIfTrue="1">
      <formula>AND(NOT($C31=""),L31="")</formula>
    </cfRule>
    <cfRule type="expression" dxfId="2638" priority="2625" stopIfTrue="1">
      <formula>BU31="0"</formula>
    </cfRule>
  </conditionalFormatting>
  <conditionalFormatting sqref="N31">
    <cfRule type="expression" dxfId="2637" priority="2622" stopIfTrue="1">
      <formula>AND(NOT($C31=""),N31="")</formula>
    </cfRule>
    <cfRule type="expression" dxfId="2636" priority="2623" stopIfTrue="1">
      <formula>CE31="0"</formula>
    </cfRule>
  </conditionalFormatting>
  <conditionalFormatting sqref="M31">
    <cfRule type="expression" dxfId="2635" priority="2621" stopIfTrue="1">
      <formula>BZ31="0"</formula>
    </cfRule>
  </conditionalFormatting>
  <conditionalFormatting sqref="D31">
    <cfRule type="expression" dxfId="2634" priority="2619" stopIfTrue="1">
      <formula>AND(NOT($C31=""),D31="")</formula>
    </cfRule>
    <cfRule type="expression" dxfId="2633" priority="2620" stopIfTrue="1">
      <formula>AG31="0"</formula>
    </cfRule>
  </conditionalFormatting>
  <conditionalFormatting sqref="E31">
    <cfRule type="expression" dxfId="2632" priority="2617" stopIfTrue="1">
      <formula>AND(NOT($C31=""),E31="")</formula>
    </cfRule>
    <cfRule type="expression" dxfId="2631" priority="2618" stopIfTrue="1">
      <formula>AL31="0"</formula>
    </cfRule>
  </conditionalFormatting>
  <conditionalFormatting sqref="F31">
    <cfRule type="expression" dxfId="2630" priority="2615" stopIfTrue="1">
      <formula>AND(NOT($C31=""),F31="")</formula>
    </cfRule>
    <cfRule type="expression" dxfId="2629" priority="2616" stopIfTrue="1">
      <formula>AQ31="0"</formula>
    </cfRule>
  </conditionalFormatting>
  <conditionalFormatting sqref="G31">
    <cfRule type="expression" dxfId="2628" priority="2613" stopIfTrue="1">
      <formula>AND(NOT($C31=""),G31="")</formula>
    </cfRule>
    <cfRule type="expression" dxfId="2627" priority="2614" stopIfTrue="1">
      <formula>AV31="0"</formula>
    </cfRule>
  </conditionalFormatting>
  <conditionalFormatting sqref="H31">
    <cfRule type="expression" dxfId="2626" priority="2611" stopIfTrue="1">
      <formula>AND(NOT($C31=""),H31="")</formula>
    </cfRule>
    <cfRule type="expression" dxfId="2625" priority="2612" stopIfTrue="1">
      <formula>BA31="0"</formula>
    </cfRule>
  </conditionalFormatting>
  <conditionalFormatting sqref="I31">
    <cfRule type="expression" dxfId="2624" priority="2609" stopIfTrue="1">
      <formula>AND(NOT($C31=""),I31="")</formula>
    </cfRule>
    <cfRule type="expression" dxfId="2623" priority="2610" stopIfTrue="1">
      <formula>BF31="0"</formula>
    </cfRule>
  </conditionalFormatting>
  <conditionalFormatting sqref="J31">
    <cfRule type="expression" dxfId="2622" priority="2607" stopIfTrue="1">
      <formula>AND(NOT($C31=""),J31="")</formula>
    </cfRule>
    <cfRule type="expression" dxfId="2621" priority="2608" stopIfTrue="1">
      <formula>BK31="0"</formula>
    </cfRule>
  </conditionalFormatting>
  <conditionalFormatting sqref="K31">
    <cfRule type="expression" dxfId="2620" priority="2605" stopIfTrue="1">
      <formula>AND(NOT($C31=""),K31="")</formula>
    </cfRule>
    <cfRule type="expression" dxfId="2619" priority="2606" stopIfTrue="1">
      <formula>BP31="0"</formula>
    </cfRule>
  </conditionalFormatting>
  <conditionalFormatting sqref="L31">
    <cfRule type="expression" dxfId="2618" priority="2603" stopIfTrue="1">
      <formula>AND(NOT($C31=""),L31="")</formula>
    </cfRule>
    <cfRule type="expression" dxfId="2617" priority="2604" stopIfTrue="1">
      <formula>BU31="0"</formula>
    </cfRule>
  </conditionalFormatting>
  <conditionalFormatting sqref="N31">
    <cfRule type="expression" dxfId="2616" priority="2601" stopIfTrue="1">
      <formula>AND(NOT($C31=""),N31="")</formula>
    </cfRule>
    <cfRule type="expression" dxfId="2615" priority="2602" stopIfTrue="1">
      <formula>CE31="0"</formula>
    </cfRule>
  </conditionalFormatting>
  <conditionalFormatting sqref="M31">
    <cfRule type="expression" dxfId="2614" priority="2600" stopIfTrue="1">
      <formula>BZ31="0"</formula>
    </cfRule>
  </conditionalFormatting>
  <conditionalFormatting sqref="D31">
    <cfRule type="expression" dxfId="2613" priority="2598" stopIfTrue="1">
      <formula>AND(NOT($C31=""),D31="")</formula>
    </cfRule>
    <cfRule type="expression" dxfId="2612" priority="2599" stopIfTrue="1">
      <formula>AG31="0"</formula>
    </cfRule>
  </conditionalFormatting>
  <conditionalFormatting sqref="E31">
    <cfRule type="expression" dxfId="2611" priority="2596" stopIfTrue="1">
      <formula>AND(NOT($C31=""),E31="")</formula>
    </cfRule>
    <cfRule type="expression" dxfId="2610" priority="2597" stopIfTrue="1">
      <formula>AL31="0"</formula>
    </cfRule>
  </conditionalFormatting>
  <conditionalFormatting sqref="F31">
    <cfRule type="expression" dxfId="2609" priority="2594" stopIfTrue="1">
      <formula>AND(NOT($C31=""),F31="")</formula>
    </cfRule>
    <cfRule type="expression" dxfId="2608" priority="2595" stopIfTrue="1">
      <formula>AQ31="0"</formula>
    </cfRule>
  </conditionalFormatting>
  <conditionalFormatting sqref="G31">
    <cfRule type="expression" dxfId="2607" priority="2592" stopIfTrue="1">
      <formula>AND(NOT($C31=""),G31="")</formula>
    </cfRule>
    <cfRule type="expression" dxfId="2606" priority="2593" stopIfTrue="1">
      <formula>AV31="0"</formula>
    </cfRule>
  </conditionalFormatting>
  <conditionalFormatting sqref="H31">
    <cfRule type="expression" dxfId="2605" priority="2590" stopIfTrue="1">
      <formula>AND(NOT($C31=""),H31="")</formula>
    </cfRule>
    <cfRule type="expression" dxfId="2604" priority="2591" stopIfTrue="1">
      <formula>BA31="0"</formula>
    </cfRule>
  </conditionalFormatting>
  <conditionalFormatting sqref="I31">
    <cfRule type="expression" dxfId="2603" priority="2588" stopIfTrue="1">
      <formula>AND(NOT($C31=""),I31="")</formula>
    </cfRule>
    <cfRule type="expression" dxfId="2602" priority="2589" stopIfTrue="1">
      <formula>BF31="0"</formula>
    </cfRule>
  </conditionalFormatting>
  <conditionalFormatting sqref="J31">
    <cfRule type="expression" dxfId="2601" priority="2586" stopIfTrue="1">
      <formula>AND(NOT($C31=""),J31="")</formula>
    </cfRule>
    <cfRule type="expression" dxfId="2600" priority="2587" stopIfTrue="1">
      <formula>BK31="0"</formula>
    </cfRule>
  </conditionalFormatting>
  <conditionalFormatting sqref="K31">
    <cfRule type="expression" dxfId="2599" priority="2584" stopIfTrue="1">
      <formula>AND(NOT($C31=""),K31="")</formula>
    </cfRule>
    <cfRule type="expression" dxfId="2598" priority="2585" stopIfTrue="1">
      <formula>BP31="0"</formula>
    </cfRule>
  </conditionalFormatting>
  <conditionalFormatting sqref="L31">
    <cfRule type="expression" dxfId="2597" priority="2582" stopIfTrue="1">
      <formula>AND(NOT($C31=""),L31="")</formula>
    </cfRule>
    <cfRule type="expression" dxfId="2596" priority="2583" stopIfTrue="1">
      <formula>BU31="0"</formula>
    </cfRule>
  </conditionalFormatting>
  <conditionalFormatting sqref="N31">
    <cfRule type="expression" dxfId="2595" priority="2580" stopIfTrue="1">
      <formula>AND(NOT($C31=""),N31="")</formula>
    </cfRule>
    <cfRule type="expression" dxfId="2594" priority="2581" stopIfTrue="1">
      <formula>CE31="0"</formula>
    </cfRule>
  </conditionalFormatting>
  <conditionalFormatting sqref="M31">
    <cfRule type="expression" dxfId="2593" priority="2579" stopIfTrue="1">
      <formula>BZ31="0"</formula>
    </cfRule>
  </conditionalFormatting>
  <conditionalFormatting sqref="D31">
    <cfRule type="expression" dxfId="2592" priority="2577" stopIfTrue="1">
      <formula>AND(NOT($C31=""),D31="")</formula>
    </cfRule>
    <cfRule type="expression" dxfId="2591" priority="2578" stopIfTrue="1">
      <formula>AG31="0"</formula>
    </cfRule>
  </conditionalFormatting>
  <conditionalFormatting sqref="E31">
    <cfRule type="expression" dxfId="2590" priority="2575" stopIfTrue="1">
      <formula>AND(NOT($C31=""),E31="")</formula>
    </cfRule>
    <cfRule type="expression" dxfId="2589" priority="2576" stopIfTrue="1">
      <formula>AL31="0"</formula>
    </cfRule>
  </conditionalFormatting>
  <conditionalFormatting sqref="F31">
    <cfRule type="expression" dxfId="2588" priority="2573" stopIfTrue="1">
      <formula>AND(NOT($C31=""),F31="")</formula>
    </cfRule>
    <cfRule type="expression" dxfId="2587" priority="2574" stopIfTrue="1">
      <formula>AQ31="0"</formula>
    </cfRule>
  </conditionalFormatting>
  <conditionalFormatting sqref="G31">
    <cfRule type="expression" dxfId="2586" priority="2571" stopIfTrue="1">
      <formula>AND(NOT($C31=""),G31="")</formula>
    </cfRule>
    <cfRule type="expression" dxfId="2585" priority="2572" stopIfTrue="1">
      <formula>AV31="0"</formula>
    </cfRule>
  </conditionalFormatting>
  <conditionalFormatting sqref="H31">
    <cfRule type="expression" dxfId="2584" priority="2569" stopIfTrue="1">
      <formula>AND(NOT($C31=""),H31="")</formula>
    </cfRule>
    <cfRule type="expression" dxfId="2583" priority="2570" stopIfTrue="1">
      <formula>BA31="0"</formula>
    </cfRule>
  </conditionalFormatting>
  <conditionalFormatting sqref="I31">
    <cfRule type="expression" dxfId="2582" priority="2567" stopIfTrue="1">
      <formula>AND(NOT($C31=""),I31="")</formula>
    </cfRule>
    <cfRule type="expression" dxfId="2581" priority="2568" stopIfTrue="1">
      <formula>BF31="0"</formula>
    </cfRule>
  </conditionalFormatting>
  <conditionalFormatting sqref="J31">
    <cfRule type="expression" dxfId="2580" priority="2565" stopIfTrue="1">
      <formula>AND(NOT($C31=""),J31="")</formula>
    </cfRule>
    <cfRule type="expression" dxfId="2579" priority="2566" stopIfTrue="1">
      <formula>BK31="0"</formula>
    </cfRule>
  </conditionalFormatting>
  <conditionalFormatting sqref="K31">
    <cfRule type="expression" dxfId="2578" priority="2563" stopIfTrue="1">
      <formula>AND(NOT($C31=""),K31="")</formula>
    </cfRule>
    <cfRule type="expression" dxfId="2577" priority="2564" stopIfTrue="1">
      <formula>BP31="0"</formula>
    </cfRule>
  </conditionalFormatting>
  <conditionalFormatting sqref="L31">
    <cfRule type="expression" dxfId="2576" priority="2561" stopIfTrue="1">
      <formula>AND(NOT($C31=""),L31="")</formula>
    </cfRule>
    <cfRule type="expression" dxfId="2575" priority="2562" stopIfTrue="1">
      <formula>BU31="0"</formula>
    </cfRule>
  </conditionalFormatting>
  <conditionalFormatting sqref="N31">
    <cfRule type="expression" dxfId="2574" priority="2559" stopIfTrue="1">
      <formula>AND(NOT($C31=""),N31="")</formula>
    </cfRule>
    <cfRule type="expression" dxfId="2573" priority="2560" stopIfTrue="1">
      <formula>CE31="0"</formula>
    </cfRule>
  </conditionalFormatting>
  <conditionalFormatting sqref="M33">
    <cfRule type="expression" dxfId="2572" priority="2558" stopIfTrue="1">
      <formula>BZ33="0"</formula>
    </cfRule>
  </conditionalFormatting>
  <conditionalFormatting sqref="D33">
    <cfRule type="expression" dxfId="2571" priority="2556" stopIfTrue="1">
      <formula>AND(NOT($C33=""),D33="")</formula>
    </cfRule>
    <cfRule type="expression" dxfId="2570" priority="2557" stopIfTrue="1">
      <formula>AG33="0"</formula>
    </cfRule>
  </conditionalFormatting>
  <conditionalFormatting sqref="E33">
    <cfRule type="expression" dxfId="2569" priority="2554" stopIfTrue="1">
      <formula>AND(NOT($C33=""),E33="")</formula>
    </cfRule>
    <cfRule type="expression" dxfId="2568" priority="2555" stopIfTrue="1">
      <formula>AL33="0"</formula>
    </cfRule>
  </conditionalFormatting>
  <conditionalFormatting sqref="F33">
    <cfRule type="expression" dxfId="2567" priority="2552" stopIfTrue="1">
      <formula>AND(NOT($C33=""),F33="")</formula>
    </cfRule>
    <cfRule type="expression" dxfId="2566" priority="2553" stopIfTrue="1">
      <formula>AQ33="0"</formula>
    </cfRule>
  </conditionalFormatting>
  <conditionalFormatting sqref="G33">
    <cfRule type="expression" dxfId="2565" priority="2550" stopIfTrue="1">
      <formula>AND(NOT($C33=""),G33="")</formula>
    </cfRule>
    <cfRule type="expression" dxfId="2564" priority="2551" stopIfTrue="1">
      <formula>AV33="0"</formula>
    </cfRule>
  </conditionalFormatting>
  <conditionalFormatting sqref="H33">
    <cfRule type="expression" dxfId="2563" priority="2548" stopIfTrue="1">
      <formula>AND(NOT($C33=""),H33="")</formula>
    </cfRule>
    <cfRule type="expression" dxfId="2562" priority="2549" stopIfTrue="1">
      <formula>BA33="0"</formula>
    </cfRule>
  </conditionalFormatting>
  <conditionalFormatting sqref="I33">
    <cfRule type="expression" dxfId="2561" priority="2546" stopIfTrue="1">
      <formula>AND(NOT($C33=""),I33="")</formula>
    </cfRule>
    <cfRule type="expression" dxfId="2560" priority="2547" stopIfTrue="1">
      <formula>BF33="0"</formula>
    </cfRule>
  </conditionalFormatting>
  <conditionalFormatting sqref="J33">
    <cfRule type="expression" dxfId="2559" priority="2544" stopIfTrue="1">
      <formula>AND(NOT($C33=""),J33="")</formula>
    </cfRule>
    <cfRule type="expression" dxfId="2558" priority="2545" stopIfTrue="1">
      <formula>BK33="0"</formula>
    </cfRule>
  </conditionalFormatting>
  <conditionalFormatting sqref="K33">
    <cfRule type="expression" dxfId="2557" priority="2542" stopIfTrue="1">
      <formula>AND(NOT($C33=""),K33="")</formula>
    </cfRule>
    <cfRule type="expression" dxfId="2556" priority="2543" stopIfTrue="1">
      <formula>BP33="0"</formula>
    </cfRule>
  </conditionalFormatting>
  <conditionalFormatting sqref="L33">
    <cfRule type="expression" dxfId="2555" priority="2540" stopIfTrue="1">
      <formula>AND(NOT($C33=""),L33="")</formula>
    </cfRule>
    <cfRule type="expression" dxfId="2554" priority="2541" stopIfTrue="1">
      <formula>BU33="0"</formula>
    </cfRule>
  </conditionalFormatting>
  <conditionalFormatting sqref="N33">
    <cfRule type="expression" dxfId="2553" priority="2538" stopIfTrue="1">
      <formula>AND(NOT($C33=""),N33="")</formula>
    </cfRule>
    <cfRule type="expression" dxfId="2552" priority="2539" stopIfTrue="1">
      <formula>CE33="0"</formula>
    </cfRule>
  </conditionalFormatting>
  <conditionalFormatting sqref="M33">
    <cfRule type="expression" dxfId="2551" priority="2537" stopIfTrue="1">
      <formula>BZ33="0"</formula>
    </cfRule>
  </conditionalFormatting>
  <conditionalFormatting sqref="D33">
    <cfRule type="expression" dxfId="2550" priority="2535" stopIfTrue="1">
      <formula>AND(NOT($C33=""),D33="")</formula>
    </cfRule>
    <cfRule type="expression" dxfId="2549" priority="2536" stopIfTrue="1">
      <formula>AG33="0"</formula>
    </cfRule>
  </conditionalFormatting>
  <conditionalFormatting sqref="E33">
    <cfRule type="expression" dxfId="2548" priority="2533" stopIfTrue="1">
      <formula>AND(NOT($C33=""),E33="")</formula>
    </cfRule>
    <cfRule type="expression" dxfId="2547" priority="2534" stopIfTrue="1">
      <formula>AL33="0"</formula>
    </cfRule>
  </conditionalFormatting>
  <conditionalFormatting sqref="F33">
    <cfRule type="expression" dxfId="2546" priority="2531" stopIfTrue="1">
      <formula>AND(NOT($C33=""),F33="")</formula>
    </cfRule>
    <cfRule type="expression" dxfId="2545" priority="2532" stopIfTrue="1">
      <formula>AQ33="0"</formula>
    </cfRule>
  </conditionalFormatting>
  <conditionalFormatting sqref="G33">
    <cfRule type="expression" dxfId="2544" priority="2529" stopIfTrue="1">
      <formula>AND(NOT($C33=""),G33="")</formula>
    </cfRule>
    <cfRule type="expression" dxfId="2543" priority="2530" stopIfTrue="1">
      <formula>AV33="0"</formula>
    </cfRule>
  </conditionalFormatting>
  <conditionalFormatting sqref="H33">
    <cfRule type="expression" dxfId="2542" priority="2527" stopIfTrue="1">
      <formula>AND(NOT($C33=""),H33="")</formula>
    </cfRule>
    <cfRule type="expression" dxfId="2541" priority="2528" stopIfTrue="1">
      <formula>BA33="0"</formula>
    </cfRule>
  </conditionalFormatting>
  <conditionalFormatting sqref="I33">
    <cfRule type="expression" dxfId="2540" priority="2525" stopIfTrue="1">
      <formula>AND(NOT($C33=""),I33="")</formula>
    </cfRule>
    <cfRule type="expression" dxfId="2539" priority="2526" stopIfTrue="1">
      <formula>BF33="0"</formula>
    </cfRule>
  </conditionalFormatting>
  <conditionalFormatting sqref="J33">
    <cfRule type="expression" dxfId="2538" priority="2523" stopIfTrue="1">
      <formula>AND(NOT($C33=""),J33="")</formula>
    </cfRule>
    <cfRule type="expression" dxfId="2537" priority="2524" stopIfTrue="1">
      <formula>BK33="0"</formula>
    </cfRule>
  </conditionalFormatting>
  <conditionalFormatting sqref="K33">
    <cfRule type="expression" dxfId="2536" priority="2521" stopIfTrue="1">
      <formula>AND(NOT($C33=""),K33="")</formula>
    </cfRule>
    <cfRule type="expression" dxfId="2535" priority="2522" stopIfTrue="1">
      <formula>BP33="0"</formula>
    </cfRule>
  </conditionalFormatting>
  <conditionalFormatting sqref="L33">
    <cfRule type="expression" dxfId="2534" priority="2519" stopIfTrue="1">
      <formula>AND(NOT($C33=""),L33="")</formula>
    </cfRule>
    <cfRule type="expression" dxfId="2533" priority="2520" stopIfTrue="1">
      <formula>BU33="0"</formula>
    </cfRule>
  </conditionalFormatting>
  <conditionalFormatting sqref="N33">
    <cfRule type="expression" dxfId="2532" priority="2517" stopIfTrue="1">
      <formula>AND(NOT($C33=""),N33="")</formula>
    </cfRule>
    <cfRule type="expression" dxfId="2531" priority="2518" stopIfTrue="1">
      <formula>CE33="0"</formula>
    </cfRule>
  </conditionalFormatting>
  <conditionalFormatting sqref="M33">
    <cfRule type="expression" dxfId="2530" priority="2516" stopIfTrue="1">
      <formula>BZ33="0"</formula>
    </cfRule>
  </conditionalFormatting>
  <conditionalFormatting sqref="D33">
    <cfRule type="expression" dxfId="2529" priority="2514" stopIfTrue="1">
      <formula>AND(NOT($C33=""),D33="")</formula>
    </cfRule>
    <cfRule type="expression" dxfId="2528" priority="2515" stopIfTrue="1">
      <formula>AG33="0"</formula>
    </cfRule>
  </conditionalFormatting>
  <conditionalFormatting sqref="E33">
    <cfRule type="expression" dxfId="2527" priority="2512" stopIfTrue="1">
      <formula>AND(NOT($C33=""),E33="")</formula>
    </cfRule>
    <cfRule type="expression" dxfId="2526" priority="2513" stopIfTrue="1">
      <formula>AL33="0"</formula>
    </cfRule>
  </conditionalFormatting>
  <conditionalFormatting sqref="F33">
    <cfRule type="expression" dxfId="2525" priority="2510" stopIfTrue="1">
      <formula>AND(NOT($C33=""),F33="")</formula>
    </cfRule>
    <cfRule type="expression" dxfId="2524" priority="2511" stopIfTrue="1">
      <formula>AQ33="0"</formula>
    </cfRule>
  </conditionalFormatting>
  <conditionalFormatting sqref="G33">
    <cfRule type="expression" dxfId="2523" priority="2508" stopIfTrue="1">
      <formula>AND(NOT($C33=""),G33="")</formula>
    </cfRule>
    <cfRule type="expression" dxfId="2522" priority="2509" stopIfTrue="1">
      <formula>AV33="0"</formula>
    </cfRule>
  </conditionalFormatting>
  <conditionalFormatting sqref="H33">
    <cfRule type="expression" dxfId="2521" priority="2506" stopIfTrue="1">
      <formula>AND(NOT($C33=""),H33="")</formula>
    </cfRule>
    <cfRule type="expression" dxfId="2520" priority="2507" stopIfTrue="1">
      <formula>BA33="0"</formula>
    </cfRule>
  </conditionalFormatting>
  <conditionalFormatting sqref="I33">
    <cfRule type="expression" dxfId="2519" priority="2504" stopIfTrue="1">
      <formula>AND(NOT($C33=""),I33="")</formula>
    </cfRule>
    <cfRule type="expression" dxfId="2518" priority="2505" stopIfTrue="1">
      <formula>BF33="0"</formula>
    </cfRule>
  </conditionalFormatting>
  <conditionalFormatting sqref="J33">
    <cfRule type="expression" dxfId="2517" priority="2502" stopIfTrue="1">
      <formula>AND(NOT($C33=""),J33="")</formula>
    </cfRule>
    <cfRule type="expression" dxfId="2516" priority="2503" stopIfTrue="1">
      <formula>BK33="0"</formula>
    </cfRule>
  </conditionalFormatting>
  <conditionalFormatting sqref="K33">
    <cfRule type="expression" dxfId="2515" priority="2500" stopIfTrue="1">
      <formula>AND(NOT($C33=""),K33="")</formula>
    </cfRule>
    <cfRule type="expression" dxfId="2514" priority="2501" stopIfTrue="1">
      <formula>BP33="0"</formula>
    </cfRule>
  </conditionalFormatting>
  <conditionalFormatting sqref="L33">
    <cfRule type="expression" dxfId="2513" priority="2498" stopIfTrue="1">
      <formula>AND(NOT($C33=""),L33="")</formula>
    </cfRule>
    <cfRule type="expression" dxfId="2512" priority="2499" stopIfTrue="1">
      <formula>BU33="0"</formula>
    </cfRule>
  </conditionalFormatting>
  <conditionalFormatting sqref="N33">
    <cfRule type="expression" dxfId="2511" priority="2496" stopIfTrue="1">
      <formula>AND(NOT($C33=""),N33="")</formula>
    </cfRule>
    <cfRule type="expression" dxfId="2510" priority="2497" stopIfTrue="1">
      <formula>CE33="0"</formula>
    </cfRule>
  </conditionalFormatting>
  <conditionalFormatting sqref="M33">
    <cfRule type="expression" dxfId="2509" priority="2495" stopIfTrue="1">
      <formula>BZ33="0"</formula>
    </cfRule>
  </conditionalFormatting>
  <conditionalFormatting sqref="D33">
    <cfRule type="expression" dxfId="2508" priority="2493" stopIfTrue="1">
      <formula>AND(NOT($C33=""),D33="")</formula>
    </cfRule>
    <cfRule type="expression" dxfId="2507" priority="2494" stopIfTrue="1">
      <formula>AG33="0"</formula>
    </cfRule>
  </conditionalFormatting>
  <conditionalFormatting sqref="E33">
    <cfRule type="expression" dxfId="2506" priority="2491" stopIfTrue="1">
      <formula>AND(NOT($C33=""),E33="")</formula>
    </cfRule>
    <cfRule type="expression" dxfId="2505" priority="2492" stopIfTrue="1">
      <formula>AL33="0"</formula>
    </cfRule>
  </conditionalFormatting>
  <conditionalFormatting sqref="F33">
    <cfRule type="expression" dxfId="2504" priority="2489" stopIfTrue="1">
      <formula>AND(NOT($C33=""),F33="")</formula>
    </cfRule>
    <cfRule type="expression" dxfId="2503" priority="2490" stopIfTrue="1">
      <formula>AQ33="0"</formula>
    </cfRule>
  </conditionalFormatting>
  <conditionalFormatting sqref="G33">
    <cfRule type="expression" dxfId="2502" priority="2487" stopIfTrue="1">
      <formula>AND(NOT($C33=""),G33="")</formula>
    </cfRule>
    <cfRule type="expression" dxfId="2501" priority="2488" stopIfTrue="1">
      <formula>AV33="0"</formula>
    </cfRule>
  </conditionalFormatting>
  <conditionalFormatting sqref="H33">
    <cfRule type="expression" dxfId="2500" priority="2485" stopIfTrue="1">
      <formula>AND(NOT($C33=""),H33="")</formula>
    </cfRule>
    <cfRule type="expression" dxfId="2499" priority="2486" stopIfTrue="1">
      <formula>BA33="0"</formula>
    </cfRule>
  </conditionalFormatting>
  <conditionalFormatting sqref="I33">
    <cfRule type="expression" dxfId="2498" priority="2483" stopIfTrue="1">
      <formula>AND(NOT($C33=""),I33="")</formula>
    </cfRule>
    <cfRule type="expression" dxfId="2497" priority="2484" stopIfTrue="1">
      <formula>BF33="0"</formula>
    </cfRule>
  </conditionalFormatting>
  <conditionalFormatting sqref="J33">
    <cfRule type="expression" dxfId="2496" priority="2481" stopIfTrue="1">
      <formula>AND(NOT($C33=""),J33="")</formula>
    </cfRule>
    <cfRule type="expression" dxfId="2495" priority="2482" stopIfTrue="1">
      <formula>BK33="0"</formula>
    </cfRule>
  </conditionalFormatting>
  <conditionalFormatting sqref="K33">
    <cfRule type="expression" dxfId="2494" priority="2479" stopIfTrue="1">
      <formula>AND(NOT($C33=""),K33="")</formula>
    </cfRule>
    <cfRule type="expression" dxfId="2493" priority="2480" stopIfTrue="1">
      <formula>BP33="0"</formula>
    </cfRule>
  </conditionalFormatting>
  <conditionalFormatting sqref="L33">
    <cfRule type="expression" dxfId="2492" priority="2477" stopIfTrue="1">
      <formula>AND(NOT($C33=""),L33="")</formula>
    </cfRule>
    <cfRule type="expression" dxfId="2491" priority="2478" stopIfTrue="1">
      <formula>BU33="0"</formula>
    </cfRule>
  </conditionalFormatting>
  <conditionalFormatting sqref="N33">
    <cfRule type="expression" dxfId="2490" priority="2475" stopIfTrue="1">
      <formula>AND(NOT($C33=""),N33="")</formula>
    </cfRule>
    <cfRule type="expression" dxfId="2489" priority="2476" stopIfTrue="1">
      <formula>CE33="0"</formula>
    </cfRule>
  </conditionalFormatting>
  <conditionalFormatting sqref="M33">
    <cfRule type="expression" dxfId="2488" priority="2474" stopIfTrue="1">
      <formula>BZ33="0"</formula>
    </cfRule>
  </conditionalFormatting>
  <conditionalFormatting sqref="D33">
    <cfRule type="expression" dxfId="2487" priority="2472" stopIfTrue="1">
      <formula>AND(NOT($C33=""),D33="")</formula>
    </cfRule>
    <cfRule type="expression" dxfId="2486" priority="2473" stopIfTrue="1">
      <formula>AG33="0"</formula>
    </cfRule>
  </conditionalFormatting>
  <conditionalFormatting sqref="E33">
    <cfRule type="expression" dxfId="2485" priority="2470" stopIfTrue="1">
      <formula>AND(NOT($C33=""),E33="")</formula>
    </cfRule>
    <cfRule type="expression" dxfId="2484" priority="2471" stopIfTrue="1">
      <formula>AL33="0"</formula>
    </cfRule>
  </conditionalFormatting>
  <conditionalFormatting sqref="F33">
    <cfRule type="expression" dxfId="2483" priority="2468" stopIfTrue="1">
      <formula>AND(NOT($C33=""),F33="")</formula>
    </cfRule>
    <cfRule type="expression" dxfId="2482" priority="2469" stopIfTrue="1">
      <formula>AQ33="0"</formula>
    </cfRule>
  </conditionalFormatting>
  <conditionalFormatting sqref="G33">
    <cfRule type="expression" dxfId="2481" priority="2466" stopIfTrue="1">
      <formula>AND(NOT($C33=""),G33="")</formula>
    </cfRule>
    <cfRule type="expression" dxfId="2480" priority="2467" stopIfTrue="1">
      <formula>AV33="0"</formula>
    </cfRule>
  </conditionalFormatting>
  <conditionalFormatting sqref="H33">
    <cfRule type="expression" dxfId="2479" priority="2464" stopIfTrue="1">
      <formula>AND(NOT($C33=""),H33="")</formula>
    </cfRule>
    <cfRule type="expression" dxfId="2478" priority="2465" stopIfTrue="1">
      <formula>BA33="0"</formula>
    </cfRule>
  </conditionalFormatting>
  <conditionalFormatting sqref="I33">
    <cfRule type="expression" dxfId="2477" priority="2462" stopIfTrue="1">
      <formula>AND(NOT($C33=""),I33="")</formula>
    </cfRule>
    <cfRule type="expression" dxfId="2476" priority="2463" stopIfTrue="1">
      <formula>BF33="0"</formula>
    </cfRule>
  </conditionalFormatting>
  <conditionalFormatting sqref="J33">
    <cfRule type="expression" dxfId="2475" priority="2460" stopIfTrue="1">
      <formula>AND(NOT($C33=""),J33="")</formula>
    </cfRule>
    <cfRule type="expression" dxfId="2474" priority="2461" stopIfTrue="1">
      <formula>BK33="0"</formula>
    </cfRule>
  </conditionalFormatting>
  <conditionalFormatting sqref="K33">
    <cfRule type="expression" dxfId="2473" priority="2458" stopIfTrue="1">
      <formula>AND(NOT($C33=""),K33="")</formula>
    </cfRule>
    <cfRule type="expression" dxfId="2472" priority="2459" stopIfTrue="1">
      <formula>BP33="0"</formula>
    </cfRule>
  </conditionalFormatting>
  <conditionalFormatting sqref="L33">
    <cfRule type="expression" dxfId="2471" priority="2456" stopIfTrue="1">
      <formula>AND(NOT($C33=""),L33="")</formula>
    </cfRule>
    <cfRule type="expression" dxfId="2470" priority="2457" stopIfTrue="1">
      <formula>BU33="0"</formula>
    </cfRule>
  </conditionalFormatting>
  <conditionalFormatting sqref="N33">
    <cfRule type="expression" dxfId="2469" priority="2454" stopIfTrue="1">
      <formula>AND(NOT($C33=""),N33="")</formula>
    </cfRule>
    <cfRule type="expression" dxfId="2468" priority="2455" stopIfTrue="1">
      <formula>CE33="0"</formula>
    </cfRule>
  </conditionalFormatting>
  <conditionalFormatting sqref="M33">
    <cfRule type="expression" dxfId="2467" priority="2453" stopIfTrue="1">
      <formula>BZ33="0"</formula>
    </cfRule>
  </conditionalFormatting>
  <conditionalFormatting sqref="D33">
    <cfRule type="expression" dxfId="2466" priority="2451" stopIfTrue="1">
      <formula>AND(NOT($C33=""),D33="")</formula>
    </cfRule>
    <cfRule type="expression" dxfId="2465" priority="2452" stopIfTrue="1">
      <formula>AG33="0"</formula>
    </cfRule>
  </conditionalFormatting>
  <conditionalFormatting sqref="E33">
    <cfRule type="expression" dxfId="2464" priority="2449" stopIfTrue="1">
      <formula>AND(NOT($C33=""),E33="")</formula>
    </cfRule>
    <cfRule type="expression" dxfId="2463" priority="2450" stopIfTrue="1">
      <formula>AL33="0"</formula>
    </cfRule>
  </conditionalFormatting>
  <conditionalFormatting sqref="F33">
    <cfRule type="expression" dxfId="2462" priority="2447" stopIfTrue="1">
      <formula>AND(NOT($C33=""),F33="")</formula>
    </cfRule>
    <cfRule type="expression" dxfId="2461" priority="2448" stopIfTrue="1">
      <formula>AQ33="0"</formula>
    </cfRule>
  </conditionalFormatting>
  <conditionalFormatting sqref="G33">
    <cfRule type="expression" dxfId="2460" priority="2445" stopIfTrue="1">
      <formula>AND(NOT($C33=""),G33="")</formula>
    </cfRule>
    <cfRule type="expression" dxfId="2459" priority="2446" stopIfTrue="1">
      <formula>AV33="0"</formula>
    </cfRule>
  </conditionalFormatting>
  <conditionalFormatting sqref="H33">
    <cfRule type="expression" dxfId="2458" priority="2443" stopIfTrue="1">
      <formula>AND(NOT($C33=""),H33="")</formula>
    </cfRule>
    <cfRule type="expression" dxfId="2457" priority="2444" stopIfTrue="1">
      <formula>BA33="0"</formula>
    </cfRule>
  </conditionalFormatting>
  <conditionalFormatting sqref="I33">
    <cfRule type="expression" dxfId="2456" priority="2441" stopIfTrue="1">
      <formula>AND(NOT($C33=""),I33="")</formula>
    </cfRule>
    <cfRule type="expression" dxfId="2455" priority="2442" stopIfTrue="1">
      <formula>BF33="0"</formula>
    </cfRule>
  </conditionalFormatting>
  <conditionalFormatting sqref="J33">
    <cfRule type="expression" dxfId="2454" priority="2439" stopIfTrue="1">
      <formula>AND(NOT($C33=""),J33="")</formula>
    </cfRule>
    <cfRule type="expression" dxfId="2453" priority="2440" stopIfTrue="1">
      <formula>BK33="0"</formula>
    </cfRule>
  </conditionalFormatting>
  <conditionalFormatting sqref="K33">
    <cfRule type="expression" dxfId="2452" priority="2437" stopIfTrue="1">
      <formula>AND(NOT($C33=""),K33="")</formula>
    </cfRule>
    <cfRule type="expression" dxfId="2451" priority="2438" stopIfTrue="1">
      <formula>BP33="0"</formula>
    </cfRule>
  </conditionalFormatting>
  <conditionalFormatting sqref="L33">
    <cfRule type="expression" dxfId="2450" priority="2435" stopIfTrue="1">
      <formula>AND(NOT($C33=""),L33="")</formula>
    </cfRule>
    <cfRule type="expression" dxfId="2449" priority="2436" stopIfTrue="1">
      <formula>BU33="0"</formula>
    </cfRule>
  </conditionalFormatting>
  <conditionalFormatting sqref="N33">
    <cfRule type="expression" dxfId="2448" priority="2433" stopIfTrue="1">
      <formula>AND(NOT($C33=""),N33="")</formula>
    </cfRule>
    <cfRule type="expression" dxfId="2447" priority="2434" stopIfTrue="1">
      <formula>CE33="0"</formula>
    </cfRule>
  </conditionalFormatting>
  <conditionalFormatting sqref="M33">
    <cfRule type="expression" dxfId="2446" priority="2432" stopIfTrue="1">
      <formula>BZ33="0"</formula>
    </cfRule>
  </conditionalFormatting>
  <conditionalFormatting sqref="D33">
    <cfRule type="expression" dxfId="2445" priority="2430" stopIfTrue="1">
      <formula>AND(NOT($C33=""),D33="")</formula>
    </cfRule>
    <cfRule type="expression" dxfId="2444" priority="2431" stopIfTrue="1">
      <formula>AG33="0"</formula>
    </cfRule>
  </conditionalFormatting>
  <conditionalFormatting sqref="E33">
    <cfRule type="expression" dxfId="2443" priority="2428" stopIfTrue="1">
      <formula>AND(NOT($C33=""),E33="")</formula>
    </cfRule>
    <cfRule type="expression" dxfId="2442" priority="2429" stopIfTrue="1">
      <formula>AL33="0"</formula>
    </cfRule>
  </conditionalFormatting>
  <conditionalFormatting sqref="F33">
    <cfRule type="expression" dxfId="2441" priority="2426" stopIfTrue="1">
      <formula>AND(NOT($C33=""),F33="")</formula>
    </cfRule>
    <cfRule type="expression" dxfId="2440" priority="2427" stopIfTrue="1">
      <formula>AQ33="0"</formula>
    </cfRule>
  </conditionalFormatting>
  <conditionalFormatting sqref="G33">
    <cfRule type="expression" dxfId="2439" priority="2424" stopIfTrue="1">
      <formula>AND(NOT($C33=""),G33="")</formula>
    </cfRule>
    <cfRule type="expression" dxfId="2438" priority="2425" stopIfTrue="1">
      <formula>AV33="0"</formula>
    </cfRule>
  </conditionalFormatting>
  <conditionalFormatting sqref="H33">
    <cfRule type="expression" dxfId="2437" priority="2422" stopIfTrue="1">
      <formula>AND(NOT($C33=""),H33="")</formula>
    </cfRule>
    <cfRule type="expression" dxfId="2436" priority="2423" stopIfTrue="1">
      <formula>BA33="0"</formula>
    </cfRule>
  </conditionalFormatting>
  <conditionalFormatting sqref="I33">
    <cfRule type="expression" dxfId="2435" priority="2420" stopIfTrue="1">
      <formula>AND(NOT($C33=""),I33="")</formula>
    </cfRule>
    <cfRule type="expression" dxfId="2434" priority="2421" stopIfTrue="1">
      <formula>BF33="0"</formula>
    </cfRule>
  </conditionalFormatting>
  <conditionalFormatting sqref="J33">
    <cfRule type="expression" dxfId="2433" priority="2418" stopIfTrue="1">
      <formula>AND(NOT($C33=""),J33="")</formula>
    </cfRule>
    <cfRule type="expression" dxfId="2432" priority="2419" stopIfTrue="1">
      <formula>BK33="0"</formula>
    </cfRule>
  </conditionalFormatting>
  <conditionalFormatting sqref="K33">
    <cfRule type="expression" dxfId="2431" priority="2416" stopIfTrue="1">
      <formula>AND(NOT($C33=""),K33="")</formula>
    </cfRule>
    <cfRule type="expression" dxfId="2430" priority="2417" stopIfTrue="1">
      <formula>BP33="0"</formula>
    </cfRule>
  </conditionalFormatting>
  <conditionalFormatting sqref="L33">
    <cfRule type="expression" dxfId="2429" priority="2414" stopIfTrue="1">
      <formula>AND(NOT($C33=""),L33="")</formula>
    </cfRule>
    <cfRule type="expression" dxfId="2428" priority="2415" stopIfTrue="1">
      <formula>BU33="0"</formula>
    </cfRule>
  </conditionalFormatting>
  <conditionalFormatting sqref="N33">
    <cfRule type="expression" dxfId="2427" priority="2412" stopIfTrue="1">
      <formula>AND(NOT($C33=""),N33="")</formula>
    </cfRule>
    <cfRule type="expression" dxfId="2426" priority="2413" stopIfTrue="1">
      <formula>CE33="0"</formula>
    </cfRule>
  </conditionalFormatting>
  <conditionalFormatting sqref="M33">
    <cfRule type="expression" dxfId="2425" priority="2411" stopIfTrue="1">
      <formula>BZ33="0"</formula>
    </cfRule>
  </conditionalFormatting>
  <conditionalFormatting sqref="D33">
    <cfRule type="expression" dxfId="2424" priority="2409" stopIfTrue="1">
      <formula>AND(NOT($C33=""),D33="")</formula>
    </cfRule>
    <cfRule type="expression" dxfId="2423" priority="2410" stopIfTrue="1">
      <formula>AG33="0"</formula>
    </cfRule>
  </conditionalFormatting>
  <conditionalFormatting sqref="E33">
    <cfRule type="expression" dxfId="2422" priority="2407" stopIfTrue="1">
      <formula>AND(NOT($C33=""),E33="")</formula>
    </cfRule>
    <cfRule type="expression" dxfId="2421" priority="2408" stopIfTrue="1">
      <formula>AL33="0"</formula>
    </cfRule>
  </conditionalFormatting>
  <conditionalFormatting sqref="F33">
    <cfRule type="expression" dxfId="2420" priority="2405" stopIfTrue="1">
      <formula>AND(NOT($C33=""),F33="")</formula>
    </cfRule>
    <cfRule type="expression" dxfId="2419" priority="2406" stopIfTrue="1">
      <formula>AQ33="0"</formula>
    </cfRule>
  </conditionalFormatting>
  <conditionalFormatting sqref="G33">
    <cfRule type="expression" dxfId="2418" priority="2403" stopIfTrue="1">
      <formula>AND(NOT($C33=""),G33="")</formula>
    </cfRule>
    <cfRule type="expression" dxfId="2417" priority="2404" stopIfTrue="1">
      <formula>AV33="0"</formula>
    </cfRule>
  </conditionalFormatting>
  <conditionalFormatting sqref="H33">
    <cfRule type="expression" dxfId="2416" priority="2401" stopIfTrue="1">
      <formula>AND(NOT($C33=""),H33="")</formula>
    </cfRule>
    <cfRule type="expression" dxfId="2415" priority="2402" stopIfTrue="1">
      <formula>BA33="0"</formula>
    </cfRule>
  </conditionalFormatting>
  <conditionalFormatting sqref="I33">
    <cfRule type="expression" dxfId="2414" priority="2399" stopIfTrue="1">
      <formula>AND(NOT($C33=""),I33="")</formula>
    </cfRule>
    <cfRule type="expression" dxfId="2413" priority="2400" stopIfTrue="1">
      <formula>BF33="0"</formula>
    </cfRule>
  </conditionalFormatting>
  <conditionalFormatting sqref="J33">
    <cfRule type="expression" dxfId="2412" priority="2397" stopIfTrue="1">
      <formula>AND(NOT($C33=""),J33="")</formula>
    </cfRule>
    <cfRule type="expression" dxfId="2411" priority="2398" stopIfTrue="1">
      <formula>BK33="0"</formula>
    </cfRule>
  </conditionalFormatting>
  <conditionalFormatting sqref="K33">
    <cfRule type="expression" dxfId="2410" priority="2395" stopIfTrue="1">
      <formula>AND(NOT($C33=""),K33="")</formula>
    </cfRule>
    <cfRule type="expression" dxfId="2409" priority="2396" stopIfTrue="1">
      <formula>BP33="0"</formula>
    </cfRule>
  </conditionalFormatting>
  <conditionalFormatting sqref="L33">
    <cfRule type="expression" dxfId="2408" priority="2393" stopIfTrue="1">
      <formula>AND(NOT($C33=""),L33="")</formula>
    </cfRule>
    <cfRule type="expression" dxfId="2407" priority="2394" stopIfTrue="1">
      <formula>BU33="0"</formula>
    </cfRule>
  </conditionalFormatting>
  <conditionalFormatting sqref="N33">
    <cfRule type="expression" dxfId="2406" priority="2391" stopIfTrue="1">
      <formula>AND(NOT($C33=""),N33="")</formula>
    </cfRule>
    <cfRule type="expression" dxfId="2405" priority="2392" stopIfTrue="1">
      <formula>CE33="0"</formula>
    </cfRule>
  </conditionalFormatting>
  <conditionalFormatting sqref="M33">
    <cfRule type="expression" dxfId="2404" priority="2390" stopIfTrue="1">
      <formula>BZ33="0"</formula>
    </cfRule>
  </conditionalFormatting>
  <conditionalFormatting sqref="D33">
    <cfRule type="expression" dxfId="2403" priority="2388" stopIfTrue="1">
      <formula>AND(NOT($C33=""),D33="")</formula>
    </cfRule>
    <cfRule type="expression" dxfId="2402" priority="2389" stopIfTrue="1">
      <formula>AG33="0"</formula>
    </cfRule>
  </conditionalFormatting>
  <conditionalFormatting sqref="E33">
    <cfRule type="expression" dxfId="2401" priority="2386" stopIfTrue="1">
      <formula>AND(NOT($C33=""),E33="")</formula>
    </cfRule>
    <cfRule type="expression" dxfId="2400" priority="2387" stopIfTrue="1">
      <formula>AL33="0"</formula>
    </cfRule>
  </conditionalFormatting>
  <conditionalFormatting sqref="F33">
    <cfRule type="expression" dxfId="2399" priority="2384" stopIfTrue="1">
      <formula>AND(NOT($C33=""),F33="")</formula>
    </cfRule>
    <cfRule type="expression" dxfId="2398" priority="2385" stopIfTrue="1">
      <formula>AQ33="0"</formula>
    </cfRule>
  </conditionalFormatting>
  <conditionalFormatting sqref="G33">
    <cfRule type="expression" dxfId="2397" priority="2382" stopIfTrue="1">
      <formula>AND(NOT($C33=""),G33="")</formula>
    </cfRule>
    <cfRule type="expression" dxfId="2396" priority="2383" stopIfTrue="1">
      <formula>AV33="0"</formula>
    </cfRule>
  </conditionalFormatting>
  <conditionalFormatting sqref="H33">
    <cfRule type="expression" dxfId="2395" priority="2380" stopIfTrue="1">
      <formula>AND(NOT($C33=""),H33="")</formula>
    </cfRule>
    <cfRule type="expression" dxfId="2394" priority="2381" stopIfTrue="1">
      <formula>BA33="0"</formula>
    </cfRule>
  </conditionalFormatting>
  <conditionalFormatting sqref="I33">
    <cfRule type="expression" dxfId="2393" priority="2378" stopIfTrue="1">
      <formula>AND(NOT($C33=""),I33="")</formula>
    </cfRule>
    <cfRule type="expression" dxfId="2392" priority="2379" stopIfTrue="1">
      <formula>BF33="0"</formula>
    </cfRule>
  </conditionalFormatting>
  <conditionalFormatting sqref="J33">
    <cfRule type="expression" dxfId="2391" priority="2376" stopIfTrue="1">
      <formula>AND(NOT($C33=""),J33="")</formula>
    </cfRule>
    <cfRule type="expression" dxfId="2390" priority="2377" stopIfTrue="1">
      <formula>BK33="0"</formula>
    </cfRule>
  </conditionalFormatting>
  <conditionalFormatting sqref="K33">
    <cfRule type="expression" dxfId="2389" priority="2374" stopIfTrue="1">
      <formula>AND(NOT($C33=""),K33="")</formula>
    </cfRule>
    <cfRule type="expression" dxfId="2388" priority="2375" stopIfTrue="1">
      <formula>BP33="0"</formula>
    </cfRule>
  </conditionalFormatting>
  <conditionalFormatting sqref="L33">
    <cfRule type="expression" dxfId="2387" priority="2372" stopIfTrue="1">
      <formula>AND(NOT($C33=""),L33="")</formula>
    </cfRule>
    <cfRule type="expression" dxfId="2386" priority="2373" stopIfTrue="1">
      <formula>BU33="0"</formula>
    </cfRule>
  </conditionalFormatting>
  <conditionalFormatting sqref="N33">
    <cfRule type="expression" dxfId="2385" priority="2370" stopIfTrue="1">
      <formula>AND(NOT($C33=""),N33="")</formula>
    </cfRule>
    <cfRule type="expression" dxfId="2384" priority="2371" stopIfTrue="1">
      <formula>CE33="0"</formula>
    </cfRule>
  </conditionalFormatting>
  <conditionalFormatting sqref="M35">
    <cfRule type="expression" dxfId="2383" priority="2369" stopIfTrue="1">
      <formula>BZ35="0"</formula>
    </cfRule>
  </conditionalFormatting>
  <conditionalFormatting sqref="E35">
    <cfRule type="expression" dxfId="2382" priority="2367" stopIfTrue="1">
      <formula>AND(NOT($C35=""),E35="")</formula>
    </cfRule>
    <cfRule type="expression" dxfId="2381" priority="2368" stopIfTrue="1">
      <formula>AL35="0"</formula>
    </cfRule>
  </conditionalFormatting>
  <conditionalFormatting sqref="F35">
    <cfRule type="expression" dxfId="2380" priority="2365" stopIfTrue="1">
      <formula>AND(NOT($C35=""),F35="")</formula>
    </cfRule>
    <cfRule type="expression" dxfId="2379" priority="2366" stopIfTrue="1">
      <formula>AQ35="0"</formula>
    </cfRule>
  </conditionalFormatting>
  <conditionalFormatting sqref="G35">
    <cfRule type="expression" dxfId="2378" priority="2363" stopIfTrue="1">
      <formula>AND(NOT($C35=""),G35="")</formula>
    </cfRule>
    <cfRule type="expression" dxfId="2377" priority="2364" stopIfTrue="1">
      <formula>AV35="0"</formula>
    </cfRule>
  </conditionalFormatting>
  <conditionalFormatting sqref="H35">
    <cfRule type="expression" dxfId="2376" priority="2361" stopIfTrue="1">
      <formula>AND(NOT($C35=""),H35="")</formula>
    </cfRule>
    <cfRule type="expression" dxfId="2375" priority="2362" stopIfTrue="1">
      <formula>BA35="0"</formula>
    </cfRule>
  </conditionalFormatting>
  <conditionalFormatting sqref="I35">
    <cfRule type="expression" dxfId="2374" priority="2359" stopIfTrue="1">
      <formula>AND(NOT($C35=""),I35="")</formula>
    </cfRule>
    <cfRule type="expression" dxfId="2373" priority="2360" stopIfTrue="1">
      <formula>BF35="0"</formula>
    </cfRule>
  </conditionalFormatting>
  <conditionalFormatting sqref="J35">
    <cfRule type="expression" dxfId="2372" priority="2357" stopIfTrue="1">
      <formula>AND(NOT($C35=""),J35="")</formula>
    </cfRule>
    <cfRule type="expression" dxfId="2371" priority="2358" stopIfTrue="1">
      <formula>BK35="0"</formula>
    </cfRule>
  </conditionalFormatting>
  <conditionalFormatting sqref="K35">
    <cfRule type="expression" dxfId="2370" priority="2355" stopIfTrue="1">
      <formula>AND(NOT($C35=""),K35="")</formula>
    </cfRule>
    <cfRule type="expression" dxfId="2369" priority="2356" stopIfTrue="1">
      <formula>BP35="0"</formula>
    </cfRule>
  </conditionalFormatting>
  <conditionalFormatting sqref="L35">
    <cfRule type="expression" dxfId="2368" priority="2353" stopIfTrue="1">
      <formula>AND(NOT($C35=""),L35="")</formula>
    </cfRule>
    <cfRule type="expression" dxfId="2367" priority="2354" stopIfTrue="1">
      <formula>BU35="0"</formula>
    </cfRule>
  </conditionalFormatting>
  <conditionalFormatting sqref="N35">
    <cfRule type="expression" dxfId="2366" priority="2351" stopIfTrue="1">
      <formula>AND(NOT($C35=""),N35="")</formula>
    </cfRule>
    <cfRule type="expression" dxfId="2365" priority="2352" stopIfTrue="1">
      <formula>CE35="0"</formula>
    </cfRule>
  </conditionalFormatting>
  <conditionalFormatting sqref="M35">
    <cfRule type="expression" dxfId="2364" priority="2350" stopIfTrue="1">
      <formula>BZ35="0"</formula>
    </cfRule>
  </conditionalFormatting>
  <conditionalFormatting sqref="D35">
    <cfRule type="expression" dxfId="2363" priority="2348" stopIfTrue="1">
      <formula>AND(NOT($C35=""),D35="")</formula>
    </cfRule>
    <cfRule type="expression" dxfId="2362" priority="2349" stopIfTrue="1">
      <formula>AG35="0"</formula>
    </cfRule>
  </conditionalFormatting>
  <conditionalFormatting sqref="E35">
    <cfRule type="expression" dxfId="2361" priority="2346" stopIfTrue="1">
      <formula>AND(NOT($C35=""),E35="")</formula>
    </cfRule>
    <cfRule type="expression" dxfId="2360" priority="2347" stopIfTrue="1">
      <formula>AL35="0"</formula>
    </cfRule>
  </conditionalFormatting>
  <conditionalFormatting sqref="F35">
    <cfRule type="expression" dxfId="2359" priority="2344" stopIfTrue="1">
      <formula>AND(NOT($C35=""),F35="")</formula>
    </cfRule>
    <cfRule type="expression" dxfId="2358" priority="2345" stopIfTrue="1">
      <formula>AQ35="0"</formula>
    </cfRule>
  </conditionalFormatting>
  <conditionalFormatting sqref="G35">
    <cfRule type="expression" dxfId="2357" priority="2342" stopIfTrue="1">
      <formula>AND(NOT($C35=""),G35="")</formula>
    </cfRule>
    <cfRule type="expression" dxfId="2356" priority="2343" stopIfTrue="1">
      <formula>AV35="0"</formula>
    </cfRule>
  </conditionalFormatting>
  <conditionalFormatting sqref="H35">
    <cfRule type="expression" dxfId="2355" priority="2340" stopIfTrue="1">
      <formula>AND(NOT($C35=""),H35="")</formula>
    </cfRule>
    <cfRule type="expression" dxfId="2354" priority="2341" stopIfTrue="1">
      <formula>BA35="0"</formula>
    </cfRule>
  </conditionalFormatting>
  <conditionalFormatting sqref="I35">
    <cfRule type="expression" dxfId="2353" priority="2338" stopIfTrue="1">
      <formula>AND(NOT($C35=""),I35="")</formula>
    </cfRule>
    <cfRule type="expression" dxfId="2352" priority="2339" stopIfTrue="1">
      <formula>BF35="0"</formula>
    </cfRule>
  </conditionalFormatting>
  <conditionalFormatting sqref="J35">
    <cfRule type="expression" dxfId="2351" priority="2336" stopIfTrue="1">
      <formula>AND(NOT($C35=""),J35="")</formula>
    </cfRule>
    <cfRule type="expression" dxfId="2350" priority="2337" stopIfTrue="1">
      <formula>BK35="0"</formula>
    </cfRule>
  </conditionalFormatting>
  <conditionalFormatting sqref="K35">
    <cfRule type="expression" dxfId="2349" priority="2334" stopIfTrue="1">
      <formula>AND(NOT($C35=""),K35="")</formula>
    </cfRule>
    <cfRule type="expression" dxfId="2348" priority="2335" stopIfTrue="1">
      <formula>BP35="0"</formula>
    </cfRule>
  </conditionalFormatting>
  <conditionalFormatting sqref="L35">
    <cfRule type="expression" dxfId="2347" priority="2332" stopIfTrue="1">
      <formula>AND(NOT($C35=""),L35="")</formula>
    </cfRule>
    <cfRule type="expression" dxfId="2346" priority="2333" stopIfTrue="1">
      <formula>BU35="0"</formula>
    </cfRule>
  </conditionalFormatting>
  <conditionalFormatting sqref="N35">
    <cfRule type="expression" dxfId="2345" priority="2330" stopIfTrue="1">
      <formula>AND(NOT($C35=""),N35="")</formula>
    </cfRule>
    <cfRule type="expression" dxfId="2344" priority="2331" stopIfTrue="1">
      <formula>CE35="0"</formula>
    </cfRule>
  </conditionalFormatting>
  <conditionalFormatting sqref="M35">
    <cfRule type="expression" dxfId="2343" priority="2329" stopIfTrue="1">
      <formula>BZ35="0"</formula>
    </cfRule>
  </conditionalFormatting>
  <conditionalFormatting sqref="D35">
    <cfRule type="expression" dxfId="2342" priority="2327" stopIfTrue="1">
      <formula>AND(NOT($C35=""),D35="")</formula>
    </cfRule>
    <cfRule type="expression" dxfId="2341" priority="2328" stopIfTrue="1">
      <formula>AG35="0"</formula>
    </cfRule>
  </conditionalFormatting>
  <conditionalFormatting sqref="E35">
    <cfRule type="expression" dxfId="2340" priority="2325" stopIfTrue="1">
      <formula>AND(NOT($C35=""),E35="")</formula>
    </cfRule>
    <cfRule type="expression" dxfId="2339" priority="2326" stopIfTrue="1">
      <formula>AL35="0"</formula>
    </cfRule>
  </conditionalFormatting>
  <conditionalFormatting sqref="F35">
    <cfRule type="expression" dxfId="2338" priority="2323" stopIfTrue="1">
      <formula>AND(NOT($C35=""),F35="")</formula>
    </cfRule>
    <cfRule type="expression" dxfId="2337" priority="2324" stopIfTrue="1">
      <formula>AQ35="0"</formula>
    </cfRule>
  </conditionalFormatting>
  <conditionalFormatting sqref="G35">
    <cfRule type="expression" dxfId="2336" priority="2321" stopIfTrue="1">
      <formula>AND(NOT($C35=""),G35="")</formula>
    </cfRule>
    <cfRule type="expression" dxfId="2335" priority="2322" stopIfTrue="1">
      <formula>AV35="0"</formula>
    </cfRule>
  </conditionalFormatting>
  <conditionalFormatting sqref="H35">
    <cfRule type="expression" dxfId="2334" priority="2319" stopIfTrue="1">
      <formula>AND(NOT($C35=""),H35="")</formula>
    </cfRule>
    <cfRule type="expression" dxfId="2333" priority="2320" stopIfTrue="1">
      <formula>BA35="0"</formula>
    </cfRule>
  </conditionalFormatting>
  <conditionalFormatting sqref="I35">
    <cfRule type="expression" dxfId="2332" priority="2317" stopIfTrue="1">
      <formula>AND(NOT($C35=""),I35="")</formula>
    </cfRule>
    <cfRule type="expression" dxfId="2331" priority="2318" stopIfTrue="1">
      <formula>BF35="0"</formula>
    </cfRule>
  </conditionalFormatting>
  <conditionalFormatting sqref="J35">
    <cfRule type="expression" dxfId="2330" priority="2315" stopIfTrue="1">
      <formula>AND(NOT($C35=""),J35="")</formula>
    </cfRule>
    <cfRule type="expression" dxfId="2329" priority="2316" stopIfTrue="1">
      <formula>BK35="0"</formula>
    </cfRule>
  </conditionalFormatting>
  <conditionalFormatting sqref="K35">
    <cfRule type="expression" dxfId="2328" priority="2313" stopIfTrue="1">
      <formula>AND(NOT($C35=""),K35="")</formula>
    </cfRule>
    <cfRule type="expression" dxfId="2327" priority="2314" stopIfTrue="1">
      <formula>BP35="0"</formula>
    </cfRule>
  </conditionalFormatting>
  <conditionalFormatting sqref="L35">
    <cfRule type="expression" dxfId="2326" priority="2311" stopIfTrue="1">
      <formula>AND(NOT($C35=""),L35="")</formula>
    </cfRule>
    <cfRule type="expression" dxfId="2325" priority="2312" stopIfTrue="1">
      <formula>BU35="0"</formula>
    </cfRule>
  </conditionalFormatting>
  <conditionalFormatting sqref="N35">
    <cfRule type="expression" dxfId="2324" priority="2309" stopIfTrue="1">
      <formula>AND(NOT($C35=""),N35="")</formula>
    </cfRule>
    <cfRule type="expression" dxfId="2323" priority="2310" stopIfTrue="1">
      <formula>CE35="0"</formula>
    </cfRule>
  </conditionalFormatting>
  <conditionalFormatting sqref="M35">
    <cfRule type="expression" dxfId="2322" priority="2308" stopIfTrue="1">
      <formula>BZ35="0"</formula>
    </cfRule>
  </conditionalFormatting>
  <conditionalFormatting sqref="D35">
    <cfRule type="expression" dxfId="2321" priority="2306" stopIfTrue="1">
      <formula>AND(NOT($C35=""),D35="")</formula>
    </cfRule>
    <cfRule type="expression" dxfId="2320" priority="2307" stopIfTrue="1">
      <formula>AG35="0"</formula>
    </cfRule>
  </conditionalFormatting>
  <conditionalFormatting sqref="E35">
    <cfRule type="expression" dxfId="2319" priority="2304" stopIfTrue="1">
      <formula>AND(NOT($C35=""),E35="")</formula>
    </cfRule>
    <cfRule type="expression" dxfId="2318" priority="2305" stopIfTrue="1">
      <formula>AL35="0"</formula>
    </cfRule>
  </conditionalFormatting>
  <conditionalFormatting sqref="F35">
    <cfRule type="expression" dxfId="2317" priority="2302" stopIfTrue="1">
      <formula>AND(NOT($C35=""),F35="")</formula>
    </cfRule>
    <cfRule type="expression" dxfId="2316" priority="2303" stopIfTrue="1">
      <formula>AQ35="0"</formula>
    </cfRule>
  </conditionalFormatting>
  <conditionalFormatting sqref="G35">
    <cfRule type="expression" dxfId="2315" priority="2300" stopIfTrue="1">
      <formula>AND(NOT($C35=""),G35="")</formula>
    </cfRule>
    <cfRule type="expression" dxfId="2314" priority="2301" stopIfTrue="1">
      <formula>AV35="0"</formula>
    </cfRule>
  </conditionalFormatting>
  <conditionalFormatting sqref="H35">
    <cfRule type="expression" dxfId="2313" priority="2298" stopIfTrue="1">
      <formula>AND(NOT($C35=""),H35="")</formula>
    </cfRule>
    <cfRule type="expression" dxfId="2312" priority="2299" stopIfTrue="1">
      <formula>BA35="0"</formula>
    </cfRule>
  </conditionalFormatting>
  <conditionalFormatting sqref="I35">
    <cfRule type="expression" dxfId="2311" priority="2296" stopIfTrue="1">
      <formula>AND(NOT($C35=""),I35="")</formula>
    </cfRule>
    <cfRule type="expression" dxfId="2310" priority="2297" stopIfTrue="1">
      <formula>BF35="0"</formula>
    </cfRule>
  </conditionalFormatting>
  <conditionalFormatting sqref="J35">
    <cfRule type="expression" dxfId="2309" priority="2294" stopIfTrue="1">
      <formula>AND(NOT($C35=""),J35="")</formula>
    </cfRule>
    <cfRule type="expression" dxfId="2308" priority="2295" stopIfTrue="1">
      <formula>BK35="0"</formula>
    </cfRule>
  </conditionalFormatting>
  <conditionalFormatting sqref="K35">
    <cfRule type="expression" dxfId="2307" priority="2292" stopIfTrue="1">
      <formula>AND(NOT($C35=""),K35="")</formula>
    </cfRule>
    <cfRule type="expression" dxfId="2306" priority="2293" stopIfTrue="1">
      <formula>BP35="0"</formula>
    </cfRule>
  </conditionalFormatting>
  <conditionalFormatting sqref="L35">
    <cfRule type="expression" dxfId="2305" priority="2290" stopIfTrue="1">
      <formula>AND(NOT($C35=""),L35="")</formula>
    </cfRule>
    <cfRule type="expression" dxfId="2304" priority="2291" stopIfTrue="1">
      <formula>BU35="0"</formula>
    </cfRule>
  </conditionalFormatting>
  <conditionalFormatting sqref="N35">
    <cfRule type="expression" dxfId="2303" priority="2288" stopIfTrue="1">
      <formula>AND(NOT($C35=""),N35="")</formula>
    </cfRule>
    <cfRule type="expression" dxfId="2302" priority="2289" stopIfTrue="1">
      <formula>CE35="0"</formula>
    </cfRule>
  </conditionalFormatting>
  <conditionalFormatting sqref="M35">
    <cfRule type="expression" dxfId="2301" priority="2287" stopIfTrue="1">
      <formula>BZ35="0"</formula>
    </cfRule>
  </conditionalFormatting>
  <conditionalFormatting sqref="D35">
    <cfRule type="expression" dxfId="2300" priority="2285" stopIfTrue="1">
      <formula>AND(NOT($C35=""),D35="")</formula>
    </cfRule>
    <cfRule type="expression" dxfId="2299" priority="2286" stopIfTrue="1">
      <formula>AG35="0"</formula>
    </cfRule>
  </conditionalFormatting>
  <conditionalFormatting sqref="E35">
    <cfRule type="expression" dxfId="2298" priority="2283" stopIfTrue="1">
      <formula>AND(NOT($C35=""),E35="")</formula>
    </cfRule>
    <cfRule type="expression" dxfId="2297" priority="2284" stopIfTrue="1">
      <formula>AL35="0"</formula>
    </cfRule>
  </conditionalFormatting>
  <conditionalFormatting sqref="F35">
    <cfRule type="expression" dxfId="2296" priority="2281" stopIfTrue="1">
      <formula>AND(NOT($C35=""),F35="")</formula>
    </cfRule>
    <cfRule type="expression" dxfId="2295" priority="2282" stopIfTrue="1">
      <formula>AQ35="0"</formula>
    </cfRule>
  </conditionalFormatting>
  <conditionalFormatting sqref="G35">
    <cfRule type="expression" dxfId="2294" priority="2279" stopIfTrue="1">
      <formula>AND(NOT($C35=""),G35="")</formula>
    </cfRule>
    <cfRule type="expression" dxfId="2293" priority="2280" stopIfTrue="1">
      <formula>AV35="0"</formula>
    </cfRule>
  </conditionalFormatting>
  <conditionalFormatting sqref="H35">
    <cfRule type="expression" dxfId="2292" priority="2277" stopIfTrue="1">
      <formula>AND(NOT($C35=""),H35="")</formula>
    </cfRule>
    <cfRule type="expression" dxfId="2291" priority="2278" stopIfTrue="1">
      <formula>BA35="0"</formula>
    </cfRule>
  </conditionalFormatting>
  <conditionalFormatting sqref="I35">
    <cfRule type="expression" dxfId="2290" priority="2275" stopIfTrue="1">
      <formula>AND(NOT($C35=""),I35="")</formula>
    </cfRule>
    <cfRule type="expression" dxfId="2289" priority="2276" stopIfTrue="1">
      <formula>BF35="0"</formula>
    </cfRule>
  </conditionalFormatting>
  <conditionalFormatting sqref="J35">
    <cfRule type="expression" dxfId="2288" priority="2273" stopIfTrue="1">
      <formula>AND(NOT($C35=""),J35="")</formula>
    </cfRule>
    <cfRule type="expression" dxfId="2287" priority="2274" stopIfTrue="1">
      <formula>BK35="0"</formula>
    </cfRule>
  </conditionalFormatting>
  <conditionalFormatting sqref="K35">
    <cfRule type="expression" dxfId="2286" priority="2271" stopIfTrue="1">
      <formula>AND(NOT($C35=""),K35="")</formula>
    </cfRule>
    <cfRule type="expression" dxfId="2285" priority="2272" stopIfTrue="1">
      <formula>BP35="0"</formula>
    </cfRule>
  </conditionalFormatting>
  <conditionalFormatting sqref="L35">
    <cfRule type="expression" dxfId="2284" priority="2269" stopIfTrue="1">
      <formula>AND(NOT($C35=""),L35="")</formula>
    </cfRule>
    <cfRule type="expression" dxfId="2283" priority="2270" stopIfTrue="1">
      <formula>BU35="0"</formula>
    </cfRule>
  </conditionalFormatting>
  <conditionalFormatting sqref="N35">
    <cfRule type="expression" dxfId="2282" priority="2267" stopIfTrue="1">
      <formula>AND(NOT($C35=""),N35="")</formula>
    </cfRule>
    <cfRule type="expression" dxfId="2281" priority="2268" stopIfTrue="1">
      <formula>CE35="0"</formula>
    </cfRule>
  </conditionalFormatting>
  <conditionalFormatting sqref="M35">
    <cfRule type="expression" dxfId="2280" priority="2266" stopIfTrue="1">
      <formula>BZ35="0"</formula>
    </cfRule>
  </conditionalFormatting>
  <conditionalFormatting sqref="E35">
    <cfRule type="expression" dxfId="2279" priority="2264" stopIfTrue="1">
      <formula>AND(NOT($C35=""),E35="")</formula>
    </cfRule>
    <cfRule type="expression" dxfId="2278" priority="2265" stopIfTrue="1">
      <formula>AL35="0"</formula>
    </cfRule>
  </conditionalFormatting>
  <conditionalFormatting sqref="F35">
    <cfRule type="expression" dxfId="2277" priority="2262" stopIfTrue="1">
      <formula>AND(NOT($C35=""),F35="")</formula>
    </cfRule>
    <cfRule type="expression" dxfId="2276" priority="2263" stopIfTrue="1">
      <formula>AQ35="0"</formula>
    </cfRule>
  </conditionalFormatting>
  <conditionalFormatting sqref="G35">
    <cfRule type="expression" dxfId="2275" priority="2260" stopIfTrue="1">
      <formula>AND(NOT($C35=""),G35="")</formula>
    </cfRule>
    <cfRule type="expression" dxfId="2274" priority="2261" stopIfTrue="1">
      <formula>AV35="0"</formula>
    </cfRule>
  </conditionalFormatting>
  <conditionalFormatting sqref="H35">
    <cfRule type="expression" dxfId="2273" priority="2258" stopIfTrue="1">
      <formula>AND(NOT($C35=""),H35="")</formula>
    </cfRule>
    <cfRule type="expression" dxfId="2272" priority="2259" stopIfTrue="1">
      <formula>BA35="0"</formula>
    </cfRule>
  </conditionalFormatting>
  <conditionalFormatting sqref="I35">
    <cfRule type="expression" dxfId="2271" priority="2256" stopIfTrue="1">
      <formula>AND(NOT($C35=""),I35="")</formula>
    </cfRule>
    <cfRule type="expression" dxfId="2270" priority="2257" stopIfTrue="1">
      <formula>BF35="0"</formula>
    </cfRule>
  </conditionalFormatting>
  <conditionalFormatting sqref="J35">
    <cfRule type="expression" dxfId="2269" priority="2254" stopIfTrue="1">
      <formula>AND(NOT($C35=""),J35="")</formula>
    </cfRule>
    <cfRule type="expression" dxfId="2268" priority="2255" stopIfTrue="1">
      <formula>BK35="0"</formula>
    </cfRule>
  </conditionalFormatting>
  <conditionalFormatting sqref="K35">
    <cfRule type="expression" dxfId="2267" priority="2252" stopIfTrue="1">
      <formula>AND(NOT($C35=""),K35="")</formula>
    </cfRule>
    <cfRule type="expression" dxfId="2266" priority="2253" stopIfTrue="1">
      <formula>BP35="0"</formula>
    </cfRule>
  </conditionalFormatting>
  <conditionalFormatting sqref="L35">
    <cfRule type="expression" dxfId="2265" priority="2250" stopIfTrue="1">
      <formula>AND(NOT($C35=""),L35="")</formula>
    </cfRule>
    <cfRule type="expression" dxfId="2264" priority="2251" stopIfTrue="1">
      <formula>BU35="0"</formula>
    </cfRule>
  </conditionalFormatting>
  <conditionalFormatting sqref="N35">
    <cfRule type="expression" dxfId="2263" priority="2248" stopIfTrue="1">
      <formula>AND(NOT($C35=""),N35="")</formula>
    </cfRule>
    <cfRule type="expression" dxfId="2262" priority="2249" stopIfTrue="1">
      <formula>CE35="0"</formula>
    </cfRule>
  </conditionalFormatting>
  <conditionalFormatting sqref="M35">
    <cfRule type="expression" dxfId="2261" priority="2247" stopIfTrue="1">
      <formula>BZ35="0"</formula>
    </cfRule>
  </conditionalFormatting>
  <conditionalFormatting sqref="D35">
    <cfRule type="expression" dxfId="2260" priority="2245" stopIfTrue="1">
      <formula>AND(NOT($C35=""),D35="")</formula>
    </cfRule>
    <cfRule type="expression" dxfId="2259" priority="2246" stopIfTrue="1">
      <formula>AG35="0"</formula>
    </cfRule>
  </conditionalFormatting>
  <conditionalFormatting sqref="E35">
    <cfRule type="expression" dxfId="2258" priority="2243" stopIfTrue="1">
      <formula>AND(NOT($C35=""),E35="")</formula>
    </cfRule>
    <cfRule type="expression" dxfId="2257" priority="2244" stopIfTrue="1">
      <formula>AL35="0"</formula>
    </cfRule>
  </conditionalFormatting>
  <conditionalFormatting sqref="F35">
    <cfRule type="expression" dxfId="2256" priority="2241" stopIfTrue="1">
      <formula>AND(NOT($C35=""),F35="")</formula>
    </cfRule>
    <cfRule type="expression" dxfId="2255" priority="2242" stopIfTrue="1">
      <formula>AQ35="0"</formula>
    </cfRule>
  </conditionalFormatting>
  <conditionalFormatting sqref="G35">
    <cfRule type="expression" dxfId="2254" priority="2239" stopIfTrue="1">
      <formula>AND(NOT($C35=""),G35="")</formula>
    </cfRule>
    <cfRule type="expression" dxfId="2253" priority="2240" stopIfTrue="1">
      <formula>AV35="0"</formula>
    </cfRule>
  </conditionalFormatting>
  <conditionalFormatting sqref="H35">
    <cfRule type="expression" dxfId="2252" priority="2237" stopIfTrue="1">
      <formula>AND(NOT($C35=""),H35="")</formula>
    </cfRule>
    <cfRule type="expression" dxfId="2251" priority="2238" stopIfTrue="1">
      <formula>BA35="0"</formula>
    </cfRule>
  </conditionalFormatting>
  <conditionalFormatting sqref="I35">
    <cfRule type="expression" dxfId="2250" priority="2235" stopIfTrue="1">
      <formula>AND(NOT($C35=""),I35="")</formula>
    </cfRule>
    <cfRule type="expression" dxfId="2249" priority="2236" stopIfTrue="1">
      <formula>BF35="0"</formula>
    </cfRule>
  </conditionalFormatting>
  <conditionalFormatting sqref="J35">
    <cfRule type="expression" dxfId="2248" priority="2233" stopIfTrue="1">
      <formula>AND(NOT($C35=""),J35="")</formula>
    </cfRule>
    <cfRule type="expression" dxfId="2247" priority="2234" stopIfTrue="1">
      <formula>BK35="0"</formula>
    </cfRule>
  </conditionalFormatting>
  <conditionalFormatting sqref="K35">
    <cfRule type="expression" dxfId="2246" priority="2231" stopIfTrue="1">
      <formula>AND(NOT($C35=""),K35="")</formula>
    </cfRule>
    <cfRule type="expression" dxfId="2245" priority="2232" stopIfTrue="1">
      <formula>BP35="0"</formula>
    </cfRule>
  </conditionalFormatting>
  <conditionalFormatting sqref="L35">
    <cfRule type="expression" dxfId="2244" priority="2229" stopIfTrue="1">
      <formula>AND(NOT($C35=""),L35="")</formula>
    </cfRule>
    <cfRule type="expression" dxfId="2243" priority="2230" stopIfTrue="1">
      <formula>BU35="0"</formula>
    </cfRule>
  </conditionalFormatting>
  <conditionalFormatting sqref="N35">
    <cfRule type="expression" dxfId="2242" priority="2227" stopIfTrue="1">
      <formula>AND(NOT($C35=""),N35="")</formula>
    </cfRule>
    <cfRule type="expression" dxfId="2241" priority="2228" stopIfTrue="1">
      <formula>CE35="0"</formula>
    </cfRule>
  </conditionalFormatting>
  <conditionalFormatting sqref="M35">
    <cfRule type="expression" dxfId="2240" priority="2226" stopIfTrue="1">
      <formula>BZ35="0"</formula>
    </cfRule>
  </conditionalFormatting>
  <conditionalFormatting sqref="D35">
    <cfRule type="expression" dxfId="2239" priority="2224" stopIfTrue="1">
      <formula>AND(NOT($C35=""),D35="")</formula>
    </cfRule>
    <cfRule type="expression" dxfId="2238" priority="2225" stopIfTrue="1">
      <formula>AG35="0"</formula>
    </cfRule>
  </conditionalFormatting>
  <conditionalFormatting sqref="E35">
    <cfRule type="expression" dxfId="2237" priority="2222" stopIfTrue="1">
      <formula>AND(NOT($C35=""),E35="")</formula>
    </cfRule>
    <cfRule type="expression" dxfId="2236" priority="2223" stopIfTrue="1">
      <formula>AL35="0"</formula>
    </cfRule>
  </conditionalFormatting>
  <conditionalFormatting sqref="F35">
    <cfRule type="expression" dxfId="2235" priority="2220" stopIfTrue="1">
      <formula>AND(NOT($C35=""),F35="")</formula>
    </cfRule>
    <cfRule type="expression" dxfId="2234" priority="2221" stopIfTrue="1">
      <formula>AQ35="0"</formula>
    </cfRule>
  </conditionalFormatting>
  <conditionalFormatting sqref="G35">
    <cfRule type="expression" dxfId="2233" priority="2218" stopIfTrue="1">
      <formula>AND(NOT($C35=""),G35="")</formula>
    </cfRule>
    <cfRule type="expression" dxfId="2232" priority="2219" stopIfTrue="1">
      <formula>AV35="0"</formula>
    </cfRule>
  </conditionalFormatting>
  <conditionalFormatting sqref="H35">
    <cfRule type="expression" dxfId="2231" priority="2216" stopIfTrue="1">
      <formula>AND(NOT($C35=""),H35="")</formula>
    </cfRule>
    <cfRule type="expression" dxfId="2230" priority="2217" stopIfTrue="1">
      <formula>BA35="0"</formula>
    </cfRule>
  </conditionalFormatting>
  <conditionalFormatting sqref="I35">
    <cfRule type="expression" dxfId="2229" priority="2214" stopIfTrue="1">
      <formula>AND(NOT($C35=""),I35="")</formula>
    </cfRule>
    <cfRule type="expression" dxfId="2228" priority="2215" stopIfTrue="1">
      <formula>BF35="0"</formula>
    </cfRule>
  </conditionalFormatting>
  <conditionalFormatting sqref="J35">
    <cfRule type="expression" dxfId="2227" priority="2212" stopIfTrue="1">
      <formula>AND(NOT($C35=""),J35="")</formula>
    </cfRule>
    <cfRule type="expression" dxfId="2226" priority="2213" stopIfTrue="1">
      <formula>BK35="0"</formula>
    </cfRule>
  </conditionalFormatting>
  <conditionalFormatting sqref="K35">
    <cfRule type="expression" dxfId="2225" priority="2210" stopIfTrue="1">
      <formula>AND(NOT($C35=""),K35="")</formula>
    </cfRule>
    <cfRule type="expression" dxfId="2224" priority="2211" stopIfTrue="1">
      <formula>BP35="0"</formula>
    </cfRule>
  </conditionalFormatting>
  <conditionalFormatting sqref="L35">
    <cfRule type="expression" dxfId="2223" priority="2208" stopIfTrue="1">
      <formula>AND(NOT($C35=""),L35="")</formula>
    </cfRule>
    <cfRule type="expression" dxfId="2222" priority="2209" stopIfTrue="1">
      <formula>BU35="0"</formula>
    </cfRule>
  </conditionalFormatting>
  <conditionalFormatting sqref="N35">
    <cfRule type="expression" dxfId="2221" priority="2206" stopIfTrue="1">
      <formula>AND(NOT($C35=""),N35="")</formula>
    </cfRule>
    <cfRule type="expression" dxfId="2220" priority="2207" stopIfTrue="1">
      <formula>CE35="0"</formula>
    </cfRule>
  </conditionalFormatting>
  <conditionalFormatting sqref="M35">
    <cfRule type="expression" dxfId="2219" priority="2205" stopIfTrue="1">
      <formula>BZ35="0"</formula>
    </cfRule>
  </conditionalFormatting>
  <conditionalFormatting sqref="D35">
    <cfRule type="expression" dxfId="2218" priority="2203" stopIfTrue="1">
      <formula>AND(NOT($C35=""),D35="")</formula>
    </cfRule>
    <cfRule type="expression" dxfId="2217" priority="2204" stopIfTrue="1">
      <formula>AG35="0"</formula>
    </cfRule>
  </conditionalFormatting>
  <conditionalFormatting sqref="E35">
    <cfRule type="expression" dxfId="2216" priority="2201" stopIfTrue="1">
      <formula>AND(NOT($C35=""),E35="")</formula>
    </cfRule>
    <cfRule type="expression" dxfId="2215" priority="2202" stopIfTrue="1">
      <formula>AL35="0"</formula>
    </cfRule>
  </conditionalFormatting>
  <conditionalFormatting sqref="F35">
    <cfRule type="expression" dxfId="2214" priority="2199" stopIfTrue="1">
      <formula>AND(NOT($C35=""),F35="")</formula>
    </cfRule>
    <cfRule type="expression" dxfId="2213" priority="2200" stopIfTrue="1">
      <formula>AQ35="0"</formula>
    </cfRule>
  </conditionalFormatting>
  <conditionalFormatting sqref="G35">
    <cfRule type="expression" dxfId="2212" priority="2197" stopIfTrue="1">
      <formula>AND(NOT($C35=""),G35="")</formula>
    </cfRule>
    <cfRule type="expression" dxfId="2211" priority="2198" stopIfTrue="1">
      <formula>AV35="0"</formula>
    </cfRule>
  </conditionalFormatting>
  <conditionalFormatting sqref="H35">
    <cfRule type="expression" dxfId="2210" priority="2195" stopIfTrue="1">
      <formula>AND(NOT($C35=""),H35="")</formula>
    </cfRule>
    <cfRule type="expression" dxfId="2209" priority="2196" stopIfTrue="1">
      <formula>BA35="0"</formula>
    </cfRule>
  </conditionalFormatting>
  <conditionalFormatting sqref="I35">
    <cfRule type="expression" dxfId="2208" priority="2193" stopIfTrue="1">
      <formula>AND(NOT($C35=""),I35="")</formula>
    </cfRule>
    <cfRule type="expression" dxfId="2207" priority="2194" stopIfTrue="1">
      <formula>BF35="0"</formula>
    </cfRule>
  </conditionalFormatting>
  <conditionalFormatting sqref="J35">
    <cfRule type="expression" dxfId="2206" priority="2191" stopIfTrue="1">
      <formula>AND(NOT($C35=""),J35="")</formula>
    </cfRule>
    <cfRule type="expression" dxfId="2205" priority="2192" stopIfTrue="1">
      <formula>BK35="0"</formula>
    </cfRule>
  </conditionalFormatting>
  <conditionalFormatting sqref="K35">
    <cfRule type="expression" dxfId="2204" priority="2189" stopIfTrue="1">
      <formula>AND(NOT($C35=""),K35="")</formula>
    </cfRule>
    <cfRule type="expression" dxfId="2203" priority="2190" stopIfTrue="1">
      <formula>BP35="0"</formula>
    </cfRule>
  </conditionalFormatting>
  <conditionalFormatting sqref="L35">
    <cfRule type="expression" dxfId="2202" priority="2187" stopIfTrue="1">
      <formula>AND(NOT($C35=""),L35="")</formula>
    </cfRule>
    <cfRule type="expression" dxfId="2201" priority="2188" stopIfTrue="1">
      <formula>BU35="0"</formula>
    </cfRule>
  </conditionalFormatting>
  <conditionalFormatting sqref="N35">
    <cfRule type="expression" dxfId="2200" priority="2185" stopIfTrue="1">
      <formula>AND(NOT($C35=""),N35="")</formula>
    </cfRule>
    <cfRule type="expression" dxfId="2199" priority="2186" stopIfTrue="1">
      <formula>CE35="0"</formula>
    </cfRule>
  </conditionalFormatting>
  <conditionalFormatting sqref="M35">
    <cfRule type="expression" dxfId="2198" priority="2184" stopIfTrue="1">
      <formula>BZ35="0"</formula>
    </cfRule>
  </conditionalFormatting>
  <conditionalFormatting sqref="D35">
    <cfRule type="expression" dxfId="2197" priority="2182" stopIfTrue="1">
      <formula>AND(NOT($C35=""),D35="")</formula>
    </cfRule>
    <cfRule type="expression" dxfId="2196" priority="2183" stopIfTrue="1">
      <formula>AG35="0"</formula>
    </cfRule>
  </conditionalFormatting>
  <conditionalFormatting sqref="E35">
    <cfRule type="expression" dxfId="2195" priority="2180" stopIfTrue="1">
      <formula>AND(NOT($C35=""),E35="")</formula>
    </cfRule>
    <cfRule type="expression" dxfId="2194" priority="2181" stopIfTrue="1">
      <formula>AL35="0"</formula>
    </cfRule>
  </conditionalFormatting>
  <conditionalFormatting sqref="F35">
    <cfRule type="expression" dxfId="2193" priority="2178" stopIfTrue="1">
      <formula>AND(NOT($C35=""),F35="")</formula>
    </cfRule>
    <cfRule type="expression" dxfId="2192" priority="2179" stopIfTrue="1">
      <formula>AQ35="0"</formula>
    </cfRule>
  </conditionalFormatting>
  <conditionalFormatting sqref="G35">
    <cfRule type="expression" dxfId="2191" priority="2176" stopIfTrue="1">
      <formula>AND(NOT($C35=""),G35="")</formula>
    </cfRule>
    <cfRule type="expression" dxfId="2190" priority="2177" stopIfTrue="1">
      <formula>AV35="0"</formula>
    </cfRule>
  </conditionalFormatting>
  <conditionalFormatting sqref="H35">
    <cfRule type="expression" dxfId="2189" priority="2174" stopIfTrue="1">
      <formula>AND(NOT($C35=""),H35="")</formula>
    </cfRule>
    <cfRule type="expression" dxfId="2188" priority="2175" stopIfTrue="1">
      <formula>BA35="0"</formula>
    </cfRule>
  </conditionalFormatting>
  <conditionalFormatting sqref="I35">
    <cfRule type="expression" dxfId="2187" priority="2172" stopIfTrue="1">
      <formula>AND(NOT($C35=""),I35="")</formula>
    </cfRule>
    <cfRule type="expression" dxfId="2186" priority="2173" stopIfTrue="1">
      <formula>BF35="0"</formula>
    </cfRule>
  </conditionalFormatting>
  <conditionalFormatting sqref="J35">
    <cfRule type="expression" dxfId="2185" priority="2170" stopIfTrue="1">
      <formula>AND(NOT($C35=""),J35="")</formula>
    </cfRule>
    <cfRule type="expression" dxfId="2184" priority="2171" stopIfTrue="1">
      <formula>BK35="0"</formula>
    </cfRule>
  </conditionalFormatting>
  <conditionalFormatting sqref="K35">
    <cfRule type="expression" dxfId="2183" priority="2168" stopIfTrue="1">
      <formula>AND(NOT($C35=""),K35="")</formula>
    </cfRule>
    <cfRule type="expression" dxfId="2182" priority="2169" stopIfTrue="1">
      <formula>BP35="0"</formula>
    </cfRule>
  </conditionalFormatting>
  <conditionalFormatting sqref="L35">
    <cfRule type="expression" dxfId="2181" priority="2166" stopIfTrue="1">
      <formula>AND(NOT($C35=""),L35="")</formula>
    </cfRule>
    <cfRule type="expression" dxfId="2180" priority="2167" stopIfTrue="1">
      <formula>BU35="0"</formula>
    </cfRule>
  </conditionalFormatting>
  <conditionalFormatting sqref="N35">
    <cfRule type="expression" dxfId="2179" priority="2164" stopIfTrue="1">
      <formula>AND(NOT($C35=""),N35="")</formula>
    </cfRule>
    <cfRule type="expression" dxfId="2178" priority="2165" stopIfTrue="1">
      <formula>CE35="0"</formula>
    </cfRule>
  </conditionalFormatting>
  <conditionalFormatting sqref="M35">
    <cfRule type="expression" dxfId="2177" priority="2163" stopIfTrue="1">
      <formula>BZ35="0"</formula>
    </cfRule>
  </conditionalFormatting>
  <conditionalFormatting sqref="D35">
    <cfRule type="expression" dxfId="2176" priority="2161" stopIfTrue="1">
      <formula>AND(NOT($C35=""),D35="")</formula>
    </cfRule>
    <cfRule type="expression" dxfId="2175" priority="2162" stopIfTrue="1">
      <formula>AG35="0"</formula>
    </cfRule>
  </conditionalFormatting>
  <conditionalFormatting sqref="E35">
    <cfRule type="expression" dxfId="2174" priority="2159" stopIfTrue="1">
      <formula>AND(NOT($C35=""),E35="")</formula>
    </cfRule>
    <cfRule type="expression" dxfId="2173" priority="2160" stopIfTrue="1">
      <formula>AL35="0"</formula>
    </cfRule>
  </conditionalFormatting>
  <conditionalFormatting sqref="F35">
    <cfRule type="expression" dxfId="2172" priority="2157" stopIfTrue="1">
      <formula>AND(NOT($C35=""),F35="")</formula>
    </cfRule>
    <cfRule type="expression" dxfId="2171" priority="2158" stopIfTrue="1">
      <formula>AQ35="0"</formula>
    </cfRule>
  </conditionalFormatting>
  <conditionalFormatting sqref="G35">
    <cfRule type="expression" dxfId="2170" priority="2155" stopIfTrue="1">
      <formula>AND(NOT($C35=""),G35="")</formula>
    </cfRule>
    <cfRule type="expression" dxfId="2169" priority="2156" stopIfTrue="1">
      <formula>AV35="0"</formula>
    </cfRule>
  </conditionalFormatting>
  <conditionalFormatting sqref="H35">
    <cfRule type="expression" dxfId="2168" priority="2153" stopIfTrue="1">
      <formula>AND(NOT($C35=""),H35="")</formula>
    </cfRule>
    <cfRule type="expression" dxfId="2167" priority="2154" stopIfTrue="1">
      <formula>BA35="0"</formula>
    </cfRule>
  </conditionalFormatting>
  <conditionalFormatting sqref="I35">
    <cfRule type="expression" dxfId="2166" priority="2151" stopIfTrue="1">
      <formula>AND(NOT($C35=""),I35="")</formula>
    </cfRule>
    <cfRule type="expression" dxfId="2165" priority="2152" stopIfTrue="1">
      <formula>BF35="0"</formula>
    </cfRule>
  </conditionalFormatting>
  <conditionalFormatting sqref="J35">
    <cfRule type="expression" dxfId="2164" priority="2149" stopIfTrue="1">
      <formula>AND(NOT($C35=""),J35="")</formula>
    </cfRule>
    <cfRule type="expression" dxfId="2163" priority="2150" stopIfTrue="1">
      <formula>BK35="0"</formula>
    </cfRule>
  </conditionalFormatting>
  <conditionalFormatting sqref="K35">
    <cfRule type="expression" dxfId="2162" priority="2147" stopIfTrue="1">
      <formula>AND(NOT($C35=""),K35="")</formula>
    </cfRule>
    <cfRule type="expression" dxfId="2161" priority="2148" stopIfTrue="1">
      <formula>BP35="0"</formula>
    </cfRule>
  </conditionalFormatting>
  <conditionalFormatting sqref="L35">
    <cfRule type="expression" dxfId="2160" priority="2145" stopIfTrue="1">
      <formula>AND(NOT($C35=""),L35="")</formula>
    </cfRule>
    <cfRule type="expression" dxfId="2159" priority="2146" stopIfTrue="1">
      <formula>BU35="0"</formula>
    </cfRule>
  </conditionalFormatting>
  <conditionalFormatting sqref="N35">
    <cfRule type="expression" dxfId="2158" priority="2143" stopIfTrue="1">
      <formula>AND(NOT($C35=""),N35="")</formula>
    </cfRule>
    <cfRule type="expression" dxfId="2157" priority="2144" stopIfTrue="1">
      <formula>CE35="0"</formula>
    </cfRule>
  </conditionalFormatting>
  <conditionalFormatting sqref="M35">
    <cfRule type="expression" dxfId="2156" priority="2142" stopIfTrue="1">
      <formula>BZ35="0"</formula>
    </cfRule>
  </conditionalFormatting>
  <conditionalFormatting sqref="D35">
    <cfRule type="expression" dxfId="2155" priority="2140" stopIfTrue="1">
      <formula>AND(NOT($C35=""),D35="")</formula>
    </cfRule>
    <cfRule type="expression" dxfId="2154" priority="2141" stopIfTrue="1">
      <formula>AG35="0"</formula>
    </cfRule>
  </conditionalFormatting>
  <conditionalFormatting sqref="E35">
    <cfRule type="expression" dxfId="2153" priority="2138" stopIfTrue="1">
      <formula>AND(NOT($C35=""),E35="")</formula>
    </cfRule>
    <cfRule type="expression" dxfId="2152" priority="2139" stopIfTrue="1">
      <formula>AL35="0"</formula>
    </cfRule>
  </conditionalFormatting>
  <conditionalFormatting sqref="F35">
    <cfRule type="expression" dxfId="2151" priority="2136" stopIfTrue="1">
      <formula>AND(NOT($C35=""),F35="")</formula>
    </cfRule>
    <cfRule type="expression" dxfId="2150" priority="2137" stopIfTrue="1">
      <formula>AQ35="0"</formula>
    </cfRule>
  </conditionalFormatting>
  <conditionalFormatting sqref="G35">
    <cfRule type="expression" dxfId="2149" priority="2134" stopIfTrue="1">
      <formula>AND(NOT($C35=""),G35="")</formula>
    </cfRule>
    <cfRule type="expression" dxfId="2148" priority="2135" stopIfTrue="1">
      <formula>AV35="0"</formula>
    </cfRule>
  </conditionalFormatting>
  <conditionalFormatting sqref="H35">
    <cfRule type="expression" dxfId="2147" priority="2132" stopIfTrue="1">
      <formula>AND(NOT($C35=""),H35="")</formula>
    </cfRule>
    <cfRule type="expression" dxfId="2146" priority="2133" stopIfTrue="1">
      <formula>BA35="0"</formula>
    </cfRule>
  </conditionalFormatting>
  <conditionalFormatting sqref="I35">
    <cfRule type="expression" dxfId="2145" priority="2130" stopIfTrue="1">
      <formula>AND(NOT($C35=""),I35="")</formula>
    </cfRule>
    <cfRule type="expression" dxfId="2144" priority="2131" stopIfTrue="1">
      <formula>BF35="0"</formula>
    </cfRule>
  </conditionalFormatting>
  <conditionalFormatting sqref="J35">
    <cfRule type="expression" dxfId="2143" priority="2128" stopIfTrue="1">
      <formula>AND(NOT($C35=""),J35="")</formula>
    </cfRule>
    <cfRule type="expression" dxfId="2142" priority="2129" stopIfTrue="1">
      <formula>BK35="0"</formula>
    </cfRule>
  </conditionalFormatting>
  <conditionalFormatting sqref="K35">
    <cfRule type="expression" dxfId="2141" priority="2126" stopIfTrue="1">
      <formula>AND(NOT($C35=""),K35="")</formula>
    </cfRule>
    <cfRule type="expression" dxfId="2140" priority="2127" stopIfTrue="1">
      <formula>BP35="0"</formula>
    </cfRule>
  </conditionalFormatting>
  <conditionalFormatting sqref="L35">
    <cfRule type="expression" dxfId="2139" priority="2124" stopIfTrue="1">
      <formula>AND(NOT($C35=""),L35="")</formula>
    </cfRule>
    <cfRule type="expression" dxfId="2138" priority="2125" stopIfTrue="1">
      <formula>BU35="0"</formula>
    </cfRule>
  </conditionalFormatting>
  <conditionalFormatting sqref="N35">
    <cfRule type="expression" dxfId="2137" priority="2122" stopIfTrue="1">
      <formula>AND(NOT($C35=""),N35="")</formula>
    </cfRule>
    <cfRule type="expression" dxfId="2136" priority="2123" stopIfTrue="1">
      <formula>CE35="0"</formula>
    </cfRule>
  </conditionalFormatting>
  <conditionalFormatting sqref="M35">
    <cfRule type="expression" dxfId="2135" priority="2121" stopIfTrue="1">
      <formula>BZ35="0"</formula>
    </cfRule>
  </conditionalFormatting>
  <conditionalFormatting sqref="D35">
    <cfRule type="expression" dxfId="2134" priority="2119" stopIfTrue="1">
      <formula>AND(NOT($C35=""),D35="")</formula>
    </cfRule>
    <cfRule type="expression" dxfId="2133" priority="2120" stopIfTrue="1">
      <formula>AG35="0"</formula>
    </cfRule>
  </conditionalFormatting>
  <conditionalFormatting sqref="E35">
    <cfRule type="expression" dxfId="2132" priority="2117" stopIfTrue="1">
      <formula>AND(NOT($C35=""),E35="")</formula>
    </cfRule>
    <cfRule type="expression" dxfId="2131" priority="2118" stopIfTrue="1">
      <formula>AL35="0"</formula>
    </cfRule>
  </conditionalFormatting>
  <conditionalFormatting sqref="F35">
    <cfRule type="expression" dxfId="2130" priority="2115" stopIfTrue="1">
      <formula>AND(NOT($C35=""),F35="")</formula>
    </cfRule>
    <cfRule type="expression" dxfId="2129" priority="2116" stopIfTrue="1">
      <formula>AQ35="0"</formula>
    </cfRule>
  </conditionalFormatting>
  <conditionalFormatting sqref="G35">
    <cfRule type="expression" dxfId="2128" priority="2113" stopIfTrue="1">
      <formula>AND(NOT($C35=""),G35="")</formula>
    </cfRule>
    <cfRule type="expression" dxfId="2127" priority="2114" stopIfTrue="1">
      <formula>AV35="0"</formula>
    </cfRule>
  </conditionalFormatting>
  <conditionalFormatting sqref="H35">
    <cfRule type="expression" dxfId="2126" priority="2111" stopIfTrue="1">
      <formula>AND(NOT($C35=""),H35="")</formula>
    </cfRule>
    <cfRule type="expression" dxfId="2125" priority="2112" stopIfTrue="1">
      <formula>BA35="0"</formula>
    </cfRule>
  </conditionalFormatting>
  <conditionalFormatting sqref="I35">
    <cfRule type="expression" dxfId="2124" priority="2109" stopIfTrue="1">
      <formula>AND(NOT($C35=""),I35="")</formula>
    </cfRule>
    <cfRule type="expression" dxfId="2123" priority="2110" stopIfTrue="1">
      <formula>BF35="0"</formula>
    </cfRule>
  </conditionalFormatting>
  <conditionalFormatting sqref="J35">
    <cfRule type="expression" dxfId="2122" priority="2107" stopIfTrue="1">
      <formula>AND(NOT($C35=""),J35="")</formula>
    </cfRule>
    <cfRule type="expression" dxfId="2121" priority="2108" stopIfTrue="1">
      <formula>BK35="0"</formula>
    </cfRule>
  </conditionalFormatting>
  <conditionalFormatting sqref="K35">
    <cfRule type="expression" dxfId="2120" priority="2105" stopIfTrue="1">
      <formula>AND(NOT($C35=""),K35="")</formula>
    </cfRule>
    <cfRule type="expression" dxfId="2119" priority="2106" stopIfTrue="1">
      <formula>BP35="0"</formula>
    </cfRule>
  </conditionalFormatting>
  <conditionalFormatting sqref="L35">
    <cfRule type="expression" dxfId="2118" priority="2103" stopIfTrue="1">
      <formula>AND(NOT($C35=""),L35="")</formula>
    </cfRule>
    <cfRule type="expression" dxfId="2117" priority="2104" stopIfTrue="1">
      <formula>BU35="0"</formula>
    </cfRule>
  </conditionalFormatting>
  <conditionalFormatting sqref="N35">
    <cfRule type="expression" dxfId="2116" priority="2101" stopIfTrue="1">
      <formula>AND(NOT($C35=""),N35="")</formula>
    </cfRule>
    <cfRule type="expression" dxfId="2115" priority="2102" stopIfTrue="1">
      <formula>CE35="0"</formula>
    </cfRule>
  </conditionalFormatting>
  <conditionalFormatting sqref="M35">
    <cfRule type="expression" dxfId="2114" priority="2100" stopIfTrue="1">
      <formula>BZ35="0"</formula>
    </cfRule>
  </conditionalFormatting>
  <conditionalFormatting sqref="D35">
    <cfRule type="expression" dxfId="2113" priority="2098" stopIfTrue="1">
      <formula>AND(NOT($C35=""),D35="")</formula>
    </cfRule>
    <cfRule type="expression" dxfId="2112" priority="2099" stopIfTrue="1">
      <formula>AG35="0"</formula>
    </cfRule>
  </conditionalFormatting>
  <conditionalFormatting sqref="E35">
    <cfRule type="expression" dxfId="2111" priority="2096" stopIfTrue="1">
      <formula>AND(NOT($C35=""),E35="")</formula>
    </cfRule>
    <cfRule type="expression" dxfId="2110" priority="2097" stopIfTrue="1">
      <formula>AL35="0"</formula>
    </cfRule>
  </conditionalFormatting>
  <conditionalFormatting sqref="F35">
    <cfRule type="expression" dxfId="2109" priority="2094" stopIfTrue="1">
      <formula>AND(NOT($C35=""),F35="")</formula>
    </cfRule>
    <cfRule type="expression" dxfId="2108" priority="2095" stopIfTrue="1">
      <formula>AQ35="0"</formula>
    </cfRule>
  </conditionalFormatting>
  <conditionalFormatting sqref="G35">
    <cfRule type="expression" dxfId="2107" priority="2092" stopIfTrue="1">
      <formula>AND(NOT($C35=""),G35="")</formula>
    </cfRule>
    <cfRule type="expression" dxfId="2106" priority="2093" stopIfTrue="1">
      <formula>AV35="0"</formula>
    </cfRule>
  </conditionalFormatting>
  <conditionalFormatting sqref="H35">
    <cfRule type="expression" dxfId="2105" priority="2090" stopIfTrue="1">
      <formula>AND(NOT($C35=""),H35="")</formula>
    </cfRule>
    <cfRule type="expression" dxfId="2104" priority="2091" stopIfTrue="1">
      <formula>BA35="0"</formula>
    </cfRule>
  </conditionalFormatting>
  <conditionalFormatting sqref="I35">
    <cfRule type="expression" dxfId="2103" priority="2088" stopIfTrue="1">
      <formula>AND(NOT($C35=""),I35="")</formula>
    </cfRule>
    <cfRule type="expression" dxfId="2102" priority="2089" stopIfTrue="1">
      <formula>BF35="0"</formula>
    </cfRule>
  </conditionalFormatting>
  <conditionalFormatting sqref="J35">
    <cfRule type="expression" dxfId="2101" priority="2086" stopIfTrue="1">
      <formula>AND(NOT($C35=""),J35="")</formula>
    </cfRule>
    <cfRule type="expression" dxfId="2100" priority="2087" stopIfTrue="1">
      <formula>BK35="0"</formula>
    </cfRule>
  </conditionalFormatting>
  <conditionalFormatting sqref="K35">
    <cfRule type="expression" dxfId="2099" priority="2084" stopIfTrue="1">
      <formula>AND(NOT($C35=""),K35="")</formula>
    </cfRule>
    <cfRule type="expression" dxfId="2098" priority="2085" stopIfTrue="1">
      <formula>BP35="0"</formula>
    </cfRule>
  </conditionalFormatting>
  <conditionalFormatting sqref="L35">
    <cfRule type="expression" dxfId="2097" priority="2082" stopIfTrue="1">
      <formula>AND(NOT($C35=""),L35="")</formula>
    </cfRule>
    <cfRule type="expression" dxfId="2096" priority="2083" stopIfTrue="1">
      <formula>BU35="0"</formula>
    </cfRule>
  </conditionalFormatting>
  <conditionalFormatting sqref="N35">
    <cfRule type="expression" dxfId="2095" priority="2080" stopIfTrue="1">
      <formula>AND(NOT($C35=""),N35="")</formula>
    </cfRule>
    <cfRule type="expression" dxfId="2094" priority="2081" stopIfTrue="1">
      <formula>CE35="0"</formula>
    </cfRule>
  </conditionalFormatting>
  <conditionalFormatting sqref="M35">
    <cfRule type="expression" dxfId="2093" priority="2079" stopIfTrue="1">
      <formula>BZ35="0"</formula>
    </cfRule>
  </conditionalFormatting>
  <conditionalFormatting sqref="D35">
    <cfRule type="expression" dxfId="2092" priority="2077" stopIfTrue="1">
      <formula>AND(NOT($C35=""),D35="")</formula>
    </cfRule>
    <cfRule type="expression" dxfId="2091" priority="2078" stopIfTrue="1">
      <formula>AG35="0"</formula>
    </cfRule>
  </conditionalFormatting>
  <conditionalFormatting sqref="E35">
    <cfRule type="expression" dxfId="2090" priority="2075" stopIfTrue="1">
      <formula>AND(NOT($C35=""),E35="")</formula>
    </cfRule>
    <cfRule type="expression" dxfId="2089" priority="2076" stopIfTrue="1">
      <formula>AL35="0"</formula>
    </cfRule>
  </conditionalFormatting>
  <conditionalFormatting sqref="F35">
    <cfRule type="expression" dxfId="2088" priority="2073" stopIfTrue="1">
      <formula>AND(NOT($C35=""),F35="")</formula>
    </cfRule>
    <cfRule type="expression" dxfId="2087" priority="2074" stopIfTrue="1">
      <formula>AQ35="0"</formula>
    </cfRule>
  </conditionalFormatting>
  <conditionalFormatting sqref="G35">
    <cfRule type="expression" dxfId="2086" priority="2071" stopIfTrue="1">
      <formula>AND(NOT($C35=""),G35="")</formula>
    </cfRule>
    <cfRule type="expression" dxfId="2085" priority="2072" stopIfTrue="1">
      <formula>AV35="0"</formula>
    </cfRule>
  </conditionalFormatting>
  <conditionalFormatting sqref="H35">
    <cfRule type="expression" dxfId="2084" priority="2069" stopIfTrue="1">
      <formula>AND(NOT($C35=""),H35="")</formula>
    </cfRule>
    <cfRule type="expression" dxfId="2083" priority="2070" stopIfTrue="1">
      <formula>BA35="0"</formula>
    </cfRule>
  </conditionalFormatting>
  <conditionalFormatting sqref="I35">
    <cfRule type="expression" dxfId="2082" priority="2067" stopIfTrue="1">
      <formula>AND(NOT($C35=""),I35="")</formula>
    </cfRule>
    <cfRule type="expression" dxfId="2081" priority="2068" stopIfTrue="1">
      <formula>BF35="0"</formula>
    </cfRule>
  </conditionalFormatting>
  <conditionalFormatting sqref="J35">
    <cfRule type="expression" dxfId="2080" priority="2065" stopIfTrue="1">
      <formula>AND(NOT($C35=""),J35="")</formula>
    </cfRule>
    <cfRule type="expression" dxfId="2079" priority="2066" stopIfTrue="1">
      <formula>BK35="0"</formula>
    </cfRule>
  </conditionalFormatting>
  <conditionalFormatting sqref="K35">
    <cfRule type="expression" dxfId="2078" priority="2063" stopIfTrue="1">
      <formula>AND(NOT($C35=""),K35="")</formula>
    </cfRule>
    <cfRule type="expression" dxfId="2077" priority="2064" stopIfTrue="1">
      <formula>BP35="0"</formula>
    </cfRule>
  </conditionalFormatting>
  <conditionalFormatting sqref="L35">
    <cfRule type="expression" dxfId="2076" priority="2061" stopIfTrue="1">
      <formula>AND(NOT($C35=""),L35="")</formula>
    </cfRule>
    <cfRule type="expression" dxfId="2075" priority="2062" stopIfTrue="1">
      <formula>BU35="0"</formula>
    </cfRule>
  </conditionalFormatting>
  <conditionalFormatting sqref="N35">
    <cfRule type="expression" dxfId="2074" priority="2059" stopIfTrue="1">
      <formula>AND(NOT($C35=""),N35="")</formula>
    </cfRule>
    <cfRule type="expression" dxfId="2073" priority="2060" stopIfTrue="1">
      <formula>CE35="0"</formula>
    </cfRule>
  </conditionalFormatting>
  <conditionalFormatting sqref="M35">
    <cfRule type="expression" dxfId="2072" priority="2058" stopIfTrue="1">
      <formula>BZ35="0"</formula>
    </cfRule>
  </conditionalFormatting>
  <conditionalFormatting sqref="D35">
    <cfRule type="expression" dxfId="2071" priority="2056" stopIfTrue="1">
      <formula>AND(NOT($C35=""),D35="")</formula>
    </cfRule>
    <cfRule type="expression" dxfId="2070" priority="2057" stopIfTrue="1">
      <formula>AG35="0"</formula>
    </cfRule>
  </conditionalFormatting>
  <conditionalFormatting sqref="E35">
    <cfRule type="expression" dxfId="2069" priority="2054" stopIfTrue="1">
      <formula>AND(NOT($C35=""),E35="")</formula>
    </cfRule>
    <cfRule type="expression" dxfId="2068" priority="2055" stopIfTrue="1">
      <formula>AL35="0"</formula>
    </cfRule>
  </conditionalFormatting>
  <conditionalFormatting sqref="F35">
    <cfRule type="expression" dxfId="2067" priority="2052" stopIfTrue="1">
      <formula>AND(NOT($C35=""),F35="")</formula>
    </cfRule>
    <cfRule type="expression" dxfId="2066" priority="2053" stopIfTrue="1">
      <formula>AQ35="0"</formula>
    </cfRule>
  </conditionalFormatting>
  <conditionalFormatting sqref="G35">
    <cfRule type="expression" dxfId="2065" priority="2050" stopIfTrue="1">
      <formula>AND(NOT($C35=""),G35="")</formula>
    </cfRule>
    <cfRule type="expression" dxfId="2064" priority="2051" stopIfTrue="1">
      <formula>AV35="0"</formula>
    </cfRule>
  </conditionalFormatting>
  <conditionalFormatting sqref="H35">
    <cfRule type="expression" dxfId="2063" priority="2048" stopIfTrue="1">
      <formula>AND(NOT($C35=""),H35="")</formula>
    </cfRule>
    <cfRule type="expression" dxfId="2062" priority="2049" stopIfTrue="1">
      <formula>BA35="0"</formula>
    </cfRule>
  </conditionalFormatting>
  <conditionalFormatting sqref="I35">
    <cfRule type="expression" dxfId="2061" priority="2046" stopIfTrue="1">
      <formula>AND(NOT($C35=""),I35="")</formula>
    </cfRule>
    <cfRule type="expression" dxfId="2060" priority="2047" stopIfTrue="1">
      <formula>BF35="0"</formula>
    </cfRule>
  </conditionalFormatting>
  <conditionalFormatting sqref="J35">
    <cfRule type="expression" dxfId="2059" priority="2044" stopIfTrue="1">
      <formula>AND(NOT($C35=""),J35="")</formula>
    </cfRule>
    <cfRule type="expression" dxfId="2058" priority="2045" stopIfTrue="1">
      <formula>BK35="0"</formula>
    </cfRule>
  </conditionalFormatting>
  <conditionalFormatting sqref="K35">
    <cfRule type="expression" dxfId="2057" priority="2042" stopIfTrue="1">
      <formula>AND(NOT($C35=""),K35="")</formula>
    </cfRule>
    <cfRule type="expression" dxfId="2056" priority="2043" stopIfTrue="1">
      <formula>BP35="0"</formula>
    </cfRule>
  </conditionalFormatting>
  <conditionalFormatting sqref="L35">
    <cfRule type="expression" dxfId="2055" priority="2040" stopIfTrue="1">
      <formula>AND(NOT($C35=""),L35="")</formula>
    </cfRule>
    <cfRule type="expression" dxfId="2054" priority="2041" stopIfTrue="1">
      <formula>BU35="0"</formula>
    </cfRule>
  </conditionalFormatting>
  <conditionalFormatting sqref="N35">
    <cfRule type="expression" dxfId="2053" priority="2038" stopIfTrue="1">
      <formula>AND(NOT($C35=""),N35="")</formula>
    </cfRule>
    <cfRule type="expression" dxfId="2052" priority="2039" stopIfTrue="1">
      <formula>CE35="0"</formula>
    </cfRule>
  </conditionalFormatting>
  <conditionalFormatting sqref="M35">
    <cfRule type="expression" dxfId="2051" priority="2037" stopIfTrue="1">
      <formula>BZ35="0"</formula>
    </cfRule>
  </conditionalFormatting>
  <conditionalFormatting sqref="D35">
    <cfRule type="expression" dxfId="2050" priority="2035" stopIfTrue="1">
      <formula>AND(NOT($C35=""),D35="")</formula>
    </cfRule>
    <cfRule type="expression" dxfId="2049" priority="2036" stopIfTrue="1">
      <formula>AG35="0"</formula>
    </cfRule>
  </conditionalFormatting>
  <conditionalFormatting sqref="E35">
    <cfRule type="expression" dxfId="2048" priority="2033" stopIfTrue="1">
      <formula>AND(NOT($C35=""),E35="")</formula>
    </cfRule>
    <cfRule type="expression" dxfId="2047" priority="2034" stopIfTrue="1">
      <formula>AL35="0"</formula>
    </cfRule>
  </conditionalFormatting>
  <conditionalFormatting sqref="F35">
    <cfRule type="expression" dxfId="2046" priority="2031" stopIfTrue="1">
      <formula>AND(NOT($C35=""),F35="")</formula>
    </cfRule>
    <cfRule type="expression" dxfId="2045" priority="2032" stopIfTrue="1">
      <formula>AQ35="0"</formula>
    </cfRule>
  </conditionalFormatting>
  <conditionalFormatting sqref="G35">
    <cfRule type="expression" dxfId="2044" priority="2029" stopIfTrue="1">
      <formula>AND(NOT($C35=""),G35="")</formula>
    </cfRule>
    <cfRule type="expression" dxfId="2043" priority="2030" stopIfTrue="1">
      <formula>AV35="0"</formula>
    </cfRule>
  </conditionalFormatting>
  <conditionalFormatting sqref="H35">
    <cfRule type="expression" dxfId="2042" priority="2027" stopIfTrue="1">
      <formula>AND(NOT($C35=""),H35="")</formula>
    </cfRule>
    <cfRule type="expression" dxfId="2041" priority="2028" stopIfTrue="1">
      <formula>BA35="0"</formula>
    </cfRule>
  </conditionalFormatting>
  <conditionalFormatting sqref="I35">
    <cfRule type="expression" dxfId="2040" priority="2025" stopIfTrue="1">
      <formula>AND(NOT($C35=""),I35="")</formula>
    </cfRule>
    <cfRule type="expression" dxfId="2039" priority="2026" stopIfTrue="1">
      <formula>BF35="0"</formula>
    </cfRule>
  </conditionalFormatting>
  <conditionalFormatting sqref="J35">
    <cfRule type="expression" dxfId="2038" priority="2023" stopIfTrue="1">
      <formula>AND(NOT($C35=""),J35="")</formula>
    </cfRule>
    <cfRule type="expression" dxfId="2037" priority="2024" stopIfTrue="1">
      <formula>BK35="0"</formula>
    </cfRule>
  </conditionalFormatting>
  <conditionalFormatting sqref="K35">
    <cfRule type="expression" dxfId="2036" priority="2021" stopIfTrue="1">
      <formula>AND(NOT($C35=""),K35="")</formula>
    </cfRule>
    <cfRule type="expression" dxfId="2035" priority="2022" stopIfTrue="1">
      <formula>BP35="0"</formula>
    </cfRule>
  </conditionalFormatting>
  <conditionalFormatting sqref="L35">
    <cfRule type="expression" dxfId="2034" priority="2019" stopIfTrue="1">
      <formula>AND(NOT($C35=""),L35="")</formula>
    </cfRule>
    <cfRule type="expression" dxfId="2033" priority="2020" stopIfTrue="1">
      <formula>BU35="0"</formula>
    </cfRule>
  </conditionalFormatting>
  <conditionalFormatting sqref="N35">
    <cfRule type="expression" dxfId="2032" priority="2017" stopIfTrue="1">
      <formula>AND(NOT($C35=""),N35="")</formula>
    </cfRule>
    <cfRule type="expression" dxfId="2031" priority="2018" stopIfTrue="1">
      <formula>CE35="0"</formula>
    </cfRule>
  </conditionalFormatting>
  <conditionalFormatting sqref="M35">
    <cfRule type="expression" dxfId="2030" priority="2016" stopIfTrue="1">
      <formula>BZ35="0"</formula>
    </cfRule>
  </conditionalFormatting>
  <conditionalFormatting sqref="D35">
    <cfRule type="expression" dxfId="2029" priority="2014" stopIfTrue="1">
      <formula>AND(NOT($C35=""),D35="")</formula>
    </cfRule>
    <cfRule type="expression" dxfId="2028" priority="2015" stopIfTrue="1">
      <formula>AG35="0"</formula>
    </cfRule>
  </conditionalFormatting>
  <conditionalFormatting sqref="E35">
    <cfRule type="expression" dxfId="2027" priority="2012" stopIfTrue="1">
      <formula>AND(NOT($C35=""),E35="")</formula>
    </cfRule>
    <cfRule type="expression" dxfId="2026" priority="2013" stopIfTrue="1">
      <formula>AL35="0"</formula>
    </cfRule>
  </conditionalFormatting>
  <conditionalFormatting sqref="F35">
    <cfRule type="expression" dxfId="2025" priority="2010" stopIfTrue="1">
      <formula>AND(NOT($C35=""),F35="")</formula>
    </cfRule>
    <cfRule type="expression" dxfId="2024" priority="2011" stopIfTrue="1">
      <formula>AQ35="0"</formula>
    </cfRule>
  </conditionalFormatting>
  <conditionalFormatting sqref="G35">
    <cfRule type="expression" dxfId="2023" priority="2008" stopIfTrue="1">
      <formula>AND(NOT($C35=""),G35="")</formula>
    </cfRule>
    <cfRule type="expression" dxfId="2022" priority="2009" stopIfTrue="1">
      <formula>AV35="0"</formula>
    </cfRule>
  </conditionalFormatting>
  <conditionalFormatting sqref="H35">
    <cfRule type="expression" dxfId="2021" priority="2006" stopIfTrue="1">
      <formula>AND(NOT($C35=""),H35="")</formula>
    </cfRule>
    <cfRule type="expression" dxfId="2020" priority="2007" stopIfTrue="1">
      <formula>BA35="0"</formula>
    </cfRule>
  </conditionalFormatting>
  <conditionalFormatting sqref="I35">
    <cfRule type="expression" dxfId="2019" priority="2004" stopIfTrue="1">
      <formula>AND(NOT($C35=""),I35="")</formula>
    </cfRule>
    <cfRule type="expression" dxfId="2018" priority="2005" stopIfTrue="1">
      <formula>BF35="0"</formula>
    </cfRule>
  </conditionalFormatting>
  <conditionalFormatting sqref="J35">
    <cfRule type="expression" dxfId="2017" priority="2002" stopIfTrue="1">
      <formula>AND(NOT($C35=""),J35="")</formula>
    </cfRule>
    <cfRule type="expression" dxfId="2016" priority="2003" stopIfTrue="1">
      <formula>BK35="0"</formula>
    </cfRule>
  </conditionalFormatting>
  <conditionalFormatting sqref="K35">
    <cfRule type="expression" dxfId="2015" priority="2000" stopIfTrue="1">
      <formula>AND(NOT($C35=""),K35="")</formula>
    </cfRule>
    <cfRule type="expression" dxfId="2014" priority="2001" stopIfTrue="1">
      <formula>BP35="0"</formula>
    </cfRule>
  </conditionalFormatting>
  <conditionalFormatting sqref="L35">
    <cfRule type="expression" dxfId="2013" priority="1998" stopIfTrue="1">
      <formula>AND(NOT($C35=""),L35="")</formula>
    </cfRule>
    <cfRule type="expression" dxfId="2012" priority="1999" stopIfTrue="1">
      <formula>BU35="0"</formula>
    </cfRule>
  </conditionalFormatting>
  <conditionalFormatting sqref="N35">
    <cfRule type="expression" dxfId="2011" priority="1996" stopIfTrue="1">
      <formula>AND(NOT($C35=""),N35="")</formula>
    </cfRule>
    <cfRule type="expression" dxfId="2010" priority="1997" stopIfTrue="1">
      <formula>CE35="0"</formula>
    </cfRule>
  </conditionalFormatting>
  <conditionalFormatting sqref="M35">
    <cfRule type="expression" dxfId="2009" priority="1995" stopIfTrue="1">
      <formula>BZ35="0"</formula>
    </cfRule>
  </conditionalFormatting>
  <conditionalFormatting sqref="D35">
    <cfRule type="expression" dxfId="2008" priority="1993" stopIfTrue="1">
      <formula>AND(NOT($C35=""),D35="")</formula>
    </cfRule>
    <cfRule type="expression" dxfId="2007" priority="1994" stopIfTrue="1">
      <formula>AG35="0"</formula>
    </cfRule>
  </conditionalFormatting>
  <conditionalFormatting sqref="E35">
    <cfRule type="expression" dxfId="2006" priority="1991" stopIfTrue="1">
      <formula>AND(NOT($C35=""),E35="")</formula>
    </cfRule>
    <cfRule type="expression" dxfId="2005" priority="1992" stopIfTrue="1">
      <formula>AL35="0"</formula>
    </cfRule>
  </conditionalFormatting>
  <conditionalFormatting sqref="F35">
    <cfRule type="expression" dxfId="2004" priority="1989" stopIfTrue="1">
      <formula>AND(NOT($C35=""),F35="")</formula>
    </cfRule>
    <cfRule type="expression" dxfId="2003" priority="1990" stopIfTrue="1">
      <formula>AQ35="0"</formula>
    </cfRule>
  </conditionalFormatting>
  <conditionalFormatting sqref="G35">
    <cfRule type="expression" dxfId="2002" priority="1987" stopIfTrue="1">
      <formula>AND(NOT($C35=""),G35="")</formula>
    </cfRule>
    <cfRule type="expression" dxfId="2001" priority="1988" stopIfTrue="1">
      <formula>AV35="0"</formula>
    </cfRule>
  </conditionalFormatting>
  <conditionalFormatting sqref="H35">
    <cfRule type="expression" dxfId="2000" priority="1985" stopIfTrue="1">
      <formula>AND(NOT($C35=""),H35="")</formula>
    </cfRule>
    <cfRule type="expression" dxfId="1999" priority="1986" stopIfTrue="1">
      <formula>BA35="0"</formula>
    </cfRule>
  </conditionalFormatting>
  <conditionalFormatting sqref="I35">
    <cfRule type="expression" dxfId="1998" priority="1983" stopIfTrue="1">
      <formula>AND(NOT($C35=""),I35="")</formula>
    </cfRule>
    <cfRule type="expression" dxfId="1997" priority="1984" stopIfTrue="1">
      <formula>BF35="0"</formula>
    </cfRule>
  </conditionalFormatting>
  <conditionalFormatting sqref="J35">
    <cfRule type="expression" dxfId="1996" priority="1981" stopIfTrue="1">
      <formula>AND(NOT($C35=""),J35="")</formula>
    </cfRule>
    <cfRule type="expression" dxfId="1995" priority="1982" stopIfTrue="1">
      <formula>BK35="0"</formula>
    </cfRule>
  </conditionalFormatting>
  <conditionalFormatting sqref="K35">
    <cfRule type="expression" dxfId="1994" priority="1979" stopIfTrue="1">
      <formula>AND(NOT($C35=""),K35="")</formula>
    </cfRule>
    <cfRule type="expression" dxfId="1993" priority="1980" stopIfTrue="1">
      <formula>BP35="0"</formula>
    </cfRule>
  </conditionalFormatting>
  <conditionalFormatting sqref="L35">
    <cfRule type="expression" dxfId="1992" priority="1977" stopIfTrue="1">
      <formula>AND(NOT($C35=""),L35="")</formula>
    </cfRule>
    <cfRule type="expression" dxfId="1991" priority="1978" stopIfTrue="1">
      <formula>BU35="0"</formula>
    </cfRule>
  </conditionalFormatting>
  <conditionalFormatting sqref="N35">
    <cfRule type="expression" dxfId="1990" priority="1975" stopIfTrue="1">
      <formula>AND(NOT($C35=""),N35="")</formula>
    </cfRule>
    <cfRule type="expression" dxfId="1989" priority="1976" stopIfTrue="1">
      <formula>CE35="0"</formula>
    </cfRule>
  </conditionalFormatting>
  <conditionalFormatting sqref="M35">
    <cfRule type="expression" dxfId="1988" priority="1974" stopIfTrue="1">
      <formula>BZ35="0"</formula>
    </cfRule>
  </conditionalFormatting>
  <conditionalFormatting sqref="D35">
    <cfRule type="expression" dxfId="1987" priority="1972" stopIfTrue="1">
      <formula>AND(NOT($C35=""),D35="")</formula>
    </cfRule>
    <cfRule type="expression" dxfId="1986" priority="1973" stopIfTrue="1">
      <formula>AG35="0"</formula>
    </cfRule>
  </conditionalFormatting>
  <conditionalFormatting sqref="E35">
    <cfRule type="expression" dxfId="1985" priority="1970" stopIfTrue="1">
      <formula>AND(NOT($C35=""),E35="")</formula>
    </cfRule>
    <cfRule type="expression" dxfId="1984" priority="1971" stopIfTrue="1">
      <formula>AL35="0"</formula>
    </cfRule>
  </conditionalFormatting>
  <conditionalFormatting sqref="F35">
    <cfRule type="expression" dxfId="1983" priority="1968" stopIfTrue="1">
      <formula>AND(NOT($C35=""),F35="")</formula>
    </cfRule>
    <cfRule type="expression" dxfId="1982" priority="1969" stopIfTrue="1">
      <formula>AQ35="0"</formula>
    </cfRule>
  </conditionalFormatting>
  <conditionalFormatting sqref="G35">
    <cfRule type="expression" dxfId="1981" priority="1966" stopIfTrue="1">
      <formula>AND(NOT($C35=""),G35="")</formula>
    </cfRule>
    <cfRule type="expression" dxfId="1980" priority="1967" stopIfTrue="1">
      <formula>AV35="0"</formula>
    </cfRule>
  </conditionalFormatting>
  <conditionalFormatting sqref="H35">
    <cfRule type="expression" dxfId="1979" priority="1964" stopIfTrue="1">
      <formula>AND(NOT($C35=""),H35="")</formula>
    </cfRule>
    <cfRule type="expression" dxfId="1978" priority="1965" stopIfTrue="1">
      <formula>BA35="0"</formula>
    </cfRule>
  </conditionalFormatting>
  <conditionalFormatting sqref="I35">
    <cfRule type="expression" dxfId="1977" priority="1962" stopIfTrue="1">
      <formula>AND(NOT($C35=""),I35="")</formula>
    </cfRule>
    <cfRule type="expression" dxfId="1976" priority="1963" stopIfTrue="1">
      <formula>BF35="0"</formula>
    </cfRule>
  </conditionalFormatting>
  <conditionalFormatting sqref="J35">
    <cfRule type="expression" dxfId="1975" priority="1960" stopIfTrue="1">
      <formula>AND(NOT($C35=""),J35="")</formula>
    </cfRule>
    <cfRule type="expression" dxfId="1974" priority="1961" stopIfTrue="1">
      <formula>BK35="0"</formula>
    </cfRule>
  </conditionalFormatting>
  <conditionalFormatting sqref="K35">
    <cfRule type="expression" dxfId="1973" priority="1958" stopIfTrue="1">
      <formula>AND(NOT($C35=""),K35="")</formula>
    </cfRule>
    <cfRule type="expression" dxfId="1972" priority="1959" stopIfTrue="1">
      <formula>BP35="0"</formula>
    </cfRule>
  </conditionalFormatting>
  <conditionalFormatting sqref="L35">
    <cfRule type="expression" dxfId="1971" priority="1956" stopIfTrue="1">
      <formula>AND(NOT($C35=""),L35="")</formula>
    </cfRule>
    <cfRule type="expression" dxfId="1970" priority="1957" stopIfTrue="1">
      <formula>BU35="0"</formula>
    </cfRule>
  </conditionalFormatting>
  <conditionalFormatting sqref="N35">
    <cfRule type="expression" dxfId="1969" priority="1954" stopIfTrue="1">
      <formula>AND(NOT($C35=""),N35="")</formula>
    </cfRule>
    <cfRule type="expression" dxfId="1968" priority="1955" stopIfTrue="1">
      <formula>CE35="0"</formula>
    </cfRule>
  </conditionalFormatting>
  <conditionalFormatting sqref="M35">
    <cfRule type="expression" dxfId="1967" priority="1953" stopIfTrue="1">
      <formula>BZ35="0"</formula>
    </cfRule>
  </conditionalFormatting>
  <conditionalFormatting sqref="D35">
    <cfRule type="expression" dxfId="1966" priority="1951" stopIfTrue="1">
      <formula>AND(NOT($C35=""),D35="")</formula>
    </cfRule>
    <cfRule type="expression" dxfId="1965" priority="1952" stopIfTrue="1">
      <formula>AG35="0"</formula>
    </cfRule>
  </conditionalFormatting>
  <conditionalFormatting sqref="E35">
    <cfRule type="expression" dxfId="1964" priority="1949" stopIfTrue="1">
      <formula>AND(NOT($C35=""),E35="")</formula>
    </cfRule>
    <cfRule type="expression" dxfId="1963" priority="1950" stopIfTrue="1">
      <formula>AL35="0"</formula>
    </cfRule>
  </conditionalFormatting>
  <conditionalFormatting sqref="F35">
    <cfRule type="expression" dxfId="1962" priority="1947" stopIfTrue="1">
      <formula>AND(NOT($C35=""),F35="")</formula>
    </cfRule>
    <cfRule type="expression" dxfId="1961" priority="1948" stopIfTrue="1">
      <formula>AQ35="0"</formula>
    </cfRule>
  </conditionalFormatting>
  <conditionalFormatting sqref="G35">
    <cfRule type="expression" dxfId="1960" priority="1945" stopIfTrue="1">
      <formula>AND(NOT($C35=""),G35="")</formula>
    </cfRule>
    <cfRule type="expression" dxfId="1959" priority="1946" stopIfTrue="1">
      <formula>AV35="0"</formula>
    </cfRule>
  </conditionalFormatting>
  <conditionalFormatting sqref="H35">
    <cfRule type="expression" dxfId="1958" priority="1943" stopIfTrue="1">
      <formula>AND(NOT($C35=""),H35="")</formula>
    </cfRule>
    <cfRule type="expression" dxfId="1957" priority="1944" stopIfTrue="1">
      <formula>BA35="0"</formula>
    </cfRule>
  </conditionalFormatting>
  <conditionalFormatting sqref="I35">
    <cfRule type="expression" dxfId="1956" priority="1941" stopIfTrue="1">
      <formula>AND(NOT($C35=""),I35="")</formula>
    </cfRule>
    <cfRule type="expression" dxfId="1955" priority="1942" stopIfTrue="1">
      <formula>BF35="0"</formula>
    </cfRule>
  </conditionalFormatting>
  <conditionalFormatting sqref="J35">
    <cfRule type="expression" dxfId="1954" priority="1939" stopIfTrue="1">
      <formula>AND(NOT($C35=""),J35="")</formula>
    </cfRule>
    <cfRule type="expression" dxfId="1953" priority="1940" stopIfTrue="1">
      <formula>BK35="0"</formula>
    </cfRule>
  </conditionalFormatting>
  <conditionalFormatting sqref="K35">
    <cfRule type="expression" dxfId="1952" priority="1937" stopIfTrue="1">
      <formula>AND(NOT($C35=""),K35="")</formula>
    </cfRule>
    <cfRule type="expression" dxfId="1951" priority="1938" stopIfTrue="1">
      <formula>BP35="0"</formula>
    </cfRule>
  </conditionalFormatting>
  <conditionalFormatting sqref="L35">
    <cfRule type="expression" dxfId="1950" priority="1935" stopIfTrue="1">
      <formula>AND(NOT($C35=""),L35="")</formula>
    </cfRule>
    <cfRule type="expression" dxfId="1949" priority="1936" stopIfTrue="1">
      <formula>BU35="0"</formula>
    </cfRule>
  </conditionalFormatting>
  <conditionalFormatting sqref="N35">
    <cfRule type="expression" dxfId="1948" priority="1933" stopIfTrue="1">
      <formula>AND(NOT($C35=""),N35="")</formula>
    </cfRule>
    <cfRule type="expression" dxfId="1947" priority="1934" stopIfTrue="1">
      <formula>CE35="0"</formula>
    </cfRule>
  </conditionalFormatting>
  <conditionalFormatting sqref="M35">
    <cfRule type="expression" dxfId="1946" priority="1932" stopIfTrue="1">
      <formula>BZ35="0"</formula>
    </cfRule>
  </conditionalFormatting>
  <conditionalFormatting sqref="D35">
    <cfRule type="expression" dxfId="1945" priority="1930" stopIfTrue="1">
      <formula>AND(NOT($C35=""),D35="")</formula>
    </cfRule>
    <cfRule type="expression" dxfId="1944" priority="1931" stopIfTrue="1">
      <formula>AG35="0"</formula>
    </cfRule>
  </conditionalFormatting>
  <conditionalFormatting sqref="E35">
    <cfRule type="expression" dxfId="1943" priority="1928" stopIfTrue="1">
      <formula>AND(NOT($C35=""),E35="")</formula>
    </cfRule>
    <cfRule type="expression" dxfId="1942" priority="1929" stopIfTrue="1">
      <formula>AL35="0"</formula>
    </cfRule>
  </conditionalFormatting>
  <conditionalFormatting sqref="F35">
    <cfRule type="expression" dxfId="1941" priority="1926" stopIfTrue="1">
      <formula>AND(NOT($C35=""),F35="")</formula>
    </cfRule>
    <cfRule type="expression" dxfId="1940" priority="1927" stopIfTrue="1">
      <formula>AQ35="0"</formula>
    </cfRule>
  </conditionalFormatting>
  <conditionalFormatting sqref="G35">
    <cfRule type="expression" dxfId="1939" priority="1924" stopIfTrue="1">
      <formula>AND(NOT($C35=""),G35="")</formula>
    </cfRule>
    <cfRule type="expression" dxfId="1938" priority="1925" stopIfTrue="1">
      <formula>AV35="0"</formula>
    </cfRule>
  </conditionalFormatting>
  <conditionalFormatting sqref="H35">
    <cfRule type="expression" dxfId="1937" priority="1922" stopIfTrue="1">
      <formula>AND(NOT($C35=""),H35="")</formula>
    </cfRule>
    <cfRule type="expression" dxfId="1936" priority="1923" stopIfTrue="1">
      <formula>BA35="0"</formula>
    </cfRule>
  </conditionalFormatting>
  <conditionalFormatting sqref="I35">
    <cfRule type="expression" dxfId="1935" priority="1920" stopIfTrue="1">
      <formula>AND(NOT($C35=""),I35="")</formula>
    </cfRule>
    <cfRule type="expression" dxfId="1934" priority="1921" stopIfTrue="1">
      <formula>BF35="0"</formula>
    </cfRule>
  </conditionalFormatting>
  <conditionalFormatting sqref="J35">
    <cfRule type="expression" dxfId="1933" priority="1918" stopIfTrue="1">
      <formula>AND(NOT($C35=""),J35="")</formula>
    </cfRule>
    <cfRule type="expression" dxfId="1932" priority="1919" stopIfTrue="1">
      <formula>BK35="0"</formula>
    </cfRule>
  </conditionalFormatting>
  <conditionalFormatting sqref="K35">
    <cfRule type="expression" dxfId="1931" priority="1916" stopIfTrue="1">
      <formula>AND(NOT($C35=""),K35="")</formula>
    </cfRule>
    <cfRule type="expression" dxfId="1930" priority="1917" stopIfTrue="1">
      <formula>BP35="0"</formula>
    </cfRule>
  </conditionalFormatting>
  <conditionalFormatting sqref="L35">
    <cfRule type="expression" dxfId="1929" priority="1914" stopIfTrue="1">
      <formula>AND(NOT($C35=""),L35="")</formula>
    </cfRule>
    <cfRule type="expression" dxfId="1928" priority="1915" stopIfTrue="1">
      <formula>BU35="0"</formula>
    </cfRule>
  </conditionalFormatting>
  <conditionalFormatting sqref="N35">
    <cfRule type="expression" dxfId="1927" priority="1912" stopIfTrue="1">
      <formula>AND(NOT($C35=""),N35="")</formula>
    </cfRule>
    <cfRule type="expression" dxfId="1926" priority="1913" stopIfTrue="1">
      <formula>CE35="0"</formula>
    </cfRule>
  </conditionalFormatting>
  <conditionalFormatting sqref="M35">
    <cfRule type="expression" dxfId="1925" priority="1911" stopIfTrue="1">
      <formula>BZ35="0"</formula>
    </cfRule>
  </conditionalFormatting>
  <conditionalFormatting sqref="D35">
    <cfRule type="expression" dxfId="1924" priority="1909" stopIfTrue="1">
      <formula>AND(NOT($C35=""),D35="")</formula>
    </cfRule>
    <cfRule type="expression" dxfId="1923" priority="1910" stopIfTrue="1">
      <formula>AG35="0"</formula>
    </cfRule>
  </conditionalFormatting>
  <conditionalFormatting sqref="E35">
    <cfRule type="expression" dxfId="1922" priority="1907" stopIfTrue="1">
      <formula>AND(NOT($C35=""),E35="")</formula>
    </cfRule>
    <cfRule type="expression" dxfId="1921" priority="1908" stopIfTrue="1">
      <formula>AL35="0"</formula>
    </cfRule>
  </conditionalFormatting>
  <conditionalFormatting sqref="F35">
    <cfRule type="expression" dxfId="1920" priority="1905" stopIfTrue="1">
      <formula>AND(NOT($C35=""),F35="")</formula>
    </cfRule>
    <cfRule type="expression" dxfId="1919" priority="1906" stopIfTrue="1">
      <formula>AQ35="0"</formula>
    </cfRule>
  </conditionalFormatting>
  <conditionalFormatting sqref="G35">
    <cfRule type="expression" dxfId="1918" priority="1903" stopIfTrue="1">
      <formula>AND(NOT($C35=""),G35="")</formula>
    </cfRule>
    <cfRule type="expression" dxfId="1917" priority="1904" stopIfTrue="1">
      <formula>AV35="0"</formula>
    </cfRule>
  </conditionalFormatting>
  <conditionalFormatting sqref="H35">
    <cfRule type="expression" dxfId="1916" priority="1901" stopIfTrue="1">
      <formula>AND(NOT($C35=""),H35="")</formula>
    </cfRule>
    <cfRule type="expression" dxfId="1915" priority="1902" stopIfTrue="1">
      <formula>BA35="0"</formula>
    </cfRule>
  </conditionalFormatting>
  <conditionalFormatting sqref="I35">
    <cfRule type="expression" dxfId="1914" priority="1899" stopIfTrue="1">
      <formula>AND(NOT($C35=""),I35="")</formula>
    </cfRule>
    <cfRule type="expression" dxfId="1913" priority="1900" stopIfTrue="1">
      <formula>BF35="0"</formula>
    </cfRule>
  </conditionalFormatting>
  <conditionalFormatting sqref="J35">
    <cfRule type="expression" dxfId="1912" priority="1897" stopIfTrue="1">
      <formula>AND(NOT($C35=""),J35="")</formula>
    </cfRule>
    <cfRule type="expression" dxfId="1911" priority="1898" stopIfTrue="1">
      <formula>BK35="0"</formula>
    </cfRule>
  </conditionalFormatting>
  <conditionalFormatting sqref="K35">
    <cfRule type="expression" dxfId="1910" priority="1895" stopIfTrue="1">
      <formula>AND(NOT($C35=""),K35="")</formula>
    </cfRule>
    <cfRule type="expression" dxfId="1909" priority="1896" stopIfTrue="1">
      <formula>BP35="0"</formula>
    </cfRule>
  </conditionalFormatting>
  <conditionalFormatting sqref="L35">
    <cfRule type="expression" dxfId="1908" priority="1893" stopIfTrue="1">
      <formula>AND(NOT($C35=""),L35="")</formula>
    </cfRule>
    <cfRule type="expression" dxfId="1907" priority="1894" stopIfTrue="1">
      <formula>BU35="0"</formula>
    </cfRule>
  </conditionalFormatting>
  <conditionalFormatting sqref="N35">
    <cfRule type="expression" dxfId="1906" priority="1891" stopIfTrue="1">
      <formula>AND(NOT($C35=""),N35="")</formula>
    </cfRule>
    <cfRule type="expression" dxfId="1905" priority="1892" stopIfTrue="1">
      <formula>CE35="0"</formula>
    </cfRule>
  </conditionalFormatting>
  <conditionalFormatting sqref="M35">
    <cfRule type="expression" dxfId="1904" priority="1890" stopIfTrue="1">
      <formula>BZ35="0"</formula>
    </cfRule>
  </conditionalFormatting>
  <conditionalFormatting sqref="D35">
    <cfRule type="expression" dxfId="1903" priority="1888" stopIfTrue="1">
      <formula>AND(NOT($C35=""),D35="")</formula>
    </cfRule>
    <cfRule type="expression" dxfId="1902" priority="1889" stopIfTrue="1">
      <formula>AG35="0"</formula>
    </cfRule>
  </conditionalFormatting>
  <conditionalFormatting sqref="E35">
    <cfRule type="expression" dxfId="1901" priority="1886" stopIfTrue="1">
      <formula>AND(NOT($C35=""),E35="")</formula>
    </cfRule>
    <cfRule type="expression" dxfId="1900" priority="1887" stopIfTrue="1">
      <formula>AL35="0"</formula>
    </cfRule>
  </conditionalFormatting>
  <conditionalFormatting sqref="F35">
    <cfRule type="expression" dxfId="1899" priority="1884" stopIfTrue="1">
      <formula>AND(NOT($C35=""),F35="")</formula>
    </cfRule>
    <cfRule type="expression" dxfId="1898" priority="1885" stopIfTrue="1">
      <formula>AQ35="0"</formula>
    </cfRule>
  </conditionalFormatting>
  <conditionalFormatting sqref="G35">
    <cfRule type="expression" dxfId="1897" priority="1882" stopIfTrue="1">
      <formula>AND(NOT($C35=""),G35="")</formula>
    </cfRule>
    <cfRule type="expression" dxfId="1896" priority="1883" stopIfTrue="1">
      <formula>AV35="0"</formula>
    </cfRule>
  </conditionalFormatting>
  <conditionalFormatting sqref="H35">
    <cfRule type="expression" dxfId="1895" priority="1880" stopIfTrue="1">
      <formula>AND(NOT($C35=""),H35="")</formula>
    </cfRule>
    <cfRule type="expression" dxfId="1894" priority="1881" stopIfTrue="1">
      <formula>BA35="0"</formula>
    </cfRule>
  </conditionalFormatting>
  <conditionalFormatting sqref="I35">
    <cfRule type="expression" dxfId="1893" priority="1878" stopIfTrue="1">
      <formula>AND(NOT($C35=""),I35="")</formula>
    </cfRule>
    <cfRule type="expression" dxfId="1892" priority="1879" stopIfTrue="1">
      <formula>BF35="0"</formula>
    </cfRule>
  </conditionalFormatting>
  <conditionalFormatting sqref="J35">
    <cfRule type="expression" dxfId="1891" priority="1876" stopIfTrue="1">
      <formula>AND(NOT($C35=""),J35="")</formula>
    </cfRule>
    <cfRule type="expression" dxfId="1890" priority="1877" stopIfTrue="1">
      <formula>BK35="0"</formula>
    </cfRule>
  </conditionalFormatting>
  <conditionalFormatting sqref="K35">
    <cfRule type="expression" dxfId="1889" priority="1874" stopIfTrue="1">
      <formula>AND(NOT($C35=""),K35="")</formula>
    </cfRule>
    <cfRule type="expression" dxfId="1888" priority="1875" stopIfTrue="1">
      <formula>BP35="0"</formula>
    </cfRule>
  </conditionalFormatting>
  <conditionalFormatting sqref="L35">
    <cfRule type="expression" dxfId="1887" priority="1872" stopIfTrue="1">
      <formula>AND(NOT($C35=""),L35="")</formula>
    </cfRule>
    <cfRule type="expression" dxfId="1886" priority="1873" stopIfTrue="1">
      <formula>BU35="0"</formula>
    </cfRule>
  </conditionalFormatting>
  <conditionalFormatting sqref="N35">
    <cfRule type="expression" dxfId="1885" priority="1870" stopIfTrue="1">
      <formula>AND(NOT($C35=""),N35="")</formula>
    </cfRule>
    <cfRule type="expression" dxfId="1884" priority="1871" stopIfTrue="1">
      <formula>CE35="0"</formula>
    </cfRule>
  </conditionalFormatting>
  <conditionalFormatting sqref="M35">
    <cfRule type="expression" dxfId="1883" priority="1869" stopIfTrue="1">
      <formula>BZ35="0"</formula>
    </cfRule>
  </conditionalFormatting>
  <conditionalFormatting sqref="D35">
    <cfRule type="expression" dxfId="1882" priority="1867" stopIfTrue="1">
      <formula>AND(NOT($C35=""),D35="")</formula>
    </cfRule>
    <cfRule type="expression" dxfId="1881" priority="1868" stopIfTrue="1">
      <formula>AG35="0"</formula>
    </cfRule>
  </conditionalFormatting>
  <conditionalFormatting sqref="E35">
    <cfRule type="expression" dxfId="1880" priority="1865" stopIfTrue="1">
      <formula>AND(NOT($C35=""),E35="")</formula>
    </cfRule>
    <cfRule type="expression" dxfId="1879" priority="1866" stopIfTrue="1">
      <formula>AL35="0"</formula>
    </cfRule>
  </conditionalFormatting>
  <conditionalFormatting sqref="F35">
    <cfRule type="expression" dxfId="1878" priority="1863" stopIfTrue="1">
      <formula>AND(NOT($C35=""),F35="")</formula>
    </cfRule>
    <cfRule type="expression" dxfId="1877" priority="1864" stopIfTrue="1">
      <formula>AQ35="0"</formula>
    </cfRule>
  </conditionalFormatting>
  <conditionalFormatting sqref="G35">
    <cfRule type="expression" dxfId="1876" priority="1861" stopIfTrue="1">
      <formula>AND(NOT($C35=""),G35="")</formula>
    </cfRule>
    <cfRule type="expression" dxfId="1875" priority="1862" stopIfTrue="1">
      <formula>AV35="0"</formula>
    </cfRule>
  </conditionalFormatting>
  <conditionalFormatting sqref="H35">
    <cfRule type="expression" dxfId="1874" priority="1859" stopIfTrue="1">
      <formula>AND(NOT($C35=""),H35="")</formula>
    </cfRule>
    <cfRule type="expression" dxfId="1873" priority="1860" stopIfTrue="1">
      <formula>BA35="0"</formula>
    </cfRule>
  </conditionalFormatting>
  <conditionalFormatting sqref="I35">
    <cfRule type="expression" dxfId="1872" priority="1857" stopIfTrue="1">
      <formula>AND(NOT($C35=""),I35="")</formula>
    </cfRule>
    <cfRule type="expression" dxfId="1871" priority="1858" stopIfTrue="1">
      <formula>BF35="0"</formula>
    </cfRule>
  </conditionalFormatting>
  <conditionalFormatting sqref="J35">
    <cfRule type="expression" dxfId="1870" priority="1855" stopIfTrue="1">
      <formula>AND(NOT($C35=""),J35="")</formula>
    </cfRule>
    <cfRule type="expression" dxfId="1869" priority="1856" stopIfTrue="1">
      <formula>BK35="0"</formula>
    </cfRule>
  </conditionalFormatting>
  <conditionalFormatting sqref="K35">
    <cfRule type="expression" dxfId="1868" priority="1853" stopIfTrue="1">
      <formula>AND(NOT($C35=""),K35="")</formula>
    </cfRule>
    <cfRule type="expression" dxfId="1867" priority="1854" stopIfTrue="1">
      <formula>BP35="0"</formula>
    </cfRule>
  </conditionalFormatting>
  <conditionalFormatting sqref="L35">
    <cfRule type="expression" dxfId="1866" priority="1851" stopIfTrue="1">
      <formula>AND(NOT($C35=""),L35="")</formula>
    </cfRule>
    <cfRule type="expression" dxfId="1865" priority="1852" stopIfTrue="1">
      <formula>BU35="0"</formula>
    </cfRule>
  </conditionalFormatting>
  <conditionalFormatting sqref="N35">
    <cfRule type="expression" dxfId="1864" priority="1849" stopIfTrue="1">
      <formula>AND(NOT($C35=""),N35="")</formula>
    </cfRule>
    <cfRule type="expression" dxfId="1863" priority="1850" stopIfTrue="1">
      <formula>CE35="0"</formula>
    </cfRule>
  </conditionalFormatting>
  <conditionalFormatting sqref="M35">
    <cfRule type="expression" dxfId="1862" priority="1848" stopIfTrue="1">
      <formula>BZ35="0"</formula>
    </cfRule>
  </conditionalFormatting>
  <conditionalFormatting sqref="D35">
    <cfRule type="expression" dxfId="1861" priority="1846" stopIfTrue="1">
      <formula>AND(NOT($C35=""),D35="")</formula>
    </cfRule>
    <cfRule type="expression" dxfId="1860" priority="1847" stopIfTrue="1">
      <formula>AG35="0"</formula>
    </cfRule>
  </conditionalFormatting>
  <conditionalFormatting sqref="E35">
    <cfRule type="expression" dxfId="1859" priority="1844" stopIfTrue="1">
      <formula>AND(NOT($C35=""),E35="")</formula>
    </cfRule>
    <cfRule type="expression" dxfId="1858" priority="1845" stopIfTrue="1">
      <formula>AL35="0"</formula>
    </cfRule>
  </conditionalFormatting>
  <conditionalFormatting sqref="F35">
    <cfRule type="expression" dxfId="1857" priority="1842" stopIfTrue="1">
      <formula>AND(NOT($C35=""),F35="")</formula>
    </cfRule>
    <cfRule type="expression" dxfId="1856" priority="1843" stopIfTrue="1">
      <formula>AQ35="0"</formula>
    </cfRule>
  </conditionalFormatting>
  <conditionalFormatting sqref="G35">
    <cfRule type="expression" dxfId="1855" priority="1840" stopIfTrue="1">
      <formula>AND(NOT($C35=""),G35="")</formula>
    </cfRule>
    <cfRule type="expression" dxfId="1854" priority="1841" stopIfTrue="1">
      <formula>AV35="0"</formula>
    </cfRule>
  </conditionalFormatting>
  <conditionalFormatting sqref="H35">
    <cfRule type="expression" dxfId="1853" priority="1838" stopIfTrue="1">
      <formula>AND(NOT($C35=""),H35="")</formula>
    </cfRule>
    <cfRule type="expression" dxfId="1852" priority="1839" stopIfTrue="1">
      <formula>BA35="0"</formula>
    </cfRule>
  </conditionalFormatting>
  <conditionalFormatting sqref="I35">
    <cfRule type="expression" dxfId="1851" priority="1836" stopIfTrue="1">
      <formula>AND(NOT($C35=""),I35="")</formula>
    </cfRule>
    <cfRule type="expression" dxfId="1850" priority="1837" stopIfTrue="1">
      <formula>BF35="0"</formula>
    </cfRule>
  </conditionalFormatting>
  <conditionalFormatting sqref="J35">
    <cfRule type="expression" dxfId="1849" priority="1834" stopIfTrue="1">
      <formula>AND(NOT($C35=""),J35="")</formula>
    </cfRule>
    <cfRule type="expression" dxfId="1848" priority="1835" stopIfTrue="1">
      <formula>BK35="0"</formula>
    </cfRule>
  </conditionalFormatting>
  <conditionalFormatting sqref="K35">
    <cfRule type="expression" dxfId="1847" priority="1832" stopIfTrue="1">
      <formula>AND(NOT($C35=""),K35="")</formula>
    </cfRule>
    <cfRule type="expression" dxfId="1846" priority="1833" stopIfTrue="1">
      <formula>BP35="0"</formula>
    </cfRule>
  </conditionalFormatting>
  <conditionalFormatting sqref="L35">
    <cfRule type="expression" dxfId="1845" priority="1830" stopIfTrue="1">
      <formula>AND(NOT($C35=""),L35="")</formula>
    </cfRule>
    <cfRule type="expression" dxfId="1844" priority="1831" stopIfTrue="1">
      <formula>BU35="0"</formula>
    </cfRule>
  </conditionalFormatting>
  <conditionalFormatting sqref="N35">
    <cfRule type="expression" dxfId="1843" priority="1828" stopIfTrue="1">
      <formula>AND(NOT($C35=""),N35="")</formula>
    </cfRule>
    <cfRule type="expression" dxfId="1842" priority="1829" stopIfTrue="1">
      <formula>CE35="0"</formula>
    </cfRule>
  </conditionalFormatting>
  <conditionalFormatting sqref="M37">
    <cfRule type="expression" dxfId="1841" priority="1827" stopIfTrue="1">
      <formula>BZ37="0"</formula>
    </cfRule>
  </conditionalFormatting>
  <conditionalFormatting sqref="E37">
    <cfRule type="expression" dxfId="1840" priority="1825" stopIfTrue="1">
      <formula>AND(NOT($C37=""),E37="")</formula>
    </cfRule>
    <cfRule type="expression" dxfId="1839" priority="1826" stopIfTrue="1">
      <formula>AL37="0"</formula>
    </cfRule>
  </conditionalFormatting>
  <conditionalFormatting sqref="F37">
    <cfRule type="expression" dxfId="1838" priority="1823" stopIfTrue="1">
      <formula>AND(NOT($C37=""),F37="")</formula>
    </cfRule>
    <cfRule type="expression" dxfId="1837" priority="1824" stopIfTrue="1">
      <formula>AQ37="0"</formula>
    </cfRule>
  </conditionalFormatting>
  <conditionalFormatting sqref="G37">
    <cfRule type="expression" dxfId="1836" priority="1821" stopIfTrue="1">
      <formula>AND(NOT($C37=""),G37="")</formula>
    </cfRule>
    <cfRule type="expression" dxfId="1835" priority="1822" stopIfTrue="1">
      <formula>AV37="0"</formula>
    </cfRule>
  </conditionalFormatting>
  <conditionalFormatting sqref="H37">
    <cfRule type="expression" dxfId="1834" priority="1819" stopIfTrue="1">
      <formula>AND(NOT($C37=""),H37="")</formula>
    </cfRule>
    <cfRule type="expression" dxfId="1833" priority="1820" stopIfTrue="1">
      <formula>BA37="0"</formula>
    </cfRule>
  </conditionalFormatting>
  <conditionalFormatting sqref="I37">
    <cfRule type="expression" dxfId="1832" priority="1817" stopIfTrue="1">
      <formula>AND(NOT($C37=""),I37="")</formula>
    </cfRule>
    <cfRule type="expression" dxfId="1831" priority="1818" stopIfTrue="1">
      <formula>BF37="0"</formula>
    </cfRule>
  </conditionalFormatting>
  <conditionalFormatting sqref="J37">
    <cfRule type="expression" dxfId="1830" priority="1815" stopIfTrue="1">
      <formula>AND(NOT($C37=""),J37="")</formula>
    </cfRule>
    <cfRule type="expression" dxfId="1829" priority="1816" stopIfTrue="1">
      <formula>BK37="0"</formula>
    </cfRule>
  </conditionalFormatting>
  <conditionalFormatting sqref="K37">
    <cfRule type="expression" dxfId="1828" priority="1813" stopIfTrue="1">
      <formula>AND(NOT($C37=""),K37="")</formula>
    </cfRule>
    <cfRule type="expression" dxfId="1827" priority="1814" stopIfTrue="1">
      <formula>BP37="0"</formula>
    </cfRule>
  </conditionalFormatting>
  <conditionalFormatting sqref="L37">
    <cfRule type="expression" dxfId="1826" priority="1811" stopIfTrue="1">
      <formula>AND(NOT($C37=""),L37="")</formula>
    </cfRule>
    <cfRule type="expression" dxfId="1825" priority="1812" stopIfTrue="1">
      <formula>BU37="0"</formula>
    </cfRule>
  </conditionalFormatting>
  <conditionalFormatting sqref="N37">
    <cfRule type="expression" dxfId="1824" priority="1809" stopIfTrue="1">
      <formula>AND(NOT($C37=""),N37="")</formula>
    </cfRule>
    <cfRule type="expression" dxfId="1823" priority="1810" stopIfTrue="1">
      <formula>CE37="0"</formula>
    </cfRule>
  </conditionalFormatting>
  <conditionalFormatting sqref="M37">
    <cfRule type="expression" dxfId="1822" priority="1808" stopIfTrue="1">
      <formula>BZ37="0"</formula>
    </cfRule>
  </conditionalFormatting>
  <conditionalFormatting sqref="E37">
    <cfRule type="expression" dxfId="1821" priority="1806" stopIfTrue="1">
      <formula>AND(NOT($C37=""),E37="")</formula>
    </cfRule>
    <cfRule type="expression" dxfId="1820" priority="1807" stopIfTrue="1">
      <formula>AL37="0"</formula>
    </cfRule>
  </conditionalFormatting>
  <conditionalFormatting sqref="F37">
    <cfRule type="expression" dxfId="1819" priority="1804" stopIfTrue="1">
      <formula>AND(NOT($C37=""),F37="")</formula>
    </cfRule>
    <cfRule type="expression" dxfId="1818" priority="1805" stopIfTrue="1">
      <formula>AQ37="0"</formula>
    </cfRule>
  </conditionalFormatting>
  <conditionalFormatting sqref="G37">
    <cfRule type="expression" dxfId="1817" priority="1802" stopIfTrue="1">
      <formula>AND(NOT($C37=""),G37="")</formula>
    </cfRule>
    <cfRule type="expression" dxfId="1816" priority="1803" stopIfTrue="1">
      <formula>AV37="0"</formula>
    </cfRule>
  </conditionalFormatting>
  <conditionalFormatting sqref="H37">
    <cfRule type="expression" dxfId="1815" priority="1800" stopIfTrue="1">
      <formula>AND(NOT($C37=""),H37="")</formula>
    </cfRule>
    <cfRule type="expression" dxfId="1814" priority="1801" stopIfTrue="1">
      <formula>BA37="0"</formula>
    </cfRule>
  </conditionalFormatting>
  <conditionalFormatting sqref="I37">
    <cfRule type="expression" dxfId="1813" priority="1798" stopIfTrue="1">
      <formula>AND(NOT($C37=""),I37="")</formula>
    </cfRule>
    <cfRule type="expression" dxfId="1812" priority="1799" stopIfTrue="1">
      <formula>BF37="0"</formula>
    </cfRule>
  </conditionalFormatting>
  <conditionalFormatting sqref="J37">
    <cfRule type="expression" dxfId="1811" priority="1796" stopIfTrue="1">
      <formula>AND(NOT($C37=""),J37="")</formula>
    </cfRule>
    <cfRule type="expression" dxfId="1810" priority="1797" stopIfTrue="1">
      <formula>BK37="0"</formula>
    </cfRule>
  </conditionalFormatting>
  <conditionalFormatting sqref="K37">
    <cfRule type="expression" dxfId="1809" priority="1794" stopIfTrue="1">
      <formula>AND(NOT($C37=""),K37="")</formula>
    </cfRule>
    <cfRule type="expression" dxfId="1808" priority="1795" stopIfTrue="1">
      <formula>BP37="0"</formula>
    </cfRule>
  </conditionalFormatting>
  <conditionalFormatting sqref="L37">
    <cfRule type="expression" dxfId="1807" priority="1792" stopIfTrue="1">
      <formula>AND(NOT($C37=""),L37="")</formula>
    </cfRule>
    <cfRule type="expression" dxfId="1806" priority="1793" stopIfTrue="1">
      <formula>BU37="0"</formula>
    </cfRule>
  </conditionalFormatting>
  <conditionalFormatting sqref="N37">
    <cfRule type="expression" dxfId="1805" priority="1790" stopIfTrue="1">
      <formula>AND(NOT($C37=""),N37="")</formula>
    </cfRule>
    <cfRule type="expression" dxfId="1804" priority="1791" stopIfTrue="1">
      <formula>CE37="0"</formula>
    </cfRule>
  </conditionalFormatting>
  <conditionalFormatting sqref="M37">
    <cfRule type="expression" dxfId="1803" priority="1789" stopIfTrue="1">
      <formula>BZ37="0"</formula>
    </cfRule>
  </conditionalFormatting>
  <conditionalFormatting sqref="E37">
    <cfRule type="expression" dxfId="1802" priority="1787" stopIfTrue="1">
      <formula>AND(NOT($C37=""),E37="")</formula>
    </cfRule>
    <cfRule type="expression" dxfId="1801" priority="1788" stopIfTrue="1">
      <formula>AL37="0"</formula>
    </cfRule>
  </conditionalFormatting>
  <conditionalFormatting sqref="F37">
    <cfRule type="expression" dxfId="1800" priority="1785" stopIfTrue="1">
      <formula>AND(NOT($C37=""),F37="")</formula>
    </cfRule>
    <cfRule type="expression" dxfId="1799" priority="1786" stopIfTrue="1">
      <formula>AQ37="0"</formula>
    </cfRule>
  </conditionalFormatting>
  <conditionalFormatting sqref="G37">
    <cfRule type="expression" dxfId="1798" priority="1783" stopIfTrue="1">
      <formula>AND(NOT($C37=""),G37="")</formula>
    </cfRule>
    <cfRule type="expression" dxfId="1797" priority="1784" stopIfTrue="1">
      <formula>AV37="0"</formula>
    </cfRule>
  </conditionalFormatting>
  <conditionalFormatting sqref="H37">
    <cfRule type="expression" dxfId="1796" priority="1781" stopIfTrue="1">
      <formula>AND(NOT($C37=""),H37="")</formula>
    </cfRule>
    <cfRule type="expression" dxfId="1795" priority="1782" stopIfTrue="1">
      <formula>BA37="0"</formula>
    </cfRule>
  </conditionalFormatting>
  <conditionalFormatting sqref="I37">
    <cfRule type="expression" dxfId="1794" priority="1779" stopIfTrue="1">
      <formula>AND(NOT($C37=""),I37="")</formula>
    </cfRule>
    <cfRule type="expression" dxfId="1793" priority="1780" stopIfTrue="1">
      <formula>BF37="0"</formula>
    </cfRule>
  </conditionalFormatting>
  <conditionalFormatting sqref="J37">
    <cfRule type="expression" dxfId="1792" priority="1777" stopIfTrue="1">
      <formula>AND(NOT($C37=""),J37="")</formula>
    </cfRule>
    <cfRule type="expression" dxfId="1791" priority="1778" stopIfTrue="1">
      <formula>BK37="0"</formula>
    </cfRule>
  </conditionalFormatting>
  <conditionalFormatting sqref="K37">
    <cfRule type="expression" dxfId="1790" priority="1775" stopIfTrue="1">
      <formula>AND(NOT($C37=""),K37="")</formula>
    </cfRule>
    <cfRule type="expression" dxfId="1789" priority="1776" stopIfTrue="1">
      <formula>BP37="0"</formula>
    </cfRule>
  </conditionalFormatting>
  <conditionalFormatting sqref="L37">
    <cfRule type="expression" dxfId="1788" priority="1773" stopIfTrue="1">
      <formula>AND(NOT($C37=""),L37="")</formula>
    </cfRule>
    <cfRule type="expression" dxfId="1787" priority="1774" stopIfTrue="1">
      <formula>BU37="0"</formula>
    </cfRule>
  </conditionalFormatting>
  <conditionalFormatting sqref="N37">
    <cfRule type="expression" dxfId="1786" priority="1771" stopIfTrue="1">
      <formula>AND(NOT($C37=""),N37="")</formula>
    </cfRule>
    <cfRule type="expression" dxfId="1785" priority="1772" stopIfTrue="1">
      <formula>CE37="0"</formula>
    </cfRule>
  </conditionalFormatting>
  <conditionalFormatting sqref="M37">
    <cfRule type="expression" dxfId="1784" priority="1770" stopIfTrue="1">
      <formula>BZ37="0"</formula>
    </cfRule>
  </conditionalFormatting>
  <conditionalFormatting sqref="E37">
    <cfRule type="expression" dxfId="1783" priority="1768" stopIfTrue="1">
      <formula>AND(NOT($C37=""),E37="")</formula>
    </cfRule>
    <cfRule type="expression" dxfId="1782" priority="1769" stopIfTrue="1">
      <formula>AL37="0"</formula>
    </cfRule>
  </conditionalFormatting>
  <conditionalFormatting sqref="F37">
    <cfRule type="expression" dxfId="1781" priority="1766" stopIfTrue="1">
      <formula>AND(NOT($C37=""),F37="")</formula>
    </cfRule>
    <cfRule type="expression" dxfId="1780" priority="1767" stopIfTrue="1">
      <formula>AQ37="0"</formula>
    </cfRule>
  </conditionalFormatting>
  <conditionalFormatting sqref="G37">
    <cfRule type="expression" dxfId="1779" priority="1764" stopIfTrue="1">
      <formula>AND(NOT($C37=""),G37="")</formula>
    </cfRule>
    <cfRule type="expression" dxfId="1778" priority="1765" stopIfTrue="1">
      <formula>AV37="0"</formula>
    </cfRule>
  </conditionalFormatting>
  <conditionalFormatting sqref="H37">
    <cfRule type="expression" dxfId="1777" priority="1762" stopIfTrue="1">
      <formula>AND(NOT($C37=""),H37="")</formula>
    </cfRule>
    <cfRule type="expression" dxfId="1776" priority="1763" stopIfTrue="1">
      <formula>BA37="0"</formula>
    </cfRule>
  </conditionalFormatting>
  <conditionalFormatting sqref="I37">
    <cfRule type="expression" dxfId="1775" priority="1760" stopIfTrue="1">
      <formula>AND(NOT($C37=""),I37="")</formula>
    </cfRule>
    <cfRule type="expression" dxfId="1774" priority="1761" stopIfTrue="1">
      <formula>BF37="0"</formula>
    </cfRule>
  </conditionalFormatting>
  <conditionalFormatting sqref="J37">
    <cfRule type="expression" dxfId="1773" priority="1758" stopIfTrue="1">
      <formula>AND(NOT($C37=""),J37="")</formula>
    </cfRule>
    <cfRule type="expression" dxfId="1772" priority="1759" stopIfTrue="1">
      <formula>BK37="0"</formula>
    </cfRule>
  </conditionalFormatting>
  <conditionalFormatting sqref="K37">
    <cfRule type="expression" dxfId="1771" priority="1756" stopIfTrue="1">
      <formula>AND(NOT($C37=""),K37="")</formula>
    </cfRule>
    <cfRule type="expression" dxfId="1770" priority="1757" stopIfTrue="1">
      <formula>BP37="0"</formula>
    </cfRule>
  </conditionalFormatting>
  <conditionalFormatting sqref="L37">
    <cfRule type="expression" dxfId="1769" priority="1754" stopIfTrue="1">
      <formula>AND(NOT($C37=""),L37="")</formula>
    </cfRule>
    <cfRule type="expression" dxfId="1768" priority="1755" stopIfTrue="1">
      <formula>BU37="0"</formula>
    </cfRule>
  </conditionalFormatting>
  <conditionalFormatting sqref="N37">
    <cfRule type="expression" dxfId="1767" priority="1752" stopIfTrue="1">
      <formula>AND(NOT($C37=""),N37="")</formula>
    </cfRule>
    <cfRule type="expression" dxfId="1766" priority="1753" stopIfTrue="1">
      <formula>CE37="0"</formula>
    </cfRule>
  </conditionalFormatting>
  <conditionalFormatting sqref="M37">
    <cfRule type="expression" dxfId="1765" priority="1751" stopIfTrue="1">
      <formula>BZ37="0"</formula>
    </cfRule>
  </conditionalFormatting>
  <conditionalFormatting sqref="E37">
    <cfRule type="expression" dxfId="1764" priority="1749" stopIfTrue="1">
      <formula>AND(NOT($C37=""),E37="")</formula>
    </cfRule>
    <cfRule type="expression" dxfId="1763" priority="1750" stopIfTrue="1">
      <formula>AL37="0"</formula>
    </cfRule>
  </conditionalFormatting>
  <conditionalFormatting sqref="F37">
    <cfRule type="expression" dxfId="1762" priority="1747" stopIfTrue="1">
      <formula>AND(NOT($C37=""),F37="")</formula>
    </cfRule>
    <cfRule type="expression" dxfId="1761" priority="1748" stopIfTrue="1">
      <formula>AQ37="0"</formula>
    </cfRule>
  </conditionalFormatting>
  <conditionalFormatting sqref="G37">
    <cfRule type="expression" dxfId="1760" priority="1745" stopIfTrue="1">
      <formula>AND(NOT($C37=""),G37="")</formula>
    </cfRule>
    <cfRule type="expression" dxfId="1759" priority="1746" stopIfTrue="1">
      <formula>AV37="0"</formula>
    </cfRule>
  </conditionalFormatting>
  <conditionalFormatting sqref="H37">
    <cfRule type="expression" dxfId="1758" priority="1743" stopIfTrue="1">
      <formula>AND(NOT($C37=""),H37="")</formula>
    </cfRule>
    <cfRule type="expression" dxfId="1757" priority="1744" stopIfTrue="1">
      <formula>BA37="0"</formula>
    </cfRule>
  </conditionalFormatting>
  <conditionalFormatting sqref="I37">
    <cfRule type="expression" dxfId="1756" priority="1741" stopIfTrue="1">
      <formula>AND(NOT($C37=""),I37="")</formula>
    </cfRule>
    <cfRule type="expression" dxfId="1755" priority="1742" stopIfTrue="1">
      <formula>BF37="0"</formula>
    </cfRule>
  </conditionalFormatting>
  <conditionalFormatting sqref="J37">
    <cfRule type="expression" dxfId="1754" priority="1739" stopIfTrue="1">
      <formula>AND(NOT($C37=""),J37="")</formula>
    </cfRule>
    <cfRule type="expression" dxfId="1753" priority="1740" stopIfTrue="1">
      <formula>BK37="0"</formula>
    </cfRule>
  </conditionalFormatting>
  <conditionalFormatting sqref="K37">
    <cfRule type="expression" dxfId="1752" priority="1737" stopIfTrue="1">
      <formula>AND(NOT($C37=""),K37="")</formula>
    </cfRule>
    <cfRule type="expression" dxfId="1751" priority="1738" stopIfTrue="1">
      <formula>BP37="0"</formula>
    </cfRule>
  </conditionalFormatting>
  <conditionalFormatting sqref="L37">
    <cfRule type="expression" dxfId="1750" priority="1735" stopIfTrue="1">
      <formula>AND(NOT($C37=""),L37="")</formula>
    </cfRule>
    <cfRule type="expression" dxfId="1749" priority="1736" stopIfTrue="1">
      <formula>BU37="0"</formula>
    </cfRule>
  </conditionalFormatting>
  <conditionalFormatting sqref="N37">
    <cfRule type="expression" dxfId="1748" priority="1733" stopIfTrue="1">
      <formula>AND(NOT($C37=""),N37="")</formula>
    </cfRule>
    <cfRule type="expression" dxfId="1747" priority="1734" stopIfTrue="1">
      <formula>CE37="0"</formula>
    </cfRule>
  </conditionalFormatting>
  <conditionalFormatting sqref="M37">
    <cfRule type="expression" dxfId="1746" priority="1732" stopIfTrue="1">
      <formula>BZ37="0"</formula>
    </cfRule>
  </conditionalFormatting>
  <conditionalFormatting sqref="E37">
    <cfRule type="expression" dxfId="1745" priority="1730" stopIfTrue="1">
      <formula>AND(NOT($C37=""),E37="")</formula>
    </cfRule>
    <cfRule type="expression" dxfId="1744" priority="1731" stopIfTrue="1">
      <formula>AL37="0"</formula>
    </cfRule>
  </conditionalFormatting>
  <conditionalFormatting sqref="F37">
    <cfRule type="expression" dxfId="1743" priority="1728" stopIfTrue="1">
      <formula>AND(NOT($C37=""),F37="")</formula>
    </cfRule>
    <cfRule type="expression" dxfId="1742" priority="1729" stopIfTrue="1">
      <formula>AQ37="0"</formula>
    </cfRule>
  </conditionalFormatting>
  <conditionalFormatting sqref="G37">
    <cfRule type="expression" dxfId="1741" priority="1726" stopIfTrue="1">
      <formula>AND(NOT($C37=""),G37="")</formula>
    </cfRule>
    <cfRule type="expression" dxfId="1740" priority="1727" stopIfTrue="1">
      <formula>AV37="0"</formula>
    </cfRule>
  </conditionalFormatting>
  <conditionalFormatting sqref="H37">
    <cfRule type="expression" dxfId="1739" priority="1724" stopIfTrue="1">
      <formula>AND(NOT($C37=""),H37="")</formula>
    </cfRule>
    <cfRule type="expression" dxfId="1738" priority="1725" stopIfTrue="1">
      <formula>BA37="0"</formula>
    </cfRule>
  </conditionalFormatting>
  <conditionalFormatting sqref="I37">
    <cfRule type="expression" dxfId="1737" priority="1722" stopIfTrue="1">
      <formula>AND(NOT($C37=""),I37="")</formula>
    </cfRule>
    <cfRule type="expression" dxfId="1736" priority="1723" stopIfTrue="1">
      <formula>BF37="0"</formula>
    </cfRule>
  </conditionalFormatting>
  <conditionalFormatting sqref="J37">
    <cfRule type="expression" dxfId="1735" priority="1720" stopIfTrue="1">
      <formula>AND(NOT($C37=""),J37="")</formula>
    </cfRule>
    <cfRule type="expression" dxfId="1734" priority="1721" stopIfTrue="1">
      <formula>BK37="0"</formula>
    </cfRule>
  </conditionalFormatting>
  <conditionalFormatting sqref="K37">
    <cfRule type="expression" dxfId="1733" priority="1718" stopIfTrue="1">
      <formula>AND(NOT($C37=""),K37="")</formula>
    </cfRule>
    <cfRule type="expression" dxfId="1732" priority="1719" stopIfTrue="1">
      <formula>BP37="0"</formula>
    </cfRule>
  </conditionalFormatting>
  <conditionalFormatting sqref="L37">
    <cfRule type="expression" dxfId="1731" priority="1716" stopIfTrue="1">
      <formula>AND(NOT($C37=""),L37="")</formula>
    </cfRule>
    <cfRule type="expression" dxfId="1730" priority="1717" stopIfTrue="1">
      <formula>BU37="0"</formula>
    </cfRule>
  </conditionalFormatting>
  <conditionalFormatting sqref="N37">
    <cfRule type="expression" dxfId="1729" priority="1714" stopIfTrue="1">
      <formula>AND(NOT($C37=""),N37="")</formula>
    </cfRule>
    <cfRule type="expression" dxfId="1728" priority="1715" stopIfTrue="1">
      <formula>CE37="0"</formula>
    </cfRule>
  </conditionalFormatting>
  <conditionalFormatting sqref="M37">
    <cfRule type="expression" dxfId="1727" priority="1713" stopIfTrue="1">
      <formula>BZ37="0"</formula>
    </cfRule>
  </conditionalFormatting>
  <conditionalFormatting sqref="E37">
    <cfRule type="expression" dxfId="1726" priority="1711" stopIfTrue="1">
      <formula>AND(NOT($C37=""),E37="")</formula>
    </cfRule>
    <cfRule type="expression" dxfId="1725" priority="1712" stopIfTrue="1">
      <formula>AL37="0"</formula>
    </cfRule>
  </conditionalFormatting>
  <conditionalFormatting sqref="F37">
    <cfRule type="expression" dxfId="1724" priority="1709" stopIfTrue="1">
      <formula>AND(NOT($C37=""),F37="")</formula>
    </cfRule>
    <cfRule type="expression" dxfId="1723" priority="1710" stopIfTrue="1">
      <formula>AQ37="0"</formula>
    </cfRule>
  </conditionalFormatting>
  <conditionalFormatting sqref="G37">
    <cfRule type="expression" dxfId="1722" priority="1707" stopIfTrue="1">
      <formula>AND(NOT($C37=""),G37="")</formula>
    </cfRule>
    <cfRule type="expression" dxfId="1721" priority="1708" stopIfTrue="1">
      <formula>AV37="0"</formula>
    </cfRule>
  </conditionalFormatting>
  <conditionalFormatting sqref="H37">
    <cfRule type="expression" dxfId="1720" priority="1705" stopIfTrue="1">
      <formula>AND(NOT($C37=""),H37="")</formula>
    </cfRule>
    <cfRule type="expression" dxfId="1719" priority="1706" stopIfTrue="1">
      <formula>BA37="0"</formula>
    </cfRule>
  </conditionalFormatting>
  <conditionalFormatting sqref="I37">
    <cfRule type="expression" dxfId="1718" priority="1703" stopIfTrue="1">
      <formula>AND(NOT($C37=""),I37="")</formula>
    </cfRule>
    <cfRule type="expression" dxfId="1717" priority="1704" stopIfTrue="1">
      <formula>BF37="0"</formula>
    </cfRule>
  </conditionalFormatting>
  <conditionalFormatting sqref="J37">
    <cfRule type="expression" dxfId="1716" priority="1701" stopIfTrue="1">
      <formula>AND(NOT($C37=""),J37="")</formula>
    </cfRule>
    <cfRule type="expression" dxfId="1715" priority="1702" stopIfTrue="1">
      <formula>BK37="0"</formula>
    </cfRule>
  </conditionalFormatting>
  <conditionalFormatting sqref="K37">
    <cfRule type="expression" dxfId="1714" priority="1699" stopIfTrue="1">
      <formula>AND(NOT($C37=""),K37="")</formula>
    </cfRule>
    <cfRule type="expression" dxfId="1713" priority="1700" stopIfTrue="1">
      <formula>BP37="0"</formula>
    </cfRule>
  </conditionalFormatting>
  <conditionalFormatting sqref="L37">
    <cfRule type="expression" dxfId="1712" priority="1697" stopIfTrue="1">
      <formula>AND(NOT($C37=""),L37="")</formula>
    </cfRule>
    <cfRule type="expression" dxfId="1711" priority="1698" stopIfTrue="1">
      <formula>BU37="0"</formula>
    </cfRule>
  </conditionalFormatting>
  <conditionalFormatting sqref="N37">
    <cfRule type="expression" dxfId="1710" priority="1695" stopIfTrue="1">
      <formula>AND(NOT($C37=""),N37="")</formula>
    </cfRule>
    <cfRule type="expression" dxfId="1709" priority="1696" stopIfTrue="1">
      <formula>CE37="0"</formula>
    </cfRule>
  </conditionalFormatting>
  <conditionalFormatting sqref="M37">
    <cfRule type="expression" dxfId="1708" priority="1694" stopIfTrue="1">
      <formula>BZ37="0"</formula>
    </cfRule>
  </conditionalFormatting>
  <conditionalFormatting sqref="E37">
    <cfRule type="expression" dxfId="1707" priority="1692" stopIfTrue="1">
      <formula>AND(NOT($C37=""),E37="")</formula>
    </cfRule>
    <cfRule type="expression" dxfId="1706" priority="1693" stopIfTrue="1">
      <formula>AL37="0"</formula>
    </cfRule>
  </conditionalFormatting>
  <conditionalFormatting sqref="F37">
    <cfRule type="expression" dxfId="1705" priority="1690" stopIfTrue="1">
      <formula>AND(NOT($C37=""),F37="")</formula>
    </cfRule>
    <cfRule type="expression" dxfId="1704" priority="1691" stopIfTrue="1">
      <formula>AQ37="0"</formula>
    </cfRule>
  </conditionalFormatting>
  <conditionalFormatting sqref="G37">
    <cfRule type="expression" dxfId="1703" priority="1688" stopIfTrue="1">
      <formula>AND(NOT($C37=""),G37="")</formula>
    </cfRule>
    <cfRule type="expression" dxfId="1702" priority="1689" stopIfTrue="1">
      <formula>AV37="0"</formula>
    </cfRule>
  </conditionalFormatting>
  <conditionalFormatting sqref="H37">
    <cfRule type="expression" dxfId="1701" priority="1686" stopIfTrue="1">
      <formula>AND(NOT($C37=""),H37="")</formula>
    </cfRule>
    <cfRule type="expression" dxfId="1700" priority="1687" stopIfTrue="1">
      <formula>BA37="0"</formula>
    </cfRule>
  </conditionalFormatting>
  <conditionalFormatting sqref="I37">
    <cfRule type="expression" dxfId="1699" priority="1684" stopIfTrue="1">
      <formula>AND(NOT($C37=""),I37="")</formula>
    </cfRule>
    <cfRule type="expression" dxfId="1698" priority="1685" stopIfTrue="1">
      <formula>BF37="0"</formula>
    </cfRule>
  </conditionalFormatting>
  <conditionalFormatting sqref="J37">
    <cfRule type="expression" dxfId="1697" priority="1682" stopIfTrue="1">
      <formula>AND(NOT($C37=""),J37="")</formula>
    </cfRule>
    <cfRule type="expression" dxfId="1696" priority="1683" stopIfTrue="1">
      <formula>BK37="0"</formula>
    </cfRule>
  </conditionalFormatting>
  <conditionalFormatting sqref="K37">
    <cfRule type="expression" dxfId="1695" priority="1680" stopIfTrue="1">
      <formula>AND(NOT($C37=""),K37="")</formula>
    </cfRule>
    <cfRule type="expression" dxfId="1694" priority="1681" stopIfTrue="1">
      <formula>BP37="0"</formula>
    </cfRule>
  </conditionalFormatting>
  <conditionalFormatting sqref="L37">
    <cfRule type="expression" dxfId="1693" priority="1678" stopIfTrue="1">
      <formula>AND(NOT($C37=""),L37="")</formula>
    </cfRule>
    <cfRule type="expression" dxfId="1692" priority="1679" stopIfTrue="1">
      <formula>BU37="0"</formula>
    </cfRule>
  </conditionalFormatting>
  <conditionalFormatting sqref="N37">
    <cfRule type="expression" dxfId="1691" priority="1676" stopIfTrue="1">
      <formula>AND(NOT($C37=""),N37="")</formula>
    </cfRule>
    <cfRule type="expression" dxfId="1690" priority="1677" stopIfTrue="1">
      <formula>CE37="0"</formula>
    </cfRule>
  </conditionalFormatting>
  <conditionalFormatting sqref="M37">
    <cfRule type="expression" dxfId="1689" priority="1675" stopIfTrue="1">
      <formula>BZ37="0"</formula>
    </cfRule>
  </conditionalFormatting>
  <conditionalFormatting sqref="E37">
    <cfRule type="expression" dxfId="1688" priority="1673" stopIfTrue="1">
      <formula>AND(NOT($C37=""),E37="")</formula>
    </cfRule>
    <cfRule type="expression" dxfId="1687" priority="1674" stopIfTrue="1">
      <formula>AL37="0"</formula>
    </cfRule>
  </conditionalFormatting>
  <conditionalFormatting sqref="F37">
    <cfRule type="expression" dxfId="1686" priority="1671" stopIfTrue="1">
      <formula>AND(NOT($C37=""),F37="")</formula>
    </cfRule>
    <cfRule type="expression" dxfId="1685" priority="1672" stopIfTrue="1">
      <formula>AQ37="0"</formula>
    </cfRule>
  </conditionalFormatting>
  <conditionalFormatting sqref="G37">
    <cfRule type="expression" dxfId="1684" priority="1669" stopIfTrue="1">
      <formula>AND(NOT($C37=""),G37="")</formula>
    </cfRule>
    <cfRule type="expression" dxfId="1683" priority="1670" stopIfTrue="1">
      <formula>AV37="0"</formula>
    </cfRule>
  </conditionalFormatting>
  <conditionalFormatting sqref="H37">
    <cfRule type="expression" dxfId="1682" priority="1667" stopIfTrue="1">
      <formula>AND(NOT($C37=""),H37="")</formula>
    </cfRule>
    <cfRule type="expression" dxfId="1681" priority="1668" stopIfTrue="1">
      <formula>BA37="0"</formula>
    </cfRule>
  </conditionalFormatting>
  <conditionalFormatting sqref="I37">
    <cfRule type="expression" dxfId="1680" priority="1665" stopIfTrue="1">
      <formula>AND(NOT($C37=""),I37="")</formula>
    </cfRule>
    <cfRule type="expression" dxfId="1679" priority="1666" stopIfTrue="1">
      <formula>BF37="0"</formula>
    </cfRule>
  </conditionalFormatting>
  <conditionalFormatting sqref="J37">
    <cfRule type="expression" dxfId="1678" priority="1663" stopIfTrue="1">
      <formula>AND(NOT($C37=""),J37="")</formula>
    </cfRule>
    <cfRule type="expression" dxfId="1677" priority="1664" stopIfTrue="1">
      <formula>BK37="0"</formula>
    </cfRule>
  </conditionalFormatting>
  <conditionalFormatting sqref="K37">
    <cfRule type="expression" dxfId="1676" priority="1661" stopIfTrue="1">
      <formula>AND(NOT($C37=""),K37="")</formula>
    </cfRule>
    <cfRule type="expression" dxfId="1675" priority="1662" stopIfTrue="1">
      <formula>BP37="0"</formula>
    </cfRule>
  </conditionalFormatting>
  <conditionalFormatting sqref="L37">
    <cfRule type="expression" dxfId="1674" priority="1659" stopIfTrue="1">
      <formula>AND(NOT($C37=""),L37="")</formula>
    </cfRule>
    <cfRule type="expression" dxfId="1673" priority="1660" stopIfTrue="1">
      <formula>BU37="0"</formula>
    </cfRule>
  </conditionalFormatting>
  <conditionalFormatting sqref="N37">
    <cfRule type="expression" dxfId="1672" priority="1657" stopIfTrue="1">
      <formula>AND(NOT($C37=""),N37="")</formula>
    </cfRule>
    <cfRule type="expression" dxfId="1671" priority="1658" stopIfTrue="1">
      <formula>CE37="0"</formula>
    </cfRule>
  </conditionalFormatting>
  <conditionalFormatting sqref="M37">
    <cfRule type="expression" dxfId="1670" priority="1656" stopIfTrue="1">
      <formula>BZ37="0"</formula>
    </cfRule>
  </conditionalFormatting>
  <conditionalFormatting sqref="E37">
    <cfRule type="expression" dxfId="1669" priority="1654" stopIfTrue="1">
      <formula>AND(NOT($C37=""),E37="")</formula>
    </cfRule>
    <cfRule type="expression" dxfId="1668" priority="1655" stopIfTrue="1">
      <formula>AL37="0"</formula>
    </cfRule>
  </conditionalFormatting>
  <conditionalFormatting sqref="F37">
    <cfRule type="expression" dxfId="1667" priority="1652" stopIfTrue="1">
      <formula>AND(NOT($C37=""),F37="")</formula>
    </cfRule>
    <cfRule type="expression" dxfId="1666" priority="1653" stopIfTrue="1">
      <formula>AQ37="0"</formula>
    </cfRule>
  </conditionalFormatting>
  <conditionalFormatting sqref="G37">
    <cfRule type="expression" dxfId="1665" priority="1650" stopIfTrue="1">
      <formula>AND(NOT($C37=""),G37="")</formula>
    </cfRule>
    <cfRule type="expression" dxfId="1664" priority="1651" stopIfTrue="1">
      <formula>AV37="0"</formula>
    </cfRule>
  </conditionalFormatting>
  <conditionalFormatting sqref="H37">
    <cfRule type="expression" dxfId="1663" priority="1648" stopIfTrue="1">
      <formula>AND(NOT($C37=""),H37="")</formula>
    </cfRule>
    <cfRule type="expression" dxfId="1662" priority="1649" stopIfTrue="1">
      <formula>BA37="0"</formula>
    </cfRule>
  </conditionalFormatting>
  <conditionalFormatting sqref="I37">
    <cfRule type="expression" dxfId="1661" priority="1646" stopIfTrue="1">
      <formula>AND(NOT($C37=""),I37="")</formula>
    </cfRule>
    <cfRule type="expression" dxfId="1660" priority="1647" stopIfTrue="1">
      <formula>BF37="0"</formula>
    </cfRule>
  </conditionalFormatting>
  <conditionalFormatting sqref="J37">
    <cfRule type="expression" dxfId="1659" priority="1644" stopIfTrue="1">
      <formula>AND(NOT($C37=""),J37="")</formula>
    </cfRule>
    <cfRule type="expression" dxfId="1658" priority="1645" stopIfTrue="1">
      <formula>BK37="0"</formula>
    </cfRule>
  </conditionalFormatting>
  <conditionalFormatting sqref="K37">
    <cfRule type="expression" dxfId="1657" priority="1642" stopIfTrue="1">
      <formula>AND(NOT($C37=""),K37="")</formula>
    </cfRule>
    <cfRule type="expression" dxfId="1656" priority="1643" stopIfTrue="1">
      <formula>BP37="0"</formula>
    </cfRule>
  </conditionalFormatting>
  <conditionalFormatting sqref="L37">
    <cfRule type="expression" dxfId="1655" priority="1640" stopIfTrue="1">
      <formula>AND(NOT($C37=""),L37="")</formula>
    </cfRule>
    <cfRule type="expression" dxfId="1654" priority="1641" stopIfTrue="1">
      <formula>BU37="0"</formula>
    </cfRule>
  </conditionalFormatting>
  <conditionalFormatting sqref="N37">
    <cfRule type="expression" dxfId="1653" priority="1638" stopIfTrue="1">
      <formula>AND(NOT($C37=""),N37="")</formula>
    </cfRule>
    <cfRule type="expression" dxfId="1652" priority="1639" stopIfTrue="1">
      <formula>CE37="0"</formula>
    </cfRule>
  </conditionalFormatting>
  <conditionalFormatting sqref="M37">
    <cfRule type="expression" dxfId="1651" priority="1637" stopIfTrue="1">
      <formula>BZ37="0"</formula>
    </cfRule>
  </conditionalFormatting>
  <conditionalFormatting sqref="E37">
    <cfRule type="expression" dxfId="1650" priority="1635" stopIfTrue="1">
      <formula>AND(NOT($C37=""),E37="")</formula>
    </cfRule>
    <cfRule type="expression" dxfId="1649" priority="1636" stopIfTrue="1">
      <formula>AL37="0"</formula>
    </cfRule>
  </conditionalFormatting>
  <conditionalFormatting sqref="F37">
    <cfRule type="expression" dxfId="1648" priority="1633" stopIfTrue="1">
      <formula>AND(NOT($C37=""),F37="")</formula>
    </cfRule>
    <cfRule type="expression" dxfId="1647" priority="1634" stopIfTrue="1">
      <formula>AQ37="0"</formula>
    </cfRule>
  </conditionalFormatting>
  <conditionalFormatting sqref="G37">
    <cfRule type="expression" dxfId="1646" priority="1631" stopIfTrue="1">
      <formula>AND(NOT($C37=""),G37="")</formula>
    </cfRule>
    <cfRule type="expression" dxfId="1645" priority="1632" stopIfTrue="1">
      <formula>AV37="0"</formula>
    </cfRule>
  </conditionalFormatting>
  <conditionalFormatting sqref="H37">
    <cfRule type="expression" dxfId="1644" priority="1629" stopIfTrue="1">
      <formula>AND(NOT($C37=""),H37="")</formula>
    </cfRule>
    <cfRule type="expression" dxfId="1643" priority="1630" stopIfTrue="1">
      <formula>BA37="0"</formula>
    </cfRule>
  </conditionalFormatting>
  <conditionalFormatting sqref="I37">
    <cfRule type="expression" dxfId="1642" priority="1627" stopIfTrue="1">
      <formula>AND(NOT($C37=""),I37="")</formula>
    </cfRule>
    <cfRule type="expression" dxfId="1641" priority="1628" stopIfTrue="1">
      <formula>BF37="0"</formula>
    </cfRule>
  </conditionalFormatting>
  <conditionalFormatting sqref="J37">
    <cfRule type="expression" dxfId="1640" priority="1625" stopIfTrue="1">
      <formula>AND(NOT($C37=""),J37="")</formula>
    </cfRule>
    <cfRule type="expression" dxfId="1639" priority="1626" stopIfTrue="1">
      <formula>BK37="0"</formula>
    </cfRule>
  </conditionalFormatting>
  <conditionalFormatting sqref="K37">
    <cfRule type="expression" dxfId="1638" priority="1623" stopIfTrue="1">
      <formula>AND(NOT($C37=""),K37="")</formula>
    </cfRule>
    <cfRule type="expression" dxfId="1637" priority="1624" stopIfTrue="1">
      <formula>BP37="0"</formula>
    </cfRule>
  </conditionalFormatting>
  <conditionalFormatting sqref="L37">
    <cfRule type="expression" dxfId="1636" priority="1621" stopIfTrue="1">
      <formula>AND(NOT($C37=""),L37="")</formula>
    </cfRule>
    <cfRule type="expression" dxfId="1635" priority="1622" stopIfTrue="1">
      <formula>BU37="0"</formula>
    </cfRule>
  </conditionalFormatting>
  <conditionalFormatting sqref="N37">
    <cfRule type="expression" dxfId="1634" priority="1619" stopIfTrue="1">
      <formula>AND(NOT($C37=""),N37="")</formula>
    </cfRule>
    <cfRule type="expression" dxfId="1633" priority="1620" stopIfTrue="1">
      <formula>CE37="0"</formula>
    </cfRule>
  </conditionalFormatting>
  <conditionalFormatting sqref="M37">
    <cfRule type="expression" dxfId="1632" priority="1618" stopIfTrue="1">
      <formula>BZ37="0"</formula>
    </cfRule>
  </conditionalFormatting>
  <conditionalFormatting sqref="E37">
    <cfRule type="expression" dxfId="1631" priority="1616" stopIfTrue="1">
      <formula>AND(NOT($C37=""),E37="")</formula>
    </cfRule>
    <cfRule type="expression" dxfId="1630" priority="1617" stopIfTrue="1">
      <formula>AL37="0"</formula>
    </cfRule>
  </conditionalFormatting>
  <conditionalFormatting sqref="F37">
    <cfRule type="expression" dxfId="1629" priority="1614" stopIfTrue="1">
      <formula>AND(NOT($C37=""),F37="")</formula>
    </cfRule>
    <cfRule type="expression" dxfId="1628" priority="1615" stopIfTrue="1">
      <formula>AQ37="0"</formula>
    </cfRule>
  </conditionalFormatting>
  <conditionalFormatting sqref="G37">
    <cfRule type="expression" dxfId="1627" priority="1612" stopIfTrue="1">
      <formula>AND(NOT($C37=""),G37="")</formula>
    </cfRule>
    <cfRule type="expression" dxfId="1626" priority="1613" stopIfTrue="1">
      <formula>AV37="0"</formula>
    </cfRule>
  </conditionalFormatting>
  <conditionalFormatting sqref="H37">
    <cfRule type="expression" dxfId="1625" priority="1610" stopIfTrue="1">
      <formula>AND(NOT($C37=""),H37="")</formula>
    </cfRule>
    <cfRule type="expression" dxfId="1624" priority="1611" stopIfTrue="1">
      <formula>BA37="0"</formula>
    </cfRule>
  </conditionalFormatting>
  <conditionalFormatting sqref="I37">
    <cfRule type="expression" dxfId="1623" priority="1608" stopIfTrue="1">
      <formula>AND(NOT($C37=""),I37="")</formula>
    </cfRule>
    <cfRule type="expression" dxfId="1622" priority="1609" stopIfTrue="1">
      <formula>BF37="0"</formula>
    </cfRule>
  </conditionalFormatting>
  <conditionalFormatting sqref="J37">
    <cfRule type="expression" dxfId="1621" priority="1606" stopIfTrue="1">
      <formula>AND(NOT($C37=""),J37="")</formula>
    </cfRule>
    <cfRule type="expression" dxfId="1620" priority="1607" stopIfTrue="1">
      <formula>BK37="0"</formula>
    </cfRule>
  </conditionalFormatting>
  <conditionalFormatting sqref="K37">
    <cfRule type="expression" dxfId="1619" priority="1604" stopIfTrue="1">
      <formula>AND(NOT($C37=""),K37="")</formula>
    </cfRule>
    <cfRule type="expression" dxfId="1618" priority="1605" stopIfTrue="1">
      <formula>BP37="0"</formula>
    </cfRule>
  </conditionalFormatting>
  <conditionalFormatting sqref="L37">
    <cfRule type="expression" dxfId="1617" priority="1602" stopIfTrue="1">
      <formula>AND(NOT($C37=""),L37="")</formula>
    </cfRule>
    <cfRule type="expression" dxfId="1616" priority="1603" stopIfTrue="1">
      <formula>BU37="0"</formula>
    </cfRule>
  </conditionalFormatting>
  <conditionalFormatting sqref="N37">
    <cfRule type="expression" dxfId="1615" priority="1600" stopIfTrue="1">
      <formula>AND(NOT($C37=""),N37="")</formula>
    </cfRule>
    <cfRule type="expression" dxfId="1614" priority="1601" stopIfTrue="1">
      <formula>CE37="0"</formula>
    </cfRule>
  </conditionalFormatting>
  <conditionalFormatting sqref="M37">
    <cfRule type="expression" dxfId="1613" priority="1599" stopIfTrue="1">
      <formula>BZ37="0"</formula>
    </cfRule>
  </conditionalFormatting>
  <conditionalFormatting sqref="E37">
    <cfRule type="expression" dxfId="1612" priority="1597" stopIfTrue="1">
      <formula>AND(NOT($C37=""),E37="")</formula>
    </cfRule>
    <cfRule type="expression" dxfId="1611" priority="1598" stopIfTrue="1">
      <formula>AL37="0"</formula>
    </cfRule>
  </conditionalFormatting>
  <conditionalFormatting sqref="F37">
    <cfRule type="expression" dxfId="1610" priority="1595" stopIfTrue="1">
      <formula>AND(NOT($C37=""),F37="")</formula>
    </cfRule>
    <cfRule type="expression" dxfId="1609" priority="1596" stopIfTrue="1">
      <formula>AQ37="0"</formula>
    </cfRule>
  </conditionalFormatting>
  <conditionalFormatting sqref="G37">
    <cfRule type="expression" dxfId="1608" priority="1593" stopIfTrue="1">
      <formula>AND(NOT($C37=""),G37="")</formula>
    </cfRule>
    <cfRule type="expression" dxfId="1607" priority="1594" stopIfTrue="1">
      <formula>AV37="0"</formula>
    </cfRule>
  </conditionalFormatting>
  <conditionalFormatting sqref="H37">
    <cfRule type="expression" dxfId="1606" priority="1591" stopIfTrue="1">
      <formula>AND(NOT($C37=""),H37="")</formula>
    </cfRule>
    <cfRule type="expression" dxfId="1605" priority="1592" stopIfTrue="1">
      <formula>BA37="0"</formula>
    </cfRule>
  </conditionalFormatting>
  <conditionalFormatting sqref="I37">
    <cfRule type="expression" dxfId="1604" priority="1589" stopIfTrue="1">
      <formula>AND(NOT($C37=""),I37="")</formula>
    </cfRule>
    <cfRule type="expression" dxfId="1603" priority="1590" stopIfTrue="1">
      <formula>BF37="0"</formula>
    </cfRule>
  </conditionalFormatting>
  <conditionalFormatting sqref="J37">
    <cfRule type="expression" dxfId="1602" priority="1587" stopIfTrue="1">
      <formula>AND(NOT($C37=""),J37="")</formula>
    </cfRule>
    <cfRule type="expression" dxfId="1601" priority="1588" stopIfTrue="1">
      <formula>BK37="0"</formula>
    </cfRule>
  </conditionalFormatting>
  <conditionalFormatting sqref="K37">
    <cfRule type="expression" dxfId="1600" priority="1585" stopIfTrue="1">
      <formula>AND(NOT($C37=""),K37="")</formula>
    </cfRule>
    <cfRule type="expression" dxfId="1599" priority="1586" stopIfTrue="1">
      <formula>BP37="0"</formula>
    </cfRule>
  </conditionalFormatting>
  <conditionalFormatting sqref="L37">
    <cfRule type="expression" dxfId="1598" priority="1583" stopIfTrue="1">
      <formula>AND(NOT($C37=""),L37="")</formula>
    </cfRule>
    <cfRule type="expression" dxfId="1597" priority="1584" stopIfTrue="1">
      <formula>BU37="0"</formula>
    </cfRule>
  </conditionalFormatting>
  <conditionalFormatting sqref="N37">
    <cfRule type="expression" dxfId="1596" priority="1581" stopIfTrue="1">
      <formula>AND(NOT($C37=""),N37="")</formula>
    </cfRule>
    <cfRule type="expression" dxfId="1595" priority="1582" stopIfTrue="1">
      <formula>CE37="0"</formula>
    </cfRule>
  </conditionalFormatting>
  <conditionalFormatting sqref="M37">
    <cfRule type="expression" dxfId="1594" priority="1580" stopIfTrue="1">
      <formula>BZ37="0"</formula>
    </cfRule>
  </conditionalFormatting>
  <conditionalFormatting sqref="E37">
    <cfRule type="expression" dxfId="1593" priority="1578" stopIfTrue="1">
      <formula>AND(NOT($C37=""),E37="")</formula>
    </cfRule>
    <cfRule type="expression" dxfId="1592" priority="1579" stopIfTrue="1">
      <formula>AL37="0"</formula>
    </cfRule>
  </conditionalFormatting>
  <conditionalFormatting sqref="F37">
    <cfRule type="expression" dxfId="1591" priority="1576" stopIfTrue="1">
      <formula>AND(NOT($C37=""),F37="")</formula>
    </cfRule>
    <cfRule type="expression" dxfId="1590" priority="1577" stopIfTrue="1">
      <formula>AQ37="0"</formula>
    </cfRule>
  </conditionalFormatting>
  <conditionalFormatting sqref="G37">
    <cfRule type="expression" dxfId="1589" priority="1574" stopIfTrue="1">
      <formula>AND(NOT($C37=""),G37="")</formula>
    </cfRule>
    <cfRule type="expression" dxfId="1588" priority="1575" stopIfTrue="1">
      <formula>AV37="0"</formula>
    </cfRule>
  </conditionalFormatting>
  <conditionalFormatting sqref="H37">
    <cfRule type="expression" dxfId="1587" priority="1572" stopIfTrue="1">
      <formula>AND(NOT($C37=""),H37="")</formula>
    </cfRule>
    <cfRule type="expression" dxfId="1586" priority="1573" stopIfTrue="1">
      <formula>BA37="0"</formula>
    </cfRule>
  </conditionalFormatting>
  <conditionalFormatting sqref="I37">
    <cfRule type="expression" dxfId="1585" priority="1570" stopIfTrue="1">
      <formula>AND(NOT($C37=""),I37="")</formula>
    </cfRule>
    <cfRule type="expression" dxfId="1584" priority="1571" stopIfTrue="1">
      <formula>BF37="0"</formula>
    </cfRule>
  </conditionalFormatting>
  <conditionalFormatting sqref="J37">
    <cfRule type="expression" dxfId="1583" priority="1568" stopIfTrue="1">
      <formula>AND(NOT($C37=""),J37="")</formula>
    </cfRule>
    <cfRule type="expression" dxfId="1582" priority="1569" stopIfTrue="1">
      <formula>BK37="0"</formula>
    </cfRule>
  </conditionalFormatting>
  <conditionalFormatting sqref="K37">
    <cfRule type="expression" dxfId="1581" priority="1566" stopIfTrue="1">
      <formula>AND(NOT($C37=""),K37="")</formula>
    </cfRule>
    <cfRule type="expression" dxfId="1580" priority="1567" stopIfTrue="1">
      <formula>BP37="0"</formula>
    </cfRule>
  </conditionalFormatting>
  <conditionalFormatting sqref="L37">
    <cfRule type="expression" dxfId="1579" priority="1564" stopIfTrue="1">
      <formula>AND(NOT($C37=""),L37="")</formula>
    </cfRule>
    <cfRule type="expression" dxfId="1578" priority="1565" stopIfTrue="1">
      <formula>BU37="0"</formula>
    </cfRule>
  </conditionalFormatting>
  <conditionalFormatting sqref="N37">
    <cfRule type="expression" dxfId="1577" priority="1562" stopIfTrue="1">
      <formula>AND(NOT($C37=""),N37="")</formula>
    </cfRule>
    <cfRule type="expression" dxfId="1576" priority="1563" stopIfTrue="1">
      <formula>CE37="0"</formula>
    </cfRule>
  </conditionalFormatting>
  <conditionalFormatting sqref="M37">
    <cfRule type="expression" dxfId="1575" priority="1561" stopIfTrue="1">
      <formula>BZ37="0"</formula>
    </cfRule>
  </conditionalFormatting>
  <conditionalFormatting sqref="E37">
    <cfRule type="expression" dxfId="1574" priority="1559" stopIfTrue="1">
      <formula>AND(NOT($C37=""),E37="")</formula>
    </cfRule>
    <cfRule type="expression" dxfId="1573" priority="1560" stopIfTrue="1">
      <formula>AL37="0"</formula>
    </cfRule>
  </conditionalFormatting>
  <conditionalFormatting sqref="F37">
    <cfRule type="expression" dxfId="1572" priority="1557" stopIfTrue="1">
      <formula>AND(NOT($C37=""),F37="")</formula>
    </cfRule>
    <cfRule type="expression" dxfId="1571" priority="1558" stopIfTrue="1">
      <formula>AQ37="0"</formula>
    </cfRule>
  </conditionalFormatting>
  <conditionalFormatting sqref="G37">
    <cfRule type="expression" dxfId="1570" priority="1555" stopIfTrue="1">
      <formula>AND(NOT($C37=""),G37="")</formula>
    </cfRule>
    <cfRule type="expression" dxfId="1569" priority="1556" stopIfTrue="1">
      <formula>AV37="0"</formula>
    </cfRule>
  </conditionalFormatting>
  <conditionalFormatting sqref="H37">
    <cfRule type="expression" dxfId="1568" priority="1553" stopIfTrue="1">
      <formula>AND(NOT($C37=""),H37="")</formula>
    </cfRule>
    <cfRule type="expression" dxfId="1567" priority="1554" stopIfTrue="1">
      <formula>BA37="0"</formula>
    </cfRule>
  </conditionalFormatting>
  <conditionalFormatting sqref="I37">
    <cfRule type="expression" dxfId="1566" priority="1551" stopIfTrue="1">
      <formula>AND(NOT($C37=""),I37="")</formula>
    </cfRule>
    <cfRule type="expression" dxfId="1565" priority="1552" stopIfTrue="1">
      <formula>BF37="0"</formula>
    </cfRule>
  </conditionalFormatting>
  <conditionalFormatting sqref="J37">
    <cfRule type="expression" dxfId="1564" priority="1549" stopIfTrue="1">
      <formula>AND(NOT($C37=""),J37="")</formula>
    </cfRule>
    <cfRule type="expression" dxfId="1563" priority="1550" stopIfTrue="1">
      <formula>BK37="0"</formula>
    </cfRule>
  </conditionalFormatting>
  <conditionalFormatting sqref="K37">
    <cfRule type="expression" dxfId="1562" priority="1547" stopIfTrue="1">
      <formula>AND(NOT($C37=""),K37="")</formula>
    </cfRule>
    <cfRule type="expression" dxfId="1561" priority="1548" stopIfTrue="1">
      <formula>BP37="0"</formula>
    </cfRule>
  </conditionalFormatting>
  <conditionalFormatting sqref="L37">
    <cfRule type="expression" dxfId="1560" priority="1545" stopIfTrue="1">
      <formula>AND(NOT($C37=""),L37="")</formula>
    </cfRule>
    <cfRule type="expression" dxfId="1559" priority="1546" stopIfTrue="1">
      <formula>BU37="0"</formula>
    </cfRule>
  </conditionalFormatting>
  <conditionalFormatting sqref="N37">
    <cfRule type="expression" dxfId="1558" priority="1543" stopIfTrue="1">
      <formula>AND(NOT($C37=""),N37="")</formula>
    </cfRule>
    <cfRule type="expression" dxfId="1557" priority="1544" stopIfTrue="1">
      <formula>CE37="0"</formula>
    </cfRule>
  </conditionalFormatting>
  <conditionalFormatting sqref="M37">
    <cfRule type="expression" dxfId="1556" priority="1542" stopIfTrue="1">
      <formula>BZ37="0"</formula>
    </cfRule>
  </conditionalFormatting>
  <conditionalFormatting sqref="E37">
    <cfRule type="expression" dxfId="1555" priority="1540" stopIfTrue="1">
      <formula>AND(NOT($C37=""),E37="")</formula>
    </cfRule>
    <cfRule type="expression" dxfId="1554" priority="1541" stopIfTrue="1">
      <formula>AL37="0"</formula>
    </cfRule>
  </conditionalFormatting>
  <conditionalFormatting sqref="F37">
    <cfRule type="expression" dxfId="1553" priority="1538" stopIfTrue="1">
      <formula>AND(NOT($C37=""),F37="")</formula>
    </cfRule>
    <cfRule type="expression" dxfId="1552" priority="1539" stopIfTrue="1">
      <formula>AQ37="0"</formula>
    </cfRule>
  </conditionalFormatting>
  <conditionalFormatting sqref="G37">
    <cfRule type="expression" dxfId="1551" priority="1536" stopIfTrue="1">
      <formula>AND(NOT($C37=""),G37="")</formula>
    </cfRule>
    <cfRule type="expression" dxfId="1550" priority="1537" stopIfTrue="1">
      <formula>AV37="0"</formula>
    </cfRule>
  </conditionalFormatting>
  <conditionalFormatting sqref="H37">
    <cfRule type="expression" dxfId="1549" priority="1534" stopIfTrue="1">
      <formula>AND(NOT($C37=""),H37="")</formula>
    </cfRule>
    <cfRule type="expression" dxfId="1548" priority="1535" stopIfTrue="1">
      <formula>BA37="0"</formula>
    </cfRule>
  </conditionalFormatting>
  <conditionalFormatting sqref="I37">
    <cfRule type="expression" dxfId="1547" priority="1532" stopIfTrue="1">
      <formula>AND(NOT($C37=""),I37="")</formula>
    </cfRule>
    <cfRule type="expression" dxfId="1546" priority="1533" stopIfTrue="1">
      <formula>BF37="0"</formula>
    </cfRule>
  </conditionalFormatting>
  <conditionalFormatting sqref="J37">
    <cfRule type="expression" dxfId="1545" priority="1530" stopIfTrue="1">
      <formula>AND(NOT($C37=""),J37="")</formula>
    </cfRule>
    <cfRule type="expression" dxfId="1544" priority="1531" stopIfTrue="1">
      <formula>BK37="0"</formula>
    </cfRule>
  </conditionalFormatting>
  <conditionalFormatting sqref="K37">
    <cfRule type="expression" dxfId="1543" priority="1528" stopIfTrue="1">
      <formula>AND(NOT($C37=""),K37="")</formula>
    </cfRule>
    <cfRule type="expression" dxfId="1542" priority="1529" stopIfTrue="1">
      <formula>BP37="0"</formula>
    </cfRule>
  </conditionalFormatting>
  <conditionalFormatting sqref="L37">
    <cfRule type="expression" dxfId="1541" priority="1526" stopIfTrue="1">
      <formula>AND(NOT($C37=""),L37="")</formula>
    </cfRule>
    <cfRule type="expression" dxfId="1540" priority="1527" stopIfTrue="1">
      <formula>BU37="0"</formula>
    </cfRule>
  </conditionalFormatting>
  <conditionalFormatting sqref="N37">
    <cfRule type="expression" dxfId="1539" priority="1524" stopIfTrue="1">
      <formula>AND(NOT($C37=""),N37="")</formula>
    </cfRule>
    <cfRule type="expression" dxfId="1538" priority="1525" stopIfTrue="1">
      <formula>CE37="0"</formula>
    </cfRule>
  </conditionalFormatting>
  <conditionalFormatting sqref="M37">
    <cfRule type="expression" dxfId="1537" priority="1523" stopIfTrue="1">
      <formula>BZ37="0"</formula>
    </cfRule>
  </conditionalFormatting>
  <conditionalFormatting sqref="E37">
    <cfRule type="expression" dxfId="1536" priority="1521" stopIfTrue="1">
      <formula>AND(NOT($C37=""),E37="")</formula>
    </cfRule>
    <cfRule type="expression" dxfId="1535" priority="1522" stopIfTrue="1">
      <formula>AL37="0"</formula>
    </cfRule>
  </conditionalFormatting>
  <conditionalFormatting sqref="F37">
    <cfRule type="expression" dxfId="1534" priority="1519" stopIfTrue="1">
      <formula>AND(NOT($C37=""),F37="")</formula>
    </cfRule>
    <cfRule type="expression" dxfId="1533" priority="1520" stopIfTrue="1">
      <formula>AQ37="0"</formula>
    </cfRule>
  </conditionalFormatting>
  <conditionalFormatting sqref="G37">
    <cfRule type="expression" dxfId="1532" priority="1517" stopIfTrue="1">
      <formula>AND(NOT($C37=""),G37="")</formula>
    </cfRule>
    <cfRule type="expression" dxfId="1531" priority="1518" stopIfTrue="1">
      <formula>AV37="0"</formula>
    </cfRule>
  </conditionalFormatting>
  <conditionalFormatting sqref="H37">
    <cfRule type="expression" dxfId="1530" priority="1515" stopIfTrue="1">
      <formula>AND(NOT($C37=""),H37="")</formula>
    </cfRule>
    <cfRule type="expression" dxfId="1529" priority="1516" stopIfTrue="1">
      <formula>BA37="0"</formula>
    </cfRule>
  </conditionalFormatting>
  <conditionalFormatting sqref="I37">
    <cfRule type="expression" dxfId="1528" priority="1513" stopIfTrue="1">
      <formula>AND(NOT($C37=""),I37="")</formula>
    </cfRule>
    <cfRule type="expression" dxfId="1527" priority="1514" stopIfTrue="1">
      <formula>BF37="0"</formula>
    </cfRule>
  </conditionalFormatting>
  <conditionalFormatting sqref="J37">
    <cfRule type="expression" dxfId="1526" priority="1511" stopIfTrue="1">
      <formula>AND(NOT($C37=""),J37="")</formula>
    </cfRule>
    <cfRule type="expression" dxfId="1525" priority="1512" stopIfTrue="1">
      <formula>BK37="0"</formula>
    </cfRule>
  </conditionalFormatting>
  <conditionalFormatting sqref="K37">
    <cfRule type="expression" dxfId="1524" priority="1509" stopIfTrue="1">
      <formula>AND(NOT($C37=""),K37="")</formula>
    </cfRule>
    <cfRule type="expression" dxfId="1523" priority="1510" stopIfTrue="1">
      <formula>BP37="0"</formula>
    </cfRule>
  </conditionalFormatting>
  <conditionalFormatting sqref="L37">
    <cfRule type="expression" dxfId="1522" priority="1507" stopIfTrue="1">
      <formula>AND(NOT($C37=""),L37="")</formula>
    </cfRule>
    <cfRule type="expression" dxfId="1521" priority="1508" stopIfTrue="1">
      <formula>BU37="0"</formula>
    </cfRule>
  </conditionalFormatting>
  <conditionalFormatting sqref="N37">
    <cfRule type="expression" dxfId="1520" priority="1505" stopIfTrue="1">
      <formula>AND(NOT($C37=""),N37="")</formula>
    </cfRule>
    <cfRule type="expression" dxfId="1519" priority="1506" stopIfTrue="1">
      <formula>CE37="0"</formula>
    </cfRule>
  </conditionalFormatting>
  <conditionalFormatting sqref="M37">
    <cfRule type="expression" dxfId="1518" priority="1504" stopIfTrue="1">
      <formula>BZ37="0"</formula>
    </cfRule>
  </conditionalFormatting>
  <conditionalFormatting sqref="E37">
    <cfRule type="expression" dxfId="1517" priority="1502" stopIfTrue="1">
      <formula>AND(NOT($C37=""),E37="")</formula>
    </cfRule>
    <cfRule type="expression" dxfId="1516" priority="1503" stopIfTrue="1">
      <formula>AL37="0"</formula>
    </cfRule>
  </conditionalFormatting>
  <conditionalFormatting sqref="F37">
    <cfRule type="expression" dxfId="1515" priority="1500" stopIfTrue="1">
      <formula>AND(NOT($C37=""),F37="")</formula>
    </cfRule>
    <cfRule type="expression" dxfId="1514" priority="1501" stopIfTrue="1">
      <formula>AQ37="0"</formula>
    </cfRule>
  </conditionalFormatting>
  <conditionalFormatting sqref="G37">
    <cfRule type="expression" dxfId="1513" priority="1498" stopIfTrue="1">
      <formula>AND(NOT($C37=""),G37="")</formula>
    </cfRule>
    <cfRule type="expression" dxfId="1512" priority="1499" stopIfTrue="1">
      <formula>AV37="0"</formula>
    </cfRule>
  </conditionalFormatting>
  <conditionalFormatting sqref="H37">
    <cfRule type="expression" dxfId="1511" priority="1496" stopIfTrue="1">
      <formula>AND(NOT($C37=""),H37="")</formula>
    </cfRule>
    <cfRule type="expression" dxfId="1510" priority="1497" stopIfTrue="1">
      <formula>BA37="0"</formula>
    </cfRule>
  </conditionalFormatting>
  <conditionalFormatting sqref="I37">
    <cfRule type="expression" dxfId="1509" priority="1494" stopIfTrue="1">
      <formula>AND(NOT($C37=""),I37="")</formula>
    </cfRule>
    <cfRule type="expression" dxfId="1508" priority="1495" stopIfTrue="1">
      <formula>BF37="0"</formula>
    </cfRule>
  </conditionalFormatting>
  <conditionalFormatting sqref="J37">
    <cfRule type="expression" dxfId="1507" priority="1492" stopIfTrue="1">
      <formula>AND(NOT($C37=""),J37="")</formula>
    </cfRule>
    <cfRule type="expression" dxfId="1506" priority="1493" stopIfTrue="1">
      <formula>BK37="0"</formula>
    </cfRule>
  </conditionalFormatting>
  <conditionalFormatting sqref="K37">
    <cfRule type="expression" dxfId="1505" priority="1490" stopIfTrue="1">
      <formula>AND(NOT($C37=""),K37="")</formula>
    </cfRule>
    <cfRule type="expression" dxfId="1504" priority="1491" stopIfTrue="1">
      <formula>BP37="0"</formula>
    </cfRule>
  </conditionalFormatting>
  <conditionalFormatting sqref="L37">
    <cfRule type="expression" dxfId="1503" priority="1488" stopIfTrue="1">
      <formula>AND(NOT($C37=""),L37="")</formula>
    </cfRule>
    <cfRule type="expression" dxfId="1502" priority="1489" stopIfTrue="1">
      <formula>BU37="0"</formula>
    </cfRule>
  </conditionalFormatting>
  <conditionalFormatting sqref="N37">
    <cfRule type="expression" dxfId="1501" priority="1486" stopIfTrue="1">
      <formula>AND(NOT($C37=""),N37="")</formula>
    </cfRule>
    <cfRule type="expression" dxfId="1500" priority="1487" stopIfTrue="1">
      <formula>CE37="0"</formula>
    </cfRule>
  </conditionalFormatting>
  <conditionalFormatting sqref="M37">
    <cfRule type="expression" dxfId="1499" priority="1485" stopIfTrue="1">
      <formula>BZ37="0"</formula>
    </cfRule>
  </conditionalFormatting>
  <conditionalFormatting sqref="E37">
    <cfRule type="expression" dxfId="1498" priority="1483" stopIfTrue="1">
      <formula>AND(NOT($C37=""),E37="")</formula>
    </cfRule>
    <cfRule type="expression" dxfId="1497" priority="1484" stopIfTrue="1">
      <formula>AL37="0"</formula>
    </cfRule>
  </conditionalFormatting>
  <conditionalFormatting sqref="F37">
    <cfRule type="expression" dxfId="1496" priority="1481" stopIfTrue="1">
      <formula>AND(NOT($C37=""),F37="")</formula>
    </cfRule>
    <cfRule type="expression" dxfId="1495" priority="1482" stopIfTrue="1">
      <formula>AQ37="0"</formula>
    </cfRule>
  </conditionalFormatting>
  <conditionalFormatting sqref="G37">
    <cfRule type="expression" dxfId="1494" priority="1479" stopIfTrue="1">
      <formula>AND(NOT($C37=""),G37="")</formula>
    </cfRule>
    <cfRule type="expression" dxfId="1493" priority="1480" stopIfTrue="1">
      <formula>AV37="0"</formula>
    </cfRule>
  </conditionalFormatting>
  <conditionalFormatting sqref="H37">
    <cfRule type="expression" dxfId="1492" priority="1477" stopIfTrue="1">
      <formula>AND(NOT($C37=""),H37="")</formula>
    </cfRule>
    <cfRule type="expression" dxfId="1491" priority="1478" stopIfTrue="1">
      <formula>BA37="0"</formula>
    </cfRule>
  </conditionalFormatting>
  <conditionalFormatting sqref="I37">
    <cfRule type="expression" dxfId="1490" priority="1475" stopIfTrue="1">
      <formula>AND(NOT($C37=""),I37="")</formula>
    </cfRule>
    <cfRule type="expression" dxfId="1489" priority="1476" stopIfTrue="1">
      <formula>BF37="0"</formula>
    </cfRule>
  </conditionalFormatting>
  <conditionalFormatting sqref="J37">
    <cfRule type="expression" dxfId="1488" priority="1473" stopIfTrue="1">
      <formula>AND(NOT($C37=""),J37="")</formula>
    </cfRule>
    <cfRule type="expression" dxfId="1487" priority="1474" stopIfTrue="1">
      <formula>BK37="0"</formula>
    </cfRule>
  </conditionalFormatting>
  <conditionalFormatting sqref="K37">
    <cfRule type="expression" dxfId="1486" priority="1471" stopIfTrue="1">
      <formula>AND(NOT($C37=""),K37="")</formula>
    </cfRule>
    <cfRule type="expression" dxfId="1485" priority="1472" stopIfTrue="1">
      <formula>BP37="0"</formula>
    </cfRule>
  </conditionalFormatting>
  <conditionalFormatting sqref="L37">
    <cfRule type="expression" dxfId="1484" priority="1469" stopIfTrue="1">
      <formula>AND(NOT($C37=""),L37="")</formula>
    </cfRule>
    <cfRule type="expression" dxfId="1483" priority="1470" stopIfTrue="1">
      <formula>BU37="0"</formula>
    </cfRule>
  </conditionalFormatting>
  <conditionalFormatting sqref="N37">
    <cfRule type="expression" dxfId="1482" priority="1467" stopIfTrue="1">
      <formula>AND(NOT($C37=""),N37="")</formula>
    </cfRule>
    <cfRule type="expression" dxfId="1481" priority="1468" stopIfTrue="1">
      <formula>CE37="0"</formula>
    </cfRule>
  </conditionalFormatting>
  <conditionalFormatting sqref="M37">
    <cfRule type="expression" dxfId="1480" priority="1466" stopIfTrue="1">
      <formula>BZ37="0"</formula>
    </cfRule>
  </conditionalFormatting>
  <conditionalFormatting sqref="E37">
    <cfRule type="expression" dxfId="1479" priority="1464" stopIfTrue="1">
      <formula>AND(NOT($C37=""),E37="")</formula>
    </cfRule>
    <cfRule type="expression" dxfId="1478" priority="1465" stopIfTrue="1">
      <formula>AL37="0"</formula>
    </cfRule>
  </conditionalFormatting>
  <conditionalFormatting sqref="F37">
    <cfRule type="expression" dxfId="1477" priority="1462" stopIfTrue="1">
      <formula>AND(NOT($C37=""),F37="")</formula>
    </cfRule>
    <cfRule type="expression" dxfId="1476" priority="1463" stopIfTrue="1">
      <formula>AQ37="0"</formula>
    </cfRule>
  </conditionalFormatting>
  <conditionalFormatting sqref="G37">
    <cfRule type="expression" dxfId="1475" priority="1460" stopIfTrue="1">
      <formula>AND(NOT($C37=""),G37="")</formula>
    </cfRule>
    <cfRule type="expression" dxfId="1474" priority="1461" stopIfTrue="1">
      <formula>AV37="0"</formula>
    </cfRule>
  </conditionalFormatting>
  <conditionalFormatting sqref="H37">
    <cfRule type="expression" dxfId="1473" priority="1458" stopIfTrue="1">
      <formula>AND(NOT($C37=""),H37="")</formula>
    </cfRule>
    <cfRule type="expression" dxfId="1472" priority="1459" stopIfTrue="1">
      <formula>BA37="0"</formula>
    </cfRule>
  </conditionalFormatting>
  <conditionalFormatting sqref="I37">
    <cfRule type="expression" dxfId="1471" priority="1456" stopIfTrue="1">
      <formula>AND(NOT($C37=""),I37="")</formula>
    </cfRule>
    <cfRule type="expression" dxfId="1470" priority="1457" stopIfTrue="1">
      <formula>BF37="0"</formula>
    </cfRule>
  </conditionalFormatting>
  <conditionalFormatting sqref="J37">
    <cfRule type="expression" dxfId="1469" priority="1454" stopIfTrue="1">
      <formula>AND(NOT($C37=""),J37="")</formula>
    </cfRule>
    <cfRule type="expression" dxfId="1468" priority="1455" stopIfTrue="1">
      <formula>BK37="0"</formula>
    </cfRule>
  </conditionalFormatting>
  <conditionalFormatting sqref="K37">
    <cfRule type="expression" dxfId="1467" priority="1452" stopIfTrue="1">
      <formula>AND(NOT($C37=""),K37="")</formula>
    </cfRule>
    <cfRule type="expression" dxfId="1466" priority="1453" stopIfTrue="1">
      <formula>BP37="0"</formula>
    </cfRule>
  </conditionalFormatting>
  <conditionalFormatting sqref="L37">
    <cfRule type="expression" dxfId="1465" priority="1450" stopIfTrue="1">
      <formula>AND(NOT($C37=""),L37="")</formula>
    </cfRule>
    <cfRule type="expression" dxfId="1464" priority="1451" stopIfTrue="1">
      <formula>BU37="0"</formula>
    </cfRule>
  </conditionalFormatting>
  <conditionalFormatting sqref="N37">
    <cfRule type="expression" dxfId="1463" priority="1448" stopIfTrue="1">
      <formula>AND(NOT($C37=""),N37="")</formula>
    </cfRule>
    <cfRule type="expression" dxfId="1462" priority="1449" stopIfTrue="1">
      <formula>CE37="0"</formula>
    </cfRule>
  </conditionalFormatting>
  <conditionalFormatting sqref="M37">
    <cfRule type="expression" dxfId="1461" priority="1447" stopIfTrue="1">
      <formula>BZ37="0"</formula>
    </cfRule>
  </conditionalFormatting>
  <conditionalFormatting sqref="E37">
    <cfRule type="expression" dxfId="1460" priority="1445" stopIfTrue="1">
      <formula>AND(NOT($C37=""),E37="")</formula>
    </cfRule>
    <cfRule type="expression" dxfId="1459" priority="1446" stopIfTrue="1">
      <formula>AL37="0"</formula>
    </cfRule>
  </conditionalFormatting>
  <conditionalFormatting sqref="F37">
    <cfRule type="expression" dxfId="1458" priority="1443" stopIfTrue="1">
      <formula>AND(NOT($C37=""),F37="")</formula>
    </cfRule>
    <cfRule type="expression" dxfId="1457" priority="1444" stopIfTrue="1">
      <formula>AQ37="0"</formula>
    </cfRule>
  </conditionalFormatting>
  <conditionalFormatting sqref="G37">
    <cfRule type="expression" dxfId="1456" priority="1441" stopIfTrue="1">
      <formula>AND(NOT($C37=""),G37="")</formula>
    </cfRule>
    <cfRule type="expression" dxfId="1455" priority="1442" stopIfTrue="1">
      <formula>AV37="0"</formula>
    </cfRule>
  </conditionalFormatting>
  <conditionalFormatting sqref="H37">
    <cfRule type="expression" dxfId="1454" priority="1439" stopIfTrue="1">
      <formula>AND(NOT($C37=""),H37="")</formula>
    </cfRule>
    <cfRule type="expression" dxfId="1453" priority="1440" stopIfTrue="1">
      <formula>BA37="0"</formula>
    </cfRule>
  </conditionalFormatting>
  <conditionalFormatting sqref="I37">
    <cfRule type="expression" dxfId="1452" priority="1437" stopIfTrue="1">
      <formula>AND(NOT($C37=""),I37="")</formula>
    </cfRule>
    <cfRule type="expression" dxfId="1451" priority="1438" stopIfTrue="1">
      <formula>BF37="0"</formula>
    </cfRule>
  </conditionalFormatting>
  <conditionalFormatting sqref="J37">
    <cfRule type="expression" dxfId="1450" priority="1435" stopIfTrue="1">
      <formula>AND(NOT($C37=""),J37="")</formula>
    </cfRule>
    <cfRule type="expression" dxfId="1449" priority="1436" stopIfTrue="1">
      <formula>BK37="0"</formula>
    </cfRule>
  </conditionalFormatting>
  <conditionalFormatting sqref="K37">
    <cfRule type="expression" dxfId="1448" priority="1433" stopIfTrue="1">
      <formula>AND(NOT($C37=""),K37="")</formula>
    </cfRule>
    <cfRule type="expression" dxfId="1447" priority="1434" stopIfTrue="1">
      <formula>BP37="0"</formula>
    </cfRule>
  </conditionalFormatting>
  <conditionalFormatting sqref="L37">
    <cfRule type="expression" dxfId="1446" priority="1431" stopIfTrue="1">
      <formula>AND(NOT($C37=""),L37="")</formula>
    </cfRule>
    <cfRule type="expression" dxfId="1445" priority="1432" stopIfTrue="1">
      <formula>BU37="0"</formula>
    </cfRule>
  </conditionalFormatting>
  <conditionalFormatting sqref="N37">
    <cfRule type="expression" dxfId="1444" priority="1429" stopIfTrue="1">
      <formula>AND(NOT($C37=""),N37="")</formula>
    </cfRule>
    <cfRule type="expression" dxfId="1443" priority="1430" stopIfTrue="1">
      <formula>CE37="0"</formula>
    </cfRule>
  </conditionalFormatting>
  <conditionalFormatting sqref="M37">
    <cfRule type="expression" dxfId="1442" priority="1428" stopIfTrue="1">
      <formula>BZ37="0"</formula>
    </cfRule>
  </conditionalFormatting>
  <conditionalFormatting sqref="E37">
    <cfRule type="expression" dxfId="1441" priority="1426" stopIfTrue="1">
      <formula>AND(NOT($C37=""),E37="")</formula>
    </cfRule>
    <cfRule type="expression" dxfId="1440" priority="1427" stopIfTrue="1">
      <formula>AL37="0"</formula>
    </cfRule>
  </conditionalFormatting>
  <conditionalFormatting sqref="F37">
    <cfRule type="expression" dxfId="1439" priority="1424" stopIfTrue="1">
      <formula>AND(NOT($C37=""),F37="")</formula>
    </cfRule>
    <cfRule type="expression" dxfId="1438" priority="1425" stopIfTrue="1">
      <formula>AQ37="0"</formula>
    </cfRule>
  </conditionalFormatting>
  <conditionalFormatting sqref="G37">
    <cfRule type="expression" dxfId="1437" priority="1422" stopIfTrue="1">
      <formula>AND(NOT($C37=""),G37="")</formula>
    </cfRule>
    <cfRule type="expression" dxfId="1436" priority="1423" stopIfTrue="1">
      <formula>AV37="0"</formula>
    </cfRule>
  </conditionalFormatting>
  <conditionalFormatting sqref="H37">
    <cfRule type="expression" dxfId="1435" priority="1420" stopIfTrue="1">
      <formula>AND(NOT($C37=""),H37="")</formula>
    </cfRule>
    <cfRule type="expression" dxfId="1434" priority="1421" stopIfTrue="1">
      <formula>BA37="0"</formula>
    </cfRule>
  </conditionalFormatting>
  <conditionalFormatting sqref="I37">
    <cfRule type="expression" dxfId="1433" priority="1418" stopIfTrue="1">
      <formula>AND(NOT($C37=""),I37="")</formula>
    </cfRule>
    <cfRule type="expression" dxfId="1432" priority="1419" stopIfTrue="1">
      <formula>BF37="0"</formula>
    </cfRule>
  </conditionalFormatting>
  <conditionalFormatting sqref="J37">
    <cfRule type="expression" dxfId="1431" priority="1416" stopIfTrue="1">
      <formula>AND(NOT($C37=""),J37="")</formula>
    </cfRule>
    <cfRule type="expression" dxfId="1430" priority="1417" stopIfTrue="1">
      <formula>BK37="0"</formula>
    </cfRule>
  </conditionalFormatting>
  <conditionalFormatting sqref="K37">
    <cfRule type="expression" dxfId="1429" priority="1414" stopIfTrue="1">
      <formula>AND(NOT($C37=""),K37="")</formula>
    </cfRule>
    <cfRule type="expression" dxfId="1428" priority="1415" stopIfTrue="1">
      <formula>BP37="0"</formula>
    </cfRule>
  </conditionalFormatting>
  <conditionalFormatting sqref="L37">
    <cfRule type="expression" dxfId="1427" priority="1412" stopIfTrue="1">
      <formula>AND(NOT($C37=""),L37="")</formula>
    </cfRule>
    <cfRule type="expression" dxfId="1426" priority="1413" stopIfTrue="1">
      <formula>BU37="0"</formula>
    </cfRule>
  </conditionalFormatting>
  <conditionalFormatting sqref="N37">
    <cfRule type="expression" dxfId="1425" priority="1410" stopIfTrue="1">
      <formula>AND(NOT($C37=""),N37="")</formula>
    </cfRule>
    <cfRule type="expression" dxfId="1424" priority="1411" stopIfTrue="1">
      <formula>CE37="0"</formula>
    </cfRule>
  </conditionalFormatting>
  <conditionalFormatting sqref="M37">
    <cfRule type="expression" dxfId="1423" priority="1409" stopIfTrue="1">
      <formula>BZ37="0"</formula>
    </cfRule>
  </conditionalFormatting>
  <conditionalFormatting sqref="E37">
    <cfRule type="expression" dxfId="1422" priority="1407" stopIfTrue="1">
      <formula>AND(NOT($C37=""),E37="")</formula>
    </cfRule>
    <cfRule type="expression" dxfId="1421" priority="1408" stopIfTrue="1">
      <formula>AL37="0"</formula>
    </cfRule>
  </conditionalFormatting>
  <conditionalFormatting sqref="F37">
    <cfRule type="expression" dxfId="1420" priority="1405" stopIfTrue="1">
      <formula>AND(NOT($C37=""),F37="")</formula>
    </cfRule>
    <cfRule type="expression" dxfId="1419" priority="1406" stopIfTrue="1">
      <formula>AQ37="0"</formula>
    </cfRule>
  </conditionalFormatting>
  <conditionalFormatting sqref="G37">
    <cfRule type="expression" dxfId="1418" priority="1403" stopIfTrue="1">
      <formula>AND(NOT($C37=""),G37="")</formula>
    </cfRule>
    <cfRule type="expression" dxfId="1417" priority="1404" stopIfTrue="1">
      <formula>AV37="0"</formula>
    </cfRule>
  </conditionalFormatting>
  <conditionalFormatting sqref="H37">
    <cfRule type="expression" dxfId="1416" priority="1401" stopIfTrue="1">
      <formula>AND(NOT($C37=""),H37="")</formula>
    </cfRule>
    <cfRule type="expression" dxfId="1415" priority="1402" stopIfTrue="1">
      <formula>BA37="0"</formula>
    </cfRule>
  </conditionalFormatting>
  <conditionalFormatting sqref="I37">
    <cfRule type="expression" dxfId="1414" priority="1399" stopIfTrue="1">
      <formula>AND(NOT($C37=""),I37="")</formula>
    </cfRule>
    <cfRule type="expression" dxfId="1413" priority="1400" stopIfTrue="1">
      <formula>BF37="0"</formula>
    </cfRule>
  </conditionalFormatting>
  <conditionalFormatting sqref="J37">
    <cfRule type="expression" dxfId="1412" priority="1397" stopIfTrue="1">
      <formula>AND(NOT($C37=""),J37="")</formula>
    </cfRule>
    <cfRule type="expression" dxfId="1411" priority="1398" stopIfTrue="1">
      <formula>BK37="0"</formula>
    </cfRule>
  </conditionalFormatting>
  <conditionalFormatting sqref="K37">
    <cfRule type="expression" dxfId="1410" priority="1395" stopIfTrue="1">
      <formula>AND(NOT($C37=""),K37="")</formula>
    </cfRule>
    <cfRule type="expression" dxfId="1409" priority="1396" stopIfTrue="1">
      <formula>BP37="0"</formula>
    </cfRule>
  </conditionalFormatting>
  <conditionalFormatting sqref="L37">
    <cfRule type="expression" dxfId="1408" priority="1393" stopIfTrue="1">
      <formula>AND(NOT($C37=""),L37="")</formula>
    </cfRule>
    <cfRule type="expression" dxfId="1407" priority="1394" stopIfTrue="1">
      <formula>BU37="0"</formula>
    </cfRule>
  </conditionalFormatting>
  <conditionalFormatting sqref="N37">
    <cfRule type="expression" dxfId="1406" priority="1391" stopIfTrue="1">
      <formula>AND(NOT($C37=""),N37="")</formula>
    </cfRule>
    <cfRule type="expression" dxfId="1405" priority="1392" stopIfTrue="1">
      <formula>CE37="0"</formula>
    </cfRule>
  </conditionalFormatting>
  <conditionalFormatting sqref="M37">
    <cfRule type="expression" dxfId="1404" priority="1390" stopIfTrue="1">
      <formula>BZ37="0"</formula>
    </cfRule>
  </conditionalFormatting>
  <conditionalFormatting sqref="E37">
    <cfRule type="expression" dxfId="1403" priority="1388" stopIfTrue="1">
      <formula>AND(NOT($C37=""),E37="")</formula>
    </cfRule>
    <cfRule type="expression" dxfId="1402" priority="1389" stopIfTrue="1">
      <formula>AL37="0"</formula>
    </cfRule>
  </conditionalFormatting>
  <conditionalFormatting sqref="F37">
    <cfRule type="expression" dxfId="1401" priority="1386" stopIfTrue="1">
      <formula>AND(NOT($C37=""),F37="")</formula>
    </cfRule>
    <cfRule type="expression" dxfId="1400" priority="1387" stopIfTrue="1">
      <formula>AQ37="0"</formula>
    </cfRule>
  </conditionalFormatting>
  <conditionalFormatting sqref="G37">
    <cfRule type="expression" dxfId="1399" priority="1384" stopIfTrue="1">
      <formula>AND(NOT($C37=""),G37="")</formula>
    </cfRule>
    <cfRule type="expression" dxfId="1398" priority="1385" stopIfTrue="1">
      <formula>AV37="0"</formula>
    </cfRule>
  </conditionalFormatting>
  <conditionalFormatting sqref="H37">
    <cfRule type="expression" dxfId="1397" priority="1382" stopIfTrue="1">
      <formula>AND(NOT($C37=""),H37="")</formula>
    </cfRule>
    <cfRule type="expression" dxfId="1396" priority="1383" stopIfTrue="1">
      <formula>BA37="0"</formula>
    </cfRule>
  </conditionalFormatting>
  <conditionalFormatting sqref="I37">
    <cfRule type="expression" dxfId="1395" priority="1380" stopIfTrue="1">
      <formula>AND(NOT($C37=""),I37="")</formula>
    </cfRule>
    <cfRule type="expression" dxfId="1394" priority="1381" stopIfTrue="1">
      <formula>BF37="0"</formula>
    </cfRule>
  </conditionalFormatting>
  <conditionalFormatting sqref="J37">
    <cfRule type="expression" dxfId="1393" priority="1378" stopIfTrue="1">
      <formula>AND(NOT($C37=""),J37="")</formula>
    </cfRule>
    <cfRule type="expression" dxfId="1392" priority="1379" stopIfTrue="1">
      <formula>BK37="0"</formula>
    </cfRule>
  </conditionalFormatting>
  <conditionalFormatting sqref="K37">
    <cfRule type="expression" dxfId="1391" priority="1376" stopIfTrue="1">
      <formula>AND(NOT($C37=""),K37="")</formula>
    </cfRule>
    <cfRule type="expression" dxfId="1390" priority="1377" stopIfTrue="1">
      <formula>BP37="0"</formula>
    </cfRule>
  </conditionalFormatting>
  <conditionalFormatting sqref="L37">
    <cfRule type="expression" dxfId="1389" priority="1374" stopIfTrue="1">
      <formula>AND(NOT($C37=""),L37="")</formula>
    </cfRule>
    <cfRule type="expression" dxfId="1388" priority="1375" stopIfTrue="1">
      <formula>BU37="0"</formula>
    </cfRule>
  </conditionalFormatting>
  <conditionalFormatting sqref="N37">
    <cfRule type="expression" dxfId="1387" priority="1372" stopIfTrue="1">
      <formula>AND(NOT($C37=""),N37="")</formula>
    </cfRule>
    <cfRule type="expression" dxfId="1386" priority="1373" stopIfTrue="1">
      <formula>CE37="0"</formula>
    </cfRule>
  </conditionalFormatting>
  <conditionalFormatting sqref="M37">
    <cfRule type="expression" dxfId="1385" priority="1371" stopIfTrue="1">
      <formula>BZ37="0"</formula>
    </cfRule>
  </conditionalFormatting>
  <conditionalFormatting sqref="E37">
    <cfRule type="expression" dxfId="1384" priority="1369" stopIfTrue="1">
      <formula>AND(NOT($C37=""),E37="")</formula>
    </cfRule>
    <cfRule type="expression" dxfId="1383" priority="1370" stopIfTrue="1">
      <formula>AL37="0"</formula>
    </cfRule>
  </conditionalFormatting>
  <conditionalFormatting sqref="F37">
    <cfRule type="expression" dxfId="1382" priority="1367" stopIfTrue="1">
      <formula>AND(NOT($C37=""),F37="")</formula>
    </cfRule>
    <cfRule type="expression" dxfId="1381" priority="1368" stopIfTrue="1">
      <formula>AQ37="0"</formula>
    </cfRule>
  </conditionalFormatting>
  <conditionalFormatting sqref="G37">
    <cfRule type="expression" dxfId="1380" priority="1365" stopIfTrue="1">
      <formula>AND(NOT($C37=""),G37="")</formula>
    </cfRule>
    <cfRule type="expression" dxfId="1379" priority="1366" stopIfTrue="1">
      <formula>AV37="0"</formula>
    </cfRule>
  </conditionalFormatting>
  <conditionalFormatting sqref="H37">
    <cfRule type="expression" dxfId="1378" priority="1363" stopIfTrue="1">
      <formula>AND(NOT($C37=""),H37="")</formula>
    </cfRule>
    <cfRule type="expression" dxfId="1377" priority="1364" stopIfTrue="1">
      <formula>BA37="0"</formula>
    </cfRule>
  </conditionalFormatting>
  <conditionalFormatting sqref="I37">
    <cfRule type="expression" dxfId="1376" priority="1361" stopIfTrue="1">
      <formula>AND(NOT($C37=""),I37="")</formula>
    </cfRule>
    <cfRule type="expression" dxfId="1375" priority="1362" stopIfTrue="1">
      <formula>BF37="0"</formula>
    </cfRule>
  </conditionalFormatting>
  <conditionalFormatting sqref="J37">
    <cfRule type="expression" dxfId="1374" priority="1359" stopIfTrue="1">
      <formula>AND(NOT($C37=""),J37="")</formula>
    </cfRule>
    <cfRule type="expression" dxfId="1373" priority="1360" stopIfTrue="1">
      <formula>BK37="0"</formula>
    </cfRule>
  </conditionalFormatting>
  <conditionalFormatting sqref="K37">
    <cfRule type="expression" dxfId="1372" priority="1357" stopIfTrue="1">
      <formula>AND(NOT($C37=""),K37="")</formula>
    </cfRule>
    <cfRule type="expression" dxfId="1371" priority="1358" stopIfTrue="1">
      <formula>BP37="0"</formula>
    </cfRule>
  </conditionalFormatting>
  <conditionalFormatting sqref="L37">
    <cfRule type="expression" dxfId="1370" priority="1355" stopIfTrue="1">
      <formula>AND(NOT($C37=""),L37="")</formula>
    </cfRule>
    <cfRule type="expression" dxfId="1369" priority="1356" stopIfTrue="1">
      <formula>BU37="0"</formula>
    </cfRule>
  </conditionalFormatting>
  <conditionalFormatting sqref="N37">
    <cfRule type="expression" dxfId="1368" priority="1353" stopIfTrue="1">
      <formula>AND(NOT($C37=""),N37="")</formula>
    </cfRule>
    <cfRule type="expression" dxfId="1367" priority="1354" stopIfTrue="1">
      <formula>CE37="0"</formula>
    </cfRule>
  </conditionalFormatting>
  <conditionalFormatting sqref="M37">
    <cfRule type="expression" dxfId="1366" priority="1352" stopIfTrue="1">
      <formula>BZ37="0"</formula>
    </cfRule>
  </conditionalFormatting>
  <conditionalFormatting sqref="E37">
    <cfRule type="expression" dxfId="1365" priority="1350" stopIfTrue="1">
      <formula>AND(NOT($C37=""),E37="")</formula>
    </cfRule>
    <cfRule type="expression" dxfId="1364" priority="1351" stopIfTrue="1">
      <formula>AL37="0"</formula>
    </cfRule>
  </conditionalFormatting>
  <conditionalFormatting sqref="F37">
    <cfRule type="expression" dxfId="1363" priority="1348" stopIfTrue="1">
      <formula>AND(NOT($C37=""),F37="")</formula>
    </cfRule>
    <cfRule type="expression" dxfId="1362" priority="1349" stopIfTrue="1">
      <formula>AQ37="0"</formula>
    </cfRule>
  </conditionalFormatting>
  <conditionalFormatting sqref="G37">
    <cfRule type="expression" dxfId="1361" priority="1346" stopIfTrue="1">
      <formula>AND(NOT($C37=""),G37="")</formula>
    </cfRule>
    <cfRule type="expression" dxfId="1360" priority="1347" stopIfTrue="1">
      <formula>AV37="0"</formula>
    </cfRule>
  </conditionalFormatting>
  <conditionalFormatting sqref="H37">
    <cfRule type="expression" dxfId="1359" priority="1344" stopIfTrue="1">
      <formula>AND(NOT($C37=""),H37="")</formula>
    </cfRule>
    <cfRule type="expression" dxfId="1358" priority="1345" stopIfTrue="1">
      <formula>BA37="0"</formula>
    </cfRule>
  </conditionalFormatting>
  <conditionalFormatting sqref="I37">
    <cfRule type="expression" dxfId="1357" priority="1342" stopIfTrue="1">
      <formula>AND(NOT($C37=""),I37="")</formula>
    </cfRule>
    <cfRule type="expression" dxfId="1356" priority="1343" stopIfTrue="1">
      <formula>BF37="0"</formula>
    </cfRule>
  </conditionalFormatting>
  <conditionalFormatting sqref="J37">
    <cfRule type="expression" dxfId="1355" priority="1340" stopIfTrue="1">
      <formula>AND(NOT($C37=""),J37="")</formula>
    </cfRule>
    <cfRule type="expression" dxfId="1354" priority="1341" stopIfTrue="1">
      <formula>BK37="0"</formula>
    </cfRule>
  </conditionalFormatting>
  <conditionalFormatting sqref="K37">
    <cfRule type="expression" dxfId="1353" priority="1338" stopIfTrue="1">
      <formula>AND(NOT($C37=""),K37="")</formula>
    </cfRule>
    <cfRule type="expression" dxfId="1352" priority="1339" stopIfTrue="1">
      <formula>BP37="0"</formula>
    </cfRule>
  </conditionalFormatting>
  <conditionalFormatting sqref="L37">
    <cfRule type="expression" dxfId="1351" priority="1336" stopIfTrue="1">
      <formula>AND(NOT($C37=""),L37="")</formula>
    </cfRule>
    <cfRule type="expression" dxfId="1350" priority="1337" stopIfTrue="1">
      <formula>BU37="0"</formula>
    </cfRule>
  </conditionalFormatting>
  <conditionalFormatting sqref="N37">
    <cfRule type="expression" dxfId="1349" priority="1334" stopIfTrue="1">
      <formula>AND(NOT($C37=""),N37="")</formula>
    </cfRule>
    <cfRule type="expression" dxfId="1348" priority="1335" stopIfTrue="1">
      <formula>CE37="0"</formula>
    </cfRule>
  </conditionalFormatting>
  <conditionalFormatting sqref="M37">
    <cfRule type="expression" dxfId="1347" priority="1333" stopIfTrue="1">
      <formula>BZ37="0"</formula>
    </cfRule>
  </conditionalFormatting>
  <conditionalFormatting sqref="E37">
    <cfRule type="expression" dxfId="1346" priority="1331" stopIfTrue="1">
      <formula>AND(NOT($C37=""),E37="")</formula>
    </cfRule>
    <cfRule type="expression" dxfId="1345" priority="1332" stopIfTrue="1">
      <formula>AL37="0"</formula>
    </cfRule>
  </conditionalFormatting>
  <conditionalFormatting sqref="F37">
    <cfRule type="expression" dxfId="1344" priority="1329" stopIfTrue="1">
      <formula>AND(NOT($C37=""),F37="")</formula>
    </cfRule>
    <cfRule type="expression" dxfId="1343" priority="1330" stopIfTrue="1">
      <formula>AQ37="0"</formula>
    </cfRule>
  </conditionalFormatting>
  <conditionalFormatting sqref="G37">
    <cfRule type="expression" dxfId="1342" priority="1327" stopIfTrue="1">
      <formula>AND(NOT($C37=""),G37="")</formula>
    </cfRule>
    <cfRule type="expression" dxfId="1341" priority="1328" stopIfTrue="1">
      <formula>AV37="0"</formula>
    </cfRule>
  </conditionalFormatting>
  <conditionalFormatting sqref="H37">
    <cfRule type="expression" dxfId="1340" priority="1325" stopIfTrue="1">
      <formula>AND(NOT($C37=""),H37="")</formula>
    </cfRule>
    <cfRule type="expression" dxfId="1339" priority="1326" stopIfTrue="1">
      <formula>BA37="0"</formula>
    </cfRule>
  </conditionalFormatting>
  <conditionalFormatting sqref="I37">
    <cfRule type="expression" dxfId="1338" priority="1323" stopIfTrue="1">
      <formula>AND(NOT($C37=""),I37="")</formula>
    </cfRule>
    <cfRule type="expression" dxfId="1337" priority="1324" stopIfTrue="1">
      <formula>BF37="0"</formula>
    </cfRule>
  </conditionalFormatting>
  <conditionalFormatting sqref="J37">
    <cfRule type="expression" dxfId="1336" priority="1321" stopIfTrue="1">
      <formula>AND(NOT($C37=""),J37="")</formula>
    </cfRule>
    <cfRule type="expression" dxfId="1335" priority="1322" stopIfTrue="1">
      <formula>BK37="0"</formula>
    </cfRule>
  </conditionalFormatting>
  <conditionalFormatting sqref="K37">
    <cfRule type="expression" dxfId="1334" priority="1319" stopIfTrue="1">
      <formula>AND(NOT($C37=""),K37="")</formula>
    </cfRule>
    <cfRule type="expression" dxfId="1333" priority="1320" stopIfTrue="1">
      <formula>BP37="0"</formula>
    </cfRule>
  </conditionalFormatting>
  <conditionalFormatting sqref="L37">
    <cfRule type="expression" dxfId="1332" priority="1317" stopIfTrue="1">
      <formula>AND(NOT($C37=""),L37="")</formula>
    </cfRule>
    <cfRule type="expression" dxfId="1331" priority="1318" stopIfTrue="1">
      <formula>BU37="0"</formula>
    </cfRule>
  </conditionalFormatting>
  <conditionalFormatting sqref="N37">
    <cfRule type="expression" dxfId="1330" priority="1315" stopIfTrue="1">
      <formula>AND(NOT($C37=""),N37="")</formula>
    </cfRule>
    <cfRule type="expression" dxfId="1329" priority="1316" stopIfTrue="1">
      <formula>CE37="0"</formula>
    </cfRule>
  </conditionalFormatting>
  <conditionalFormatting sqref="M37">
    <cfRule type="expression" dxfId="1328" priority="1314" stopIfTrue="1">
      <formula>BZ37="0"</formula>
    </cfRule>
  </conditionalFormatting>
  <conditionalFormatting sqref="E37">
    <cfRule type="expression" dxfId="1327" priority="1312" stopIfTrue="1">
      <formula>AND(NOT($C37=""),E37="")</formula>
    </cfRule>
    <cfRule type="expression" dxfId="1326" priority="1313" stopIfTrue="1">
      <formula>AL37="0"</formula>
    </cfRule>
  </conditionalFormatting>
  <conditionalFormatting sqref="F37">
    <cfRule type="expression" dxfId="1325" priority="1310" stopIfTrue="1">
      <formula>AND(NOT($C37=""),F37="")</formula>
    </cfRule>
    <cfRule type="expression" dxfId="1324" priority="1311" stopIfTrue="1">
      <formula>AQ37="0"</formula>
    </cfRule>
  </conditionalFormatting>
  <conditionalFormatting sqref="G37">
    <cfRule type="expression" dxfId="1323" priority="1308" stopIfTrue="1">
      <formula>AND(NOT($C37=""),G37="")</formula>
    </cfRule>
    <cfRule type="expression" dxfId="1322" priority="1309" stopIfTrue="1">
      <formula>AV37="0"</formula>
    </cfRule>
  </conditionalFormatting>
  <conditionalFormatting sqref="H37">
    <cfRule type="expression" dxfId="1321" priority="1306" stopIfTrue="1">
      <formula>AND(NOT($C37=""),H37="")</formula>
    </cfRule>
    <cfRule type="expression" dxfId="1320" priority="1307" stopIfTrue="1">
      <formula>BA37="0"</formula>
    </cfRule>
  </conditionalFormatting>
  <conditionalFormatting sqref="I37">
    <cfRule type="expression" dxfId="1319" priority="1304" stopIfTrue="1">
      <formula>AND(NOT($C37=""),I37="")</formula>
    </cfRule>
    <cfRule type="expression" dxfId="1318" priority="1305" stopIfTrue="1">
      <formula>BF37="0"</formula>
    </cfRule>
  </conditionalFormatting>
  <conditionalFormatting sqref="J37">
    <cfRule type="expression" dxfId="1317" priority="1302" stopIfTrue="1">
      <formula>AND(NOT($C37=""),J37="")</formula>
    </cfRule>
    <cfRule type="expression" dxfId="1316" priority="1303" stopIfTrue="1">
      <formula>BK37="0"</formula>
    </cfRule>
  </conditionalFormatting>
  <conditionalFormatting sqref="K37">
    <cfRule type="expression" dxfId="1315" priority="1300" stopIfTrue="1">
      <formula>AND(NOT($C37=""),K37="")</formula>
    </cfRule>
    <cfRule type="expression" dxfId="1314" priority="1301" stopIfTrue="1">
      <formula>BP37="0"</formula>
    </cfRule>
  </conditionalFormatting>
  <conditionalFormatting sqref="L37">
    <cfRule type="expression" dxfId="1313" priority="1298" stopIfTrue="1">
      <formula>AND(NOT($C37=""),L37="")</formula>
    </cfRule>
    <cfRule type="expression" dxfId="1312" priority="1299" stopIfTrue="1">
      <formula>BU37="0"</formula>
    </cfRule>
  </conditionalFormatting>
  <conditionalFormatting sqref="N37">
    <cfRule type="expression" dxfId="1311" priority="1296" stopIfTrue="1">
      <formula>AND(NOT($C37=""),N37="")</formula>
    </cfRule>
    <cfRule type="expression" dxfId="1310" priority="1297" stopIfTrue="1">
      <formula>CE37="0"</formula>
    </cfRule>
  </conditionalFormatting>
  <conditionalFormatting sqref="M37">
    <cfRule type="expression" dxfId="1309" priority="1295" stopIfTrue="1">
      <formula>BZ37="0"</formula>
    </cfRule>
  </conditionalFormatting>
  <conditionalFormatting sqref="E37">
    <cfRule type="expression" dxfId="1308" priority="1293" stopIfTrue="1">
      <formula>AND(NOT($C37=""),E37="")</formula>
    </cfRule>
    <cfRule type="expression" dxfId="1307" priority="1294" stopIfTrue="1">
      <formula>AL37="0"</formula>
    </cfRule>
  </conditionalFormatting>
  <conditionalFormatting sqref="F37">
    <cfRule type="expression" dxfId="1306" priority="1291" stopIfTrue="1">
      <formula>AND(NOT($C37=""),F37="")</formula>
    </cfRule>
    <cfRule type="expression" dxfId="1305" priority="1292" stopIfTrue="1">
      <formula>AQ37="0"</formula>
    </cfRule>
  </conditionalFormatting>
  <conditionalFormatting sqref="G37">
    <cfRule type="expression" dxfId="1304" priority="1289" stopIfTrue="1">
      <formula>AND(NOT($C37=""),G37="")</formula>
    </cfRule>
    <cfRule type="expression" dxfId="1303" priority="1290" stopIfTrue="1">
      <formula>AV37="0"</formula>
    </cfRule>
  </conditionalFormatting>
  <conditionalFormatting sqref="H37">
    <cfRule type="expression" dxfId="1302" priority="1287" stopIfTrue="1">
      <formula>AND(NOT($C37=""),H37="")</formula>
    </cfRule>
    <cfRule type="expression" dxfId="1301" priority="1288" stopIfTrue="1">
      <formula>BA37="0"</formula>
    </cfRule>
  </conditionalFormatting>
  <conditionalFormatting sqref="I37">
    <cfRule type="expression" dxfId="1300" priority="1285" stopIfTrue="1">
      <formula>AND(NOT($C37=""),I37="")</formula>
    </cfRule>
    <cfRule type="expression" dxfId="1299" priority="1286" stopIfTrue="1">
      <formula>BF37="0"</formula>
    </cfRule>
  </conditionalFormatting>
  <conditionalFormatting sqref="J37">
    <cfRule type="expression" dxfId="1298" priority="1283" stopIfTrue="1">
      <formula>AND(NOT($C37=""),J37="")</formula>
    </cfRule>
    <cfRule type="expression" dxfId="1297" priority="1284" stopIfTrue="1">
      <formula>BK37="0"</formula>
    </cfRule>
  </conditionalFormatting>
  <conditionalFormatting sqref="K37">
    <cfRule type="expression" dxfId="1296" priority="1281" stopIfTrue="1">
      <formula>AND(NOT($C37=""),K37="")</formula>
    </cfRule>
    <cfRule type="expression" dxfId="1295" priority="1282" stopIfTrue="1">
      <formula>BP37="0"</formula>
    </cfRule>
  </conditionalFormatting>
  <conditionalFormatting sqref="L37">
    <cfRule type="expression" dxfId="1294" priority="1279" stopIfTrue="1">
      <formula>AND(NOT($C37=""),L37="")</formula>
    </cfRule>
    <cfRule type="expression" dxfId="1293" priority="1280" stopIfTrue="1">
      <formula>BU37="0"</formula>
    </cfRule>
  </conditionalFormatting>
  <conditionalFormatting sqref="N37">
    <cfRule type="expression" dxfId="1292" priority="1277" stopIfTrue="1">
      <formula>AND(NOT($C37=""),N37="")</formula>
    </cfRule>
    <cfRule type="expression" dxfId="1291" priority="1278" stopIfTrue="1">
      <formula>CE37="0"</formula>
    </cfRule>
  </conditionalFormatting>
  <conditionalFormatting sqref="D33">
    <cfRule type="expression" dxfId="1290" priority="1275" stopIfTrue="1">
      <formula>AND(NOT($C33=""),D33="")</formula>
    </cfRule>
    <cfRule type="expression" dxfId="1289" priority="1276" stopIfTrue="1">
      <formula>AG33="0"</formula>
    </cfRule>
  </conditionalFormatting>
  <conditionalFormatting sqref="D33">
    <cfRule type="expression" dxfId="1288" priority="1273" stopIfTrue="1">
      <formula>AND(NOT($C33=""),D33="")</formula>
    </cfRule>
    <cfRule type="expression" dxfId="1287" priority="1274" stopIfTrue="1">
      <formula>AG33="0"</formula>
    </cfRule>
  </conditionalFormatting>
  <conditionalFormatting sqref="D33">
    <cfRule type="expression" dxfId="1286" priority="1271" stopIfTrue="1">
      <formula>AND(NOT($C33=""),D33="")</formula>
    </cfRule>
    <cfRule type="expression" dxfId="1285" priority="1272" stopIfTrue="1">
      <formula>AG33="0"</formula>
    </cfRule>
  </conditionalFormatting>
  <conditionalFormatting sqref="D33">
    <cfRule type="expression" dxfId="1284" priority="1269" stopIfTrue="1">
      <formula>AND(NOT($C33=""),D33="")</formula>
    </cfRule>
    <cfRule type="expression" dxfId="1283" priority="1270" stopIfTrue="1">
      <formula>AG33="0"</formula>
    </cfRule>
  </conditionalFormatting>
  <conditionalFormatting sqref="D33">
    <cfRule type="expression" dxfId="1282" priority="1267" stopIfTrue="1">
      <formula>AND(NOT($C33=""),D33="")</formula>
    </cfRule>
    <cfRule type="expression" dxfId="1281" priority="1268" stopIfTrue="1">
      <formula>AG33="0"</formula>
    </cfRule>
  </conditionalFormatting>
  <conditionalFormatting sqref="D33">
    <cfRule type="expression" dxfId="1280" priority="1265" stopIfTrue="1">
      <formula>AND(NOT($C33=""),D33="")</formula>
    </cfRule>
    <cfRule type="expression" dxfId="1279" priority="1266" stopIfTrue="1">
      <formula>AG33="0"</formula>
    </cfRule>
  </conditionalFormatting>
  <conditionalFormatting sqref="D33">
    <cfRule type="expression" dxfId="1278" priority="1263" stopIfTrue="1">
      <formula>AND(NOT($C33=""),D33="")</formula>
    </cfRule>
    <cfRule type="expression" dxfId="1277" priority="1264" stopIfTrue="1">
      <formula>AG33="0"</formula>
    </cfRule>
  </conditionalFormatting>
  <conditionalFormatting sqref="D33">
    <cfRule type="expression" dxfId="1276" priority="1261" stopIfTrue="1">
      <formula>AND(NOT($C33=""),D33="")</formula>
    </cfRule>
    <cfRule type="expression" dxfId="1275" priority="1262" stopIfTrue="1">
      <formula>AG33="0"</formula>
    </cfRule>
  </conditionalFormatting>
  <conditionalFormatting sqref="D33">
    <cfRule type="expression" dxfId="1274" priority="1259" stopIfTrue="1">
      <formula>AND(NOT($C33=""),D33="")</formula>
    </cfRule>
    <cfRule type="expression" dxfId="1273" priority="1260" stopIfTrue="1">
      <formula>AG33="0"</formula>
    </cfRule>
  </conditionalFormatting>
  <conditionalFormatting sqref="D33">
    <cfRule type="expression" dxfId="1272" priority="1257" stopIfTrue="1">
      <formula>AND(NOT($C33=""),D33="")</formula>
    </cfRule>
    <cfRule type="expression" dxfId="1271" priority="1258" stopIfTrue="1">
      <formula>AG33="0"</formula>
    </cfRule>
  </conditionalFormatting>
  <conditionalFormatting sqref="D33">
    <cfRule type="expression" dxfId="1270" priority="1255" stopIfTrue="1">
      <formula>AND(NOT($C33=""),D33="")</formula>
    </cfRule>
    <cfRule type="expression" dxfId="1269" priority="1256" stopIfTrue="1">
      <formula>AG33="0"</formula>
    </cfRule>
  </conditionalFormatting>
  <conditionalFormatting sqref="D33">
    <cfRule type="expression" dxfId="1268" priority="1253" stopIfTrue="1">
      <formula>AND(NOT($C33=""),D33="")</formula>
    </cfRule>
    <cfRule type="expression" dxfId="1267" priority="1254" stopIfTrue="1">
      <formula>AG33="0"</formula>
    </cfRule>
  </conditionalFormatting>
  <conditionalFormatting sqref="D33">
    <cfRule type="expression" dxfId="1266" priority="1251" stopIfTrue="1">
      <formula>AND(NOT($C33=""),D33="")</formula>
    </cfRule>
    <cfRule type="expression" dxfId="1265" priority="1252" stopIfTrue="1">
      <formula>AG33="0"</formula>
    </cfRule>
  </conditionalFormatting>
  <conditionalFormatting sqref="D33">
    <cfRule type="expression" dxfId="1264" priority="1249" stopIfTrue="1">
      <formula>AND(NOT($C33=""),D33="")</formula>
    </cfRule>
    <cfRule type="expression" dxfId="1263" priority="1250" stopIfTrue="1">
      <formula>AG33="0"</formula>
    </cfRule>
  </conditionalFormatting>
  <conditionalFormatting sqref="D33">
    <cfRule type="expression" dxfId="1262" priority="1247" stopIfTrue="1">
      <formula>AND(NOT($C33=""),D33="")</formula>
    </cfRule>
    <cfRule type="expression" dxfId="1261" priority="1248" stopIfTrue="1">
      <formula>AG33="0"</formula>
    </cfRule>
  </conditionalFormatting>
  <conditionalFormatting sqref="D33">
    <cfRule type="expression" dxfId="1260" priority="1245" stopIfTrue="1">
      <formula>AND(NOT($C33=""),D33="")</formula>
    </cfRule>
    <cfRule type="expression" dxfId="1259" priority="1246" stopIfTrue="1">
      <formula>AG33="0"</formula>
    </cfRule>
  </conditionalFormatting>
  <conditionalFormatting sqref="D33">
    <cfRule type="expression" dxfId="1258" priority="1243" stopIfTrue="1">
      <formula>AND(NOT($C33=""),D33="")</formula>
    </cfRule>
    <cfRule type="expression" dxfId="1257" priority="1244" stopIfTrue="1">
      <formula>AG33="0"</formula>
    </cfRule>
  </conditionalFormatting>
  <conditionalFormatting sqref="D33">
    <cfRule type="expression" dxfId="1256" priority="1241" stopIfTrue="1">
      <formula>AND(NOT($C33=""),D33="")</formula>
    </cfRule>
    <cfRule type="expression" dxfId="1255" priority="1242" stopIfTrue="1">
      <formula>AG33="0"</formula>
    </cfRule>
  </conditionalFormatting>
  <conditionalFormatting sqref="D33">
    <cfRule type="expression" dxfId="1254" priority="1239" stopIfTrue="1">
      <formula>AND(NOT($C33=""),D33="")</formula>
    </cfRule>
    <cfRule type="expression" dxfId="1253" priority="1240" stopIfTrue="1">
      <formula>AG33="0"</formula>
    </cfRule>
  </conditionalFormatting>
  <conditionalFormatting sqref="D33">
    <cfRule type="expression" dxfId="1252" priority="1237" stopIfTrue="1">
      <formula>AND(NOT($C33=""),D33="")</formula>
    </cfRule>
    <cfRule type="expression" dxfId="1251" priority="1238" stopIfTrue="1">
      <formula>AG33="0"</formula>
    </cfRule>
  </conditionalFormatting>
  <conditionalFormatting sqref="D33">
    <cfRule type="expression" dxfId="1250" priority="1235" stopIfTrue="1">
      <formula>AND(NOT($C33=""),D33="")</formula>
    </cfRule>
    <cfRule type="expression" dxfId="1249" priority="1236" stopIfTrue="1">
      <formula>AG33="0"</formula>
    </cfRule>
  </conditionalFormatting>
  <conditionalFormatting sqref="D33">
    <cfRule type="expression" dxfId="1248" priority="1233" stopIfTrue="1">
      <formula>AND(NOT($C33=""),D33="")</formula>
    </cfRule>
    <cfRule type="expression" dxfId="1247" priority="1234" stopIfTrue="1">
      <formula>AG33="0"</formula>
    </cfRule>
  </conditionalFormatting>
  <conditionalFormatting sqref="D33">
    <cfRule type="expression" dxfId="1246" priority="1231" stopIfTrue="1">
      <formula>AND(NOT($C33=""),D33="")</formula>
    </cfRule>
    <cfRule type="expression" dxfId="1245" priority="1232" stopIfTrue="1">
      <formula>AG33="0"</formula>
    </cfRule>
  </conditionalFormatting>
  <conditionalFormatting sqref="D33">
    <cfRule type="expression" dxfId="1244" priority="1229" stopIfTrue="1">
      <formula>AND(NOT($C33=""),D33="")</formula>
    </cfRule>
    <cfRule type="expression" dxfId="1243" priority="1230" stopIfTrue="1">
      <formula>AG33="0"</formula>
    </cfRule>
  </conditionalFormatting>
  <conditionalFormatting sqref="H37">
    <cfRule type="expression" dxfId="1242" priority="1227" stopIfTrue="1">
      <formula>AND(NOT($C37=""),H37="")</formula>
    </cfRule>
    <cfRule type="expression" dxfId="1241" priority="1228" stopIfTrue="1">
      <formula>BA37="0"</formula>
    </cfRule>
  </conditionalFormatting>
  <conditionalFormatting sqref="I37">
    <cfRule type="expression" dxfId="1240" priority="1225" stopIfTrue="1">
      <formula>AND(NOT($C37=""),I37="")</formula>
    </cfRule>
    <cfRule type="expression" dxfId="1239" priority="1226" stopIfTrue="1">
      <formula>BF37="0"</formula>
    </cfRule>
  </conditionalFormatting>
  <conditionalFormatting sqref="H37">
    <cfRule type="expression" dxfId="1238" priority="1223" stopIfTrue="1">
      <formula>AND(NOT($C37=""),H37="")</formula>
    </cfRule>
    <cfRule type="expression" dxfId="1237" priority="1224" stopIfTrue="1">
      <formula>BA37="0"</formula>
    </cfRule>
  </conditionalFormatting>
  <conditionalFormatting sqref="I37">
    <cfRule type="expression" dxfId="1236" priority="1221" stopIfTrue="1">
      <formula>AND(NOT($C37=""),I37="")</formula>
    </cfRule>
    <cfRule type="expression" dxfId="1235" priority="1222" stopIfTrue="1">
      <formula>BF37="0"</formula>
    </cfRule>
  </conditionalFormatting>
  <conditionalFormatting sqref="H37">
    <cfRule type="expression" dxfId="1234" priority="1219" stopIfTrue="1">
      <formula>AND(NOT($C37=""),H37="")</formula>
    </cfRule>
    <cfRule type="expression" dxfId="1233" priority="1220" stopIfTrue="1">
      <formula>BA37="0"</formula>
    </cfRule>
  </conditionalFormatting>
  <conditionalFormatting sqref="I37">
    <cfRule type="expression" dxfId="1232" priority="1217" stopIfTrue="1">
      <formula>AND(NOT($C37=""),I37="")</formula>
    </cfRule>
    <cfRule type="expression" dxfId="1231" priority="1218" stopIfTrue="1">
      <formula>BF37="0"</formula>
    </cfRule>
  </conditionalFormatting>
  <conditionalFormatting sqref="H37">
    <cfRule type="expression" dxfId="1230" priority="1215" stopIfTrue="1">
      <formula>AND(NOT($C37=""),H37="")</formula>
    </cfRule>
    <cfRule type="expression" dxfId="1229" priority="1216" stopIfTrue="1">
      <formula>BA37="0"</formula>
    </cfRule>
  </conditionalFormatting>
  <conditionalFormatting sqref="I37">
    <cfRule type="expression" dxfId="1228" priority="1213" stopIfTrue="1">
      <formula>AND(NOT($C37=""),I37="")</formula>
    </cfRule>
    <cfRule type="expression" dxfId="1227" priority="1214" stopIfTrue="1">
      <formula>BF37="0"</formula>
    </cfRule>
  </conditionalFormatting>
  <conditionalFormatting sqref="H37">
    <cfRule type="expression" dxfId="1226" priority="1211" stopIfTrue="1">
      <formula>AND(NOT($C37=""),H37="")</formula>
    </cfRule>
    <cfRule type="expression" dxfId="1225" priority="1212" stopIfTrue="1">
      <formula>BA37="0"</formula>
    </cfRule>
  </conditionalFormatting>
  <conditionalFormatting sqref="I37">
    <cfRule type="expression" dxfId="1224" priority="1209" stopIfTrue="1">
      <formula>AND(NOT($C37=""),I37="")</formula>
    </cfRule>
    <cfRule type="expression" dxfId="1223" priority="1210" stopIfTrue="1">
      <formula>BF37="0"</formula>
    </cfRule>
  </conditionalFormatting>
  <conditionalFormatting sqref="H37">
    <cfRule type="expression" dxfId="1222" priority="1207" stopIfTrue="1">
      <formula>AND(NOT($C37=""),H37="")</formula>
    </cfRule>
    <cfRule type="expression" dxfId="1221" priority="1208" stopIfTrue="1">
      <formula>BA37="0"</formula>
    </cfRule>
  </conditionalFormatting>
  <conditionalFormatting sqref="I37">
    <cfRule type="expression" dxfId="1220" priority="1205" stopIfTrue="1">
      <formula>AND(NOT($C37=""),I37="")</formula>
    </cfRule>
    <cfRule type="expression" dxfId="1219" priority="1206" stopIfTrue="1">
      <formula>BF37="0"</formula>
    </cfRule>
  </conditionalFormatting>
  <conditionalFormatting sqref="H37">
    <cfRule type="expression" dxfId="1218" priority="1203" stopIfTrue="1">
      <formula>AND(NOT($C37=""),H37="")</formula>
    </cfRule>
    <cfRule type="expression" dxfId="1217" priority="1204" stopIfTrue="1">
      <formula>BA37="0"</formula>
    </cfRule>
  </conditionalFormatting>
  <conditionalFormatting sqref="I37">
    <cfRule type="expression" dxfId="1216" priority="1201" stopIfTrue="1">
      <formula>AND(NOT($C37=""),I37="")</formula>
    </cfRule>
    <cfRule type="expression" dxfId="1215" priority="1202" stopIfTrue="1">
      <formula>BF37="0"</formula>
    </cfRule>
  </conditionalFormatting>
  <conditionalFormatting sqref="H37">
    <cfRule type="expression" dxfId="1214" priority="1199" stopIfTrue="1">
      <formula>AND(NOT($C37=""),H37="")</formula>
    </cfRule>
    <cfRule type="expression" dxfId="1213" priority="1200" stopIfTrue="1">
      <formula>BA37="0"</formula>
    </cfRule>
  </conditionalFormatting>
  <conditionalFormatting sqref="I37">
    <cfRule type="expression" dxfId="1212" priority="1197" stopIfTrue="1">
      <formula>AND(NOT($C37=""),I37="")</formula>
    </cfRule>
    <cfRule type="expression" dxfId="1211" priority="1198" stopIfTrue="1">
      <formula>BF37="0"</formula>
    </cfRule>
  </conditionalFormatting>
  <conditionalFormatting sqref="H37">
    <cfRule type="expression" dxfId="1210" priority="1195" stopIfTrue="1">
      <formula>AND(NOT($C37=""),H37="")</formula>
    </cfRule>
    <cfRule type="expression" dxfId="1209" priority="1196" stopIfTrue="1">
      <formula>BA37="0"</formula>
    </cfRule>
  </conditionalFormatting>
  <conditionalFormatting sqref="I37">
    <cfRule type="expression" dxfId="1208" priority="1193" stopIfTrue="1">
      <formula>AND(NOT($C37=""),I37="")</formula>
    </cfRule>
    <cfRule type="expression" dxfId="1207" priority="1194" stopIfTrue="1">
      <formula>BF37="0"</formula>
    </cfRule>
  </conditionalFormatting>
  <conditionalFormatting sqref="H37">
    <cfRule type="expression" dxfId="1206" priority="1191" stopIfTrue="1">
      <formula>AND(NOT($C37=""),H37="")</formula>
    </cfRule>
    <cfRule type="expression" dxfId="1205" priority="1192" stopIfTrue="1">
      <formula>BA37="0"</formula>
    </cfRule>
  </conditionalFormatting>
  <conditionalFormatting sqref="I37">
    <cfRule type="expression" dxfId="1204" priority="1189" stopIfTrue="1">
      <formula>AND(NOT($C37=""),I37="")</formula>
    </cfRule>
    <cfRule type="expression" dxfId="1203" priority="1190" stopIfTrue="1">
      <formula>BF37="0"</formula>
    </cfRule>
  </conditionalFormatting>
  <conditionalFormatting sqref="H37">
    <cfRule type="expression" dxfId="1202" priority="1187" stopIfTrue="1">
      <formula>AND(NOT($C37=""),H37="")</formula>
    </cfRule>
    <cfRule type="expression" dxfId="1201" priority="1188" stopIfTrue="1">
      <formula>BA37="0"</formula>
    </cfRule>
  </conditionalFormatting>
  <conditionalFormatting sqref="I37">
    <cfRule type="expression" dxfId="1200" priority="1185" stopIfTrue="1">
      <formula>AND(NOT($C37=""),I37="")</formula>
    </cfRule>
    <cfRule type="expression" dxfId="1199" priority="1186" stopIfTrue="1">
      <formula>BF37="0"</formula>
    </cfRule>
  </conditionalFormatting>
  <conditionalFormatting sqref="H37">
    <cfRule type="expression" dxfId="1198" priority="1183" stopIfTrue="1">
      <formula>AND(NOT($C37=""),H37="")</formula>
    </cfRule>
    <cfRule type="expression" dxfId="1197" priority="1184" stopIfTrue="1">
      <formula>BA37="0"</formula>
    </cfRule>
  </conditionalFormatting>
  <conditionalFormatting sqref="I37">
    <cfRule type="expression" dxfId="1196" priority="1181" stopIfTrue="1">
      <formula>AND(NOT($C37=""),I37="")</formula>
    </cfRule>
    <cfRule type="expression" dxfId="1195" priority="1182" stopIfTrue="1">
      <formula>BF37="0"</formula>
    </cfRule>
  </conditionalFormatting>
  <conditionalFormatting sqref="H37">
    <cfRule type="expression" dxfId="1194" priority="1179" stopIfTrue="1">
      <formula>AND(NOT($C37=""),H37="")</formula>
    </cfRule>
    <cfRule type="expression" dxfId="1193" priority="1180" stopIfTrue="1">
      <formula>BA37="0"</formula>
    </cfRule>
  </conditionalFormatting>
  <conditionalFormatting sqref="I37">
    <cfRule type="expression" dxfId="1192" priority="1177" stopIfTrue="1">
      <formula>AND(NOT($C37=""),I37="")</formula>
    </cfRule>
    <cfRule type="expression" dxfId="1191" priority="1178" stopIfTrue="1">
      <formula>BF37="0"</formula>
    </cfRule>
  </conditionalFormatting>
  <conditionalFormatting sqref="M12">
    <cfRule type="expression" dxfId="1190" priority="1176" stopIfTrue="1">
      <formula>BZ12="0"</formula>
    </cfRule>
  </conditionalFormatting>
  <conditionalFormatting sqref="D12">
    <cfRule type="expression" dxfId="1189" priority="1174" stopIfTrue="1">
      <formula>AND(NOT($C12=""),D12="")</formula>
    </cfRule>
    <cfRule type="expression" dxfId="1188" priority="1175" stopIfTrue="1">
      <formula>AG12="0"</formula>
    </cfRule>
  </conditionalFormatting>
  <conditionalFormatting sqref="E12">
    <cfRule type="expression" dxfId="1187" priority="1172" stopIfTrue="1">
      <formula>AND(NOT($C12=""),E12="")</formula>
    </cfRule>
    <cfRule type="expression" dxfId="1186" priority="1173" stopIfTrue="1">
      <formula>AL12="0"</formula>
    </cfRule>
  </conditionalFormatting>
  <conditionalFormatting sqref="F12">
    <cfRule type="expression" dxfId="1185" priority="1170" stopIfTrue="1">
      <formula>AND(NOT($C12=""),F12="")</formula>
    </cfRule>
    <cfRule type="expression" dxfId="1184" priority="1171" stopIfTrue="1">
      <formula>AQ12="0"</formula>
    </cfRule>
  </conditionalFormatting>
  <conditionalFormatting sqref="G12">
    <cfRule type="expression" dxfId="1183" priority="1168" stopIfTrue="1">
      <formula>AND(NOT($C12=""),G12="")</formula>
    </cfRule>
    <cfRule type="expression" dxfId="1182" priority="1169" stopIfTrue="1">
      <formula>AV12="0"</formula>
    </cfRule>
  </conditionalFormatting>
  <conditionalFormatting sqref="H12">
    <cfRule type="expression" dxfId="1181" priority="1166" stopIfTrue="1">
      <formula>AND(NOT($C12=""),H12="")</formula>
    </cfRule>
    <cfRule type="expression" dxfId="1180" priority="1167" stopIfTrue="1">
      <formula>BA12="0"</formula>
    </cfRule>
  </conditionalFormatting>
  <conditionalFormatting sqref="I12">
    <cfRule type="expression" dxfId="1179" priority="1164" stopIfTrue="1">
      <formula>AND(NOT($C12=""),I12="")</formula>
    </cfRule>
    <cfRule type="expression" dxfId="1178" priority="1165" stopIfTrue="1">
      <formula>BF12="0"</formula>
    </cfRule>
  </conditionalFormatting>
  <conditionalFormatting sqref="J12">
    <cfRule type="expression" dxfId="1177" priority="1162" stopIfTrue="1">
      <formula>AND(NOT($C12=""),J12="")</formula>
    </cfRule>
    <cfRule type="expression" dxfId="1176" priority="1163" stopIfTrue="1">
      <formula>BK12="0"</formula>
    </cfRule>
  </conditionalFormatting>
  <conditionalFormatting sqref="K12">
    <cfRule type="expression" dxfId="1175" priority="1160" stopIfTrue="1">
      <formula>AND(NOT($C12=""),K12="")</formula>
    </cfRule>
    <cfRule type="expression" dxfId="1174" priority="1161" stopIfTrue="1">
      <formula>BP12="0"</formula>
    </cfRule>
  </conditionalFormatting>
  <conditionalFormatting sqref="L12">
    <cfRule type="expression" dxfId="1173" priority="1158" stopIfTrue="1">
      <formula>AND(NOT($C12=""),L12="")</formula>
    </cfRule>
    <cfRule type="expression" dxfId="1172" priority="1159" stopIfTrue="1">
      <formula>BU12="0"</formula>
    </cfRule>
  </conditionalFormatting>
  <conditionalFormatting sqref="N12">
    <cfRule type="expression" dxfId="1171" priority="1156" stopIfTrue="1">
      <formula>AND(NOT($C12=""),N12="")</formula>
    </cfRule>
    <cfRule type="expression" dxfId="1170" priority="1157" stopIfTrue="1">
      <formula>CE12="0"</formula>
    </cfRule>
  </conditionalFormatting>
  <conditionalFormatting sqref="M12">
    <cfRule type="expression" dxfId="1169" priority="1155" stopIfTrue="1">
      <formula>BZ12="0"</formula>
    </cfRule>
  </conditionalFormatting>
  <conditionalFormatting sqref="D12">
    <cfRule type="expression" dxfId="1168" priority="1153" stopIfTrue="1">
      <formula>AND(NOT($C12=""),D12="")</formula>
    </cfRule>
    <cfRule type="expression" dxfId="1167" priority="1154" stopIfTrue="1">
      <formula>AG12="0"</formula>
    </cfRule>
  </conditionalFormatting>
  <conditionalFormatting sqref="E12">
    <cfRule type="expression" dxfId="1166" priority="1151" stopIfTrue="1">
      <formula>AND(NOT($C12=""),E12="")</formula>
    </cfRule>
    <cfRule type="expression" dxfId="1165" priority="1152" stopIfTrue="1">
      <formula>AL12="0"</formula>
    </cfRule>
  </conditionalFormatting>
  <conditionalFormatting sqref="F12">
    <cfRule type="expression" dxfId="1164" priority="1149" stopIfTrue="1">
      <formula>AND(NOT($C12=""),F12="")</formula>
    </cfRule>
    <cfRule type="expression" dxfId="1163" priority="1150" stopIfTrue="1">
      <formula>AQ12="0"</formula>
    </cfRule>
  </conditionalFormatting>
  <conditionalFormatting sqref="G12">
    <cfRule type="expression" dxfId="1162" priority="1147" stopIfTrue="1">
      <formula>AND(NOT($C12=""),G12="")</formula>
    </cfRule>
    <cfRule type="expression" dxfId="1161" priority="1148" stopIfTrue="1">
      <formula>AV12="0"</formula>
    </cfRule>
  </conditionalFormatting>
  <conditionalFormatting sqref="H12">
    <cfRule type="expression" dxfId="1160" priority="1145" stopIfTrue="1">
      <formula>AND(NOT($C12=""),H12="")</formula>
    </cfRule>
    <cfRule type="expression" dxfId="1159" priority="1146" stopIfTrue="1">
      <formula>BA12="0"</formula>
    </cfRule>
  </conditionalFormatting>
  <conditionalFormatting sqref="I12">
    <cfRule type="expression" dxfId="1158" priority="1143" stopIfTrue="1">
      <formula>AND(NOT($C12=""),I12="")</formula>
    </cfRule>
    <cfRule type="expression" dxfId="1157" priority="1144" stopIfTrue="1">
      <formula>BF12="0"</formula>
    </cfRule>
  </conditionalFormatting>
  <conditionalFormatting sqref="J12">
    <cfRule type="expression" dxfId="1156" priority="1141" stopIfTrue="1">
      <formula>AND(NOT($C12=""),J12="")</formula>
    </cfRule>
    <cfRule type="expression" dxfId="1155" priority="1142" stopIfTrue="1">
      <formula>BK12="0"</formula>
    </cfRule>
  </conditionalFormatting>
  <conditionalFormatting sqref="K12">
    <cfRule type="expression" dxfId="1154" priority="1139" stopIfTrue="1">
      <formula>AND(NOT($C12=""),K12="")</formula>
    </cfRule>
    <cfRule type="expression" dxfId="1153" priority="1140" stopIfTrue="1">
      <formula>BP12="0"</formula>
    </cfRule>
  </conditionalFormatting>
  <conditionalFormatting sqref="L12">
    <cfRule type="expression" dxfId="1152" priority="1137" stopIfTrue="1">
      <formula>AND(NOT($C12=""),L12="")</formula>
    </cfRule>
    <cfRule type="expression" dxfId="1151" priority="1138" stopIfTrue="1">
      <formula>BU12="0"</formula>
    </cfRule>
  </conditionalFormatting>
  <conditionalFormatting sqref="N12">
    <cfRule type="expression" dxfId="1150" priority="1135" stopIfTrue="1">
      <formula>AND(NOT($C12=""),N12="")</formula>
    </cfRule>
    <cfRule type="expression" dxfId="1149" priority="1136" stopIfTrue="1">
      <formula>CE12="0"</formula>
    </cfRule>
  </conditionalFormatting>
  <conditionalFormatting sqref="M12">
    <cfRule type="expression" dxfId="1148" priority="1134" stopIfTrue="1">
      <formula>BZ12="0"</formula>
    </cfRule>
  </conditionalFormatting>
  <conditionalFormatting sqref="D12">
    <cfRule type="expression" dxfId="1147" priority="1132" stopIfTrue="1">
      <formula>AND(NOT($C12=""),D12="")</formula>
    </cfRule>
    <cfRule type="expression" dxfId="1146" priority="1133" stopIfTrue="1">
      <formula>AG12="0"</formula>
    </cfRule>
  </conditionalFormatting>
  <conditionalFormatting sqref="E12">
    <cfRule type="expression" dxfId="1145" priority="1130" stopIfTrue="1">
      <formula>AND(NOT($C12=""),E12="")</formula>
    </cfRule>
    <cfRule type="expression" dxfId="1144" priority="1131" stopIfTrue="1">
      <formula>AL12="0"</formula>
    </cfRule>
  </conditionalFormatting>
  <conditionalFormatting sqref="F12">
    <cfRule type="expression" dxfId="1143" priority="1128" stopIfTrue="1">
      <formula>AND(NOT($C12=""),F12="")</formula>
    </cfRule>
    <cfRule type="expression" dxfId="1142" priority="1129" stopIfTrue="1">
      <formula>AQ12="0"</formula>
    </cfRule>
  </conditionalFormatting>
  <conditionalFormatting sqref="G12">
    <cfRule type="expression" dxfId="1141" priority="1126" stopIfTrue="1">
      <formula>AND(NOT($C12=""),G12="")</formula>
    </cfRule>
    <cfRule type="expression" dxfId="1140" priority="1127" stopIfTrue="1">
      <formula>AV12="0"</formula>
    </cfRule>
  </conditionalFormatting>
  <conditionalFormatting sqref="H12">
    <cfRule type="expression" dxfId="1139" priority="1124" stopIfTrue="1">
      <formula>AND(NOT($C12=""),H12="")</formula>
    </cfRule>
    <cfRule type="expression" dxfId="1138" priority="1125" stopIfTrue="1">
      <formula>BA12="0"</formula>
    </cfRule>
  </conditionalFormatting>
  <conditionalFormatting sqref="I12">
    <cfRule type="expression" dxfId="1137" priority="1122" stopIfTrue="1">
      <formula>AND(NOT($C12=""),I12="")</formula>
    </cfRule>
    <cfRule type="expression" dxfId="1136" priority="1123" stopIfTrue="1">
      <formula>BF12="0"</formula>
    </cfRule>
  </conditionalFormatting>
  <conditionalFormatting sqref="J12">
    <cfRule type="expression" dxfId="1135" priority="1120" stopIfTrue="1">
      <formula>AND(NOT($C12=""),J12="")</formula>
    </cfRule>
    <cfRule type="expression" dxfId="1134" priority="1121" stopIfTrue="1">
      <formula>BK12="0"</formula>
    </cfRule>
  </conditionalFormatting>
  <conditionalFormatting sqref="K12">
    <cfRule type="expression" dxfId="1133" priority="1118" stopIfTrue="1">
      <formula>AND(NOT($C12=""),K12="")</formula>
    </cfRule>
    <cfRule type="expression" dxfId="1132" priority="1119" stopIfTrue="1">
      <formula>BP12="0"</formula>
    </cfRule>
  </conditionalFormatting>
  <conditionalFormatting sqref="L12">
    <cfRule type="expression" dxfId="1131" priority="1116" stopIfTrue="1">
      <formula>AND(NOT($C12=""),L12="")</formula>
    </cfRule>
    <cfRule type="expression" dxfId="1130" priority="1117" stopIfTrue="1">
      <formula>BU12="0"</formula>
    </cfRule>
  </conditionalFormatting>
  <conditionalFormatting sqref="N12">
    <cfRule type="expression" dxfId="1129" priority="1114" stopIfTrue="1">
      <formula>AND(NOT($C12=""),N12="")</formula>
    </cfRule>
    <cfRule type="expression" dxfId="1128" priority="1115" stopIfTrue="1">
      <formula>CE12="0"</formula>
    </cfRule>
  </conditionalFormatting>
  <conditionalFormatting sqref="M12">
    <cfRule type="expression" dxfId="1127" priority="1113" stopIfTrue="1">
      <formula>BZ12="0"</formula>
    </cfRule>
  </conditionalFormatting>
  <conditionalFormatting sqref="D12">
    <cfRule type="expression" dxfId="1126" priority="1111" stopIfTrue="1">
      <formula>AND(NOT($C12=""),D12="")</formula>
    </cfRule>
    <cfRule type="expression" dxfId="1125" priority="1112" stopIfTrue="1">
      <formula>AG12="0"</formula>
    </cfRule>
  </conditionalFormatting>
  <conditionalFormatting sqref="E12">
    <cfRule type="expression" dxfId="1124" priority="1109" stopIfTrue="1">
      <formula>AND(NOT($C12=""),E12="")</formula>
    </cfRule>
    <cfRule type="expression" dxfId="1123" priority="1110" stopIfTrue="1">
      <formula>AL12="0"</formula>
    </cfRule>
  </conditionalFormatting>
  <conditionalFormatting sqref="F12">
    <cfRule type="expression" dxfId="1122" priority="1107" stopIfTrue="1">
      <formula>AND(NOT($C12=""),F12="")</formula>
    </cfRule>
    <cfRule type="expression" dxfId="1121" priority="1108" stopIfTrue="1">
      <formula>AQ12="0"</formula>
    </cfRule>
  </conditionalFormatting>
  <conditionalFormatting sqref="G12">
    <cfRule type="expression" dxfId="1120" priority="1105" stopIfTrue="1">
      <formula>AND(NOT($C12=""),G12="")</formula>
    </cfRule>
    <cfRule type="expression" dxfId="1119" priority="1106" stopIfTrue="1">
      <formula>AV12="0"</formula>
    </cfRule>
  </conditionalFormatting>
  <conditionalFormatting sqref="H12">
    <cfRule type="expression" dxfId="1118" priority="1103" stopIfTrue="1">
      <formula>AND(NOT($C12=""),H12="")</formula>
    </cfRule>
    <cfRule type="expression" dxfId="1117" priority="1104" stopIfTrue="1">
      <formula>BA12="0"</formula>
    </cfRule>
  </conditionalFormatting>
  <conditionalFormatting sqref="I12">
    <cfRule type="expression" dxfId="1116" priority="1101" stopIfTrue="1">
      <formula>AND(NOT($C12=""),I12="")</formula>
    </cfRule>
    <cfRule type="expression" dxfId="1115" priority="1102" stopIfTrue="1">
      <formula>BF12="0"</formula>
    </cfRule>
  </conditionalFormatting>
  <conditionalFormatting sqref="J12">
    <cfRule type="expression" dxfId="1114" priority="1099" stopIfTrue="1">
      <formula>AND(NOT($C12=""),J12="")</formula>
    </cfRule>
    <cfRule type="expression" dxfId="1113" priority="1100" stopIfTrue="1">
      <formula>BK12="0"</formula>
    </cfRule>
  </conditionalFormatting>
  <conditionalFormatting sqref="K12">
    <cfRule type="expression" dxfId="1112" priority="1097" stopIfTrue="1">
      <formula>AND(NOT($C12=""),K12="")</formula>
    </cfRule>
    <cfRule type="expression" dxfId="1111" priority="1098" stopIfTrue="1">
      <formula>BP12="0"</formula>
    </cfRule>
  </conditionalFormatting>
  <conditionalFormatting sqref="L12">
    <cfRule type="expression" dxfId="1110" priority="1095" stopIfTrue="1">
      <formula>AND(NOT($C12=""),L12="")</formula>
    </cfRule>
    <cfRule type="expression" dxfId="1109" priority="1096" stopIfTrue="1">
      <formula>BU12="0"</formula>
    </cfRule>
  </conditionalFormatting>
  <conditionalFormatting sqref="N12">
    <cfRule type="expression" dxfId="1108" priority="1093" stopIfTrue="1">
      <formula>AND(NOT($C12=""),N12="")</formula>
    </cfRule>
    <cfRule type="expression" dxfId="1107" priority="1094" stopIfTrue="1">
      <formula>CE12="0"</formula>
    </cfRule>
  </conditionalFormatting>
  <conditionalFormatting sqref="M12">
    <cfRule type="expression" dxfId="1106" priority="1092" stopIfTrue="1">
      <formula>BZ12="0"</formula>
    </cfRule>
  </conditionalFormatting>
  <conditionalFormatting sqref="D12">
    <cfRule type="expression" dxfId="1105" priority="1090" stopIfTrue="1">
      <formula>AND(NOT($C12=""),D12="")</formula>
    </cfRule>
    <cfRule type="expression" dxfId="1104" priority="1091" stopIfTrue="1">
      <formula>AG12="0"</formula>
    </cfRule>
  </conditionalFormatting>
  <conditionalFormatting sqref="E12">
    <cfRule type="expression" dxfId="1103" priority="1088" stopIfTrue="1">
      <formula>AND(NOT($C12=""),E12="")</formula>
    </cfRule>
    <cfRule type="expression" dxfId="1102" priority="1089" stopIfTrue="1">
      <formula>AL12="0"</formula>
    </cfRule>
  </conditionalFormatting>
  <conditionalFormatting sqref="F12">
    <cfRule type="expression" dxfId="1101" priority="1086" stopIfTrue="1">
      <formula>AND(NOT($C12=""),F12="")</formula>
    </cfRule>
    <cfRule type="expression" dxfId="1100" priority="1087" stopIfTrue="1">
      <formula>AQ12="0"</formula>
    </cfRule>
  </conditionalFormatting>
  <conditionalFormatting sqref="G12">
    <cfRule type="expression" dxfId="1099" priority="1084" stopIfTrue="1">
      <formula>AND(NOT($C12=""),G12="")</formula>
    </cfRule>
    <cfRule type="expression" dxfId="1098" priority="1085" stopIfTrue="1">
      <formula>AV12="0"</formula>
    </cfRule>
  </conditionalFormatting>
  <conditionalFormatting sqref="H12">
    <cfRule type="expression" dxfId="1097" priority="1082" stopIfTrue="1">
      <formula>AND(NOT($C12=""),H12="")</formula>
    </cfRule>
    <cfRule type="expression" dxfId="1096" priority="1083" stopIfTrue="1">
      <formula>BA12="0"</formula>
    </cfRule>
  </conditionalFormatting>
  <conditionalFormatting sqref="I12">
    <cfRule type="expression" dxfId="1095" priority="1080" stopIfTrue="1">
      <formula>AND(NOT($C12=""),I12="")</formula>
    </cfRule>
    <cfRule type="expression" dxfId="1094" priority="1081" stopIfTrue="1">
      <formula>BF12="0"</formula>
    </cfRule>
  </conditionalFormatting>
  <conditionalFormatting sqref="J12">
    <cfRule type="expression" dxfId="1093" priority="1078" stopIfTrue="1">
      <formula>AND(NOT($C12=""),J12="")</formula>
    </cfRule>
    <cfRule type="expression" dxfId="1092" priority="1079" stopIfTrue="1">
      <formula>BK12="0"</formula>
    </cfRule>
  </conditionalFormatting>
  <conditionalFormatting sqref="K12">
    <cfRule type="expression" dxfId="1091" priority="1076" stopIfTrue="1">
      <formula>AND(NOT($C12=""),K12="")</formula>
    </cfRule>
    <cfRule type="expression" dxfId="1090" priority="1077" stopIfTrue="1">
      <formula>BP12="0"</formula>
    </cfRule>
  </conditionalFormatting>
  <conditionalFormatting sqref="L12">
    <cfRule type="expression" dxfId="1089" priority="1074" stopIfTrue="1">
      <formula>AND(NOT($C12=""),L12="")</formula>
    </cfRule>
    <cfRule type="expression" dxfId="1088" priority="1075" stopIfTrue="1">
      <formula>BU12="0"</formula>
    </cfRule>
  </conditionalFormatting>
  <conditionalFormatting sqref="N12">
    <cfRule type="expression" dxfId="1087" priority="1072" stopIfTrue="1">
      <formula>AND(NOT($C12=""),N12="")</formula>
    </cfRule>
    <cfRule type="expression" dxfId="1086" priority="1073" stopIfTrue="1">
      <formula>CE12="0"</formula>
    </cfRule>
  </conditionalFormatting>
  <conditionalFormatting sqref="M12">
    <cfRule type="expression" dxfId="1085" priority="1071" stopIfTrue="1">
      <formula>BZ12="0"</formula>
    </cfRule>
  </conditionalFormatting>
  <conditionalFormatting sqref="D12">
    <cfRule type="expression" dxfId="1084" priority="1069" stopIfTrue="1">
      <formula>AND(NOT($C12=""),D12="")</formula>
    </cfRule>
    <cfRule type="expression" dxfId="1083" priority="1070" stopIfTrue="1">
      <formula>AG12="0"</formula>
    </cfRule>
  </conditionalFormatting>
  <conditionalFormatting sqref="E12">
    <cfRule type="expression" dxfId="1082" priority="1067" stopIfTrue="1">
      <formula>AND(NOT($C12=""),E12="")</formula>
    </cfRule>
    <cfRule type="expression" dxfId="1081" priority="1068" stopIfTrue="1">
      <formula>AL12="0"</formula>
    </cfRule>
  </conditionalFormatting>
  <conditionalFormatting sqref="F12">
    <cfRule type="expression" dxfId="1080" priority="1065" stopIfTrue="1">
      <formula>AND(NOT($C12=""),F12="")</formula>
    </cfRule>
    <cfRule type="expression" dxfId="1079" priority="1066" stopIfTrue="1">
      <formula>AQ12="0"</formula>
    </cfRule>
  </conditionalFormatting>
  <conditionalFormatting sqref="G12">
    <cfRule type="expression" dxfId="1078" priority="1063" stopIfTrue="1">
      <formula>AND(NOT($C12=""),G12="")</formula>
    </cfRule>
    <cfRule type="expression" dxfId="1077" priority="1064" stopIfTrue="1">
      <formula>AV12="0"</formula>
    </cfRule>
  </conditionalFormatting>
  <conditionalFormatting sqref="H12">
    <cfRule type="expression" dxfId="1076" priority="1061" stopIfTrue="1">
      <formula>AND(NOT($C12=""),H12="")</formula>
    </cfRule>
    <cfRule type="expression" dxfId="1075" priority="1062" stopIfTrue="1">
      <formula>BA12="0"</formula>
    </cfRule>
  </conditionalFormatting>
  <conditionalFormatting sqref="I12">
    <cfRule type="expression" dxfId="1074" priority="1059" stopIfTrue="1">
      <formula>AND(NOT($C12=""),I12="")</formula>
    </cfRule>
    <cfRule type="expression" dxfId="1073" priority="1060" stopIfTrue="1">
      <formula>BF12="0"</formula>
    </cfRule>
  </conditionalFormatting>
  <conditionalFormatting sqref="J12">
    <cfRule type="expression" dxfId="1072" priority="1057" stopIfTrue="1">
      <formula>AND(NOT($C12=""),J12="")</formula>
    </cfRule>
    <cfRule type="expression" dxfId="1071" priority="1058" stopIfTrue="1">
      <formula>BK12="0"</formula>
    </cfRule>
  </conditionalFormatting>
  <conditionalFormatting sqref="K12">
    <cfRule type="expression" dxfId="1070" priority="1055" stopIfTrue="1">
      <formula>AND(NOT($C12=""),K12="")</formula>
    </cfRule>
    <cfRule type="expression" dxfId="1069" priority="1056" stopIfTrue="1">
      <formula>BP12="0"</formula>
    </cfRule>
  </conditionalFormatting>
  <conditionalFormatting sqref="L12">
    <cfRule type="expression" dxfId="1068" priority="1053" stopIfTrue="1">
      <formula>AND(NOT($C12=""),L12="")</formula>
    </cfRule>
    <cfRule type="expression" dxfId="1067" priority="1054" stopIfTrue="1">
      <formula>BU12="0"</formula>
    </cfRule>
  </conditionalFormatting>
  <conditionalFormatting sqref="N12">
    <cfRule type="expression" dxfId="1066" priority="1051" stopIfTrue="1">
      <formula>AND(NOT($C12=""),N12="")</formula>
    </cfRule>
    <cfRule type="expression" dxfId="1065" priority="1052" stopIfTrue="1">
      <formula>CE12="0"</formula>
    </cfRule>
  </conditionalFormatting>
  <conditionalFormatting sqref="M12">
    <cfRule type="expression" dxfId="1064" priority="1050" stopIfTrue="1">
      <formula>BZ12="0"</formula>
    </cfRule>
  </conditionalFormatting>
  <conditionalFormatting sqref="D12">
    <cfRule type="expression" dxfId="1063" priority="1048" stopIfTrue="1">
      <formula>AND(NOT($C12=""),D12="")</formula>
    </cfRule>
    <cfRule type="expression" dxfId="1062" priority="1049" stopIfTrue="1">
      <formula>AG12="0"</formula>
    </cfRule>
  </conditionalFormatting>
  <conditionalFormatting sqref="E12">
    <cfRule type="expression" dxfId="1061" priority="1046" stopIfTrue="1">
      <formula>AND(NOT($C12=""),E12="")</formula>
    </cfRule>
    <cfRule type="expression" dxfId="1060" priority="1047" stopIfTrue="1">
      <formula>AL12="0"</formula>
    </cfRule>
  </conditionalFormatting>
  <conditionalFormatting sqref="F12">
    <cfRule type="expression" dxfId="1059" priority="1044" stopIfTrue="1">
      <formula>AND(NOT($C12=""),F12="")</formula>
    </cfRule>
    <cfRule type="expression" dxfId="1058" priority="1045" stopIfTrue="1">
      <formula>AQ12="0"</formula>
    </cfRule>
  </conditionalFormatting>
  <conditionalFormatting sqref="G12">
    <cfRule type="expression" dxfId="1057" priority="1042" stopIfTrue="1">
      <formula>AND(NOT($C12=""),G12="")</formula>
    </cfRule>
    <cfRule type="expression" dxfId="1056" priority="1043" stopIfTrue="1">
      <formula>AV12="0"</formula>
    </cfRule>
  </conditionalFormatting>
  <conditionalFormatting sqref="H12">
    <cfRule type="expression" dxfId="1055" priority="1040" stopIfTrue="1">
      <formula>AND(NOT($C12=""),H12="")</formula>
    </cfRule>
    <cfRule type="expression" dxfId="1054" priority="1041" stopIfTrue="1">
      <formula>BA12="0"</formula>
    </cfRule>
  </conditionalFormatting>
  <conditionalFormatting sqref="I12">
    <cfRule type="expression" dxfId="1053" priority="1038" stopIfTrue="1">
      <formula>AND(NOT($C12=""),I12="")</formula>
    </cfRule>
    <cfRule type="expression" dxfId="1052" priority="1039" stopIfTrue="1">
      <formula>BF12="0"</formula>
    </cfRule>
  </conditionalFormatting>
  <conditionalFormatting sqref="J12">
    <cfRule type="expression" dxfId="1051" priority="1036" stopIfTrue="1">
      <formula>AND(NOT($C12=""),J12="")</formula>
    </cfRule>
    <cfRule type="expression" dxfId="1050" priority="1037" stopIfTrue="1">
      <formula>BK12="0"</formula>
    </cfRule>
  </conditionalFormatting>
  <conditionalFormatting sqref="K12">
    <cfRule type="expression" dxfId="1049" priority="1034" stopIfTrue="1">
      <formula>AND(NOT($C12=""),K12="")</formula>
    </cfRule>
    <cfRule type="expression" dxfId="1048" priority="1035" stopIfTrue="1">
      <formula>BP12="0"</formula>
    </cfRule>
  </conditionalFormatting>
  <conditionalFormatting sqref="L12">
    <cfRule type="expression" dxfId="1047" priority="1032" stopIfTrue="1">
      <formula>AND(NOT($C12=""),L12="")</formula>
    </cfRule>
    <cfRule type="expression" dxfId="1046" priority="1033" stopIfTrue="1">
      <formula>BU12="0"</formula>
    </cfRule>
  </conditionalFormatting>
  <conditionalFormatting sqref="N12">
    <cfRule type="expression" dxfId="1045" priority="1030" stopIfTrue="1">
      <formula>AND(NOT($C12=""),N12="")</formula>
    </cfRule>
    <cfRule type="expression" dxfId="1044" priority="1031" stopIfTrue="1">
      <formula>CE12="0"</formula>
    </cfRule>
  </conditionalFormatting>
  <conditionalFormatting sqref="M12">
    <cfRule type="expression" dxfId="1043" priority="1029" stopIfTrue="1">
      <formula>BZ12="0"</formula>
    </cfRule>
  </conditionalFormatting>
  <conditionalFormatting sqref="D12">
    <cfRule type="expression" dxfId="1042" priority="1027" stopIfTrue="1">
      <formula>AND(NOT($C12=""),D12="")</formula>
    </cfRule>
    <cfRule type="expression" dxfId="1041" priority="1028" stopIfTrue="1">
      <formula>AG12="0"</formula>
    </cfRule>
  </conditionalFormatting>
  <conditionalFormatting sqref="E12">
    <cfRule type="expression" dxfId="1040" priority="1025" stopIfTrue="1">
      <formula>AND(NOT($C12=""),E12="")</formula>
    </cfRule>
    <cfRule type="expression" dxfId="1039" priority="1026" stopIfTrue="1">
      <formula>AL12="0"</formula>
    </cfRule>
  </conditionalFormatting>
  <conditionalFormatting sqref="F12">
    <cfRule type="expression" dxfId="1038" priority="1023" stopIfTrue="1">
      <formula>AND(NOT($C12=""),F12="")</formula>
    </cfRule>
    <cfRule type="expression" dxfId="1037" priority="1024" stopIfTrue="1">
      <formula>AQ12="0"</formula>
    </cfRule>
  </conditionalFormatting>
  <conditionalFormatting sqref="G12">
    <cfRule type="expression" dxfId="1036" priority="1021" stopIfTrue="1">
      <formula>AND(NOT($C12=""),G12="")</formula>
    </cfRule>
    <cfRule type="expression" dxfId="1035" priority="1022" stopIfTrue="1">
      <formula>AV12="0"</formula>
    </cfRule>
  </conditionalFormatting>
  <conditionalFormatting sqref="H12">
    <cfRule type="expression" dxfId="1034" priority="1019" stopIfTrue="1">
      <formula>AND(NOT($C12=""),H12="")</formula>
    </cfRule>
    <cfRule type="expression" dxfId="1033" priority="1020" stopIfTrue="1">
      <formula>BA12="0"</formula>
    </cfRule>
  </conditionalFormatting>
  <conditionalFormatting sqref="I12">
    <cfRule type="expression" dxfId="1032" priority="1017" stopIfTrue="1">
      <formula>AND(NOT($C12=""),I12="")</formula>
    </cfRule>
    <cfRule type="expression" dxfId="1031" priority="1018" stopIfTrue="1">
      <formula>BF12="0"</formula>
    </cfRule>
  </conditionalFormatting>
  <conditionalFormatting sqref="J12">
    <cfRule type="expression" dxfId="1030" priority="1015" stopIfTrue="1">
      <formula>AND(NOT($C12=""),J12="")</formula>
    </cfRule>
    <cfRule type="expression" dxfId="1029" priority="1016" stopIfTrue="1">
      <formula>BK12="0"</formula>
    </cfRule>
  </conditionalFormatting>
  <conditionalFormatting sqref="K12">
    <cfRule type="expression" dxfId="1028" priority="1013" stopIfTrue="1">
      <formula>AND(NOT($C12=""),K12="")</formula>
    </cfRule>
    <cfRule type="expression" dxfId="1027" priority="1014" stopIfTrue="1">
      <formula>BP12="0"</formula>
    </cfRule>
  </conditionalFormatting>
  <conditionalFormatting sqref="L12">
    <cfRule type="expression" dxfId="1026" priority="1011" stopIfTrue="1">
      <formula>AND(NOT($C12=""),L12="")</formula>
    </cfRule>
    <cfRule type="expression" dxfId="1025" priority="1012" stopIfTrue="1">
      <formula>BU12="0"</formula>
    </cfRule>
  </conditionalFormatting>
  <conditionalFormatting sqref="N12">
    <cfRule type="expression" dxfId="1024" priority="1009" stopIfTrue="1">
      <formula>AND(NOT($C12=""),N12="")</formula>
    </cfRule>
    <cfRule type="expression" dxfId="1023" priority="1010" stopIfTrue="1">
      <formula>CE12="0"</formula>
    </cfRule>
  </conditionalFormatting>
  <conditionalFormatting sqref="M12">
    <cfRule type="expression" dxfId="1022" priority="1008" stopIfTrue="1">
      <formula>BZ12="0"</formula>
    </cfRule>
  </conditionalFormatting>
  <conditionalFormatting sqref="D12">
    <cfRule type="expression" dxfId="1021" priority="1006" stopIfTrue="1">
      <formula>AND(NOT($C12=""),D12="")</formula>
    </cfRule>
    <cfRule type="expression" dxfId="1020" priority="1007" stopIfTrue="1">
      <formula>AG12="0"</formula>
    </cfRule>
  </conditionalFormatting>
  <conditionalFormatting sqref="E12">
    <cfRule type="expression" dxfId="1019" priority="1004" stopIfTrue="1">
      <formula>AND(NOT($C12=""),E12="")</formula>
    </cfRule>
    <cfRule type="expression" dxfId="1018" priority="1005" stopIfTrue="1">
      <formula>AL12="0"</formula>
    </cfRule>
  </conditionalFormatting>
  <conditionalFormatting sqref="F12">
    <cfRule type="expression" dxfId="1017" priority="1002" stopIfTrue="1">
      <formula>AND(NOT($C12=""),F12="")</formula>
    </cfRule>
    <cfRule type="expression" dxfId="1016" priority="1003" stopIfTrue="1">
      <formula>AQ12="0"</formula>
    </cfRule>
  </conditionalFormatting>
  <conditionalFormatting sqref="G12">
    <cfRule type="expression" dxfId="1015" priority="1000" stopIfTrue="1">
      <formula>AND(NOT($C12=""),G12="")</formula>
    </cfRule>
    <cfRule type="expression" dxfId="1014" priority="1001" stopIfTrue="1">
      <formula>AV12="0"</formula>
    </cfRule>
  </conditionalFormatting>
  <conditionalFormatting sqref="H12">
    <cfRule type="expression" dxfId="1013" priority="998" stopIfTrue="1">
      <formula>AND(NOT($C12=""),H12="")</formula>
    </cfRule>
    <cfRule type="expression" dxfId="1012" priority="999" stopIfTrue="1">
      <formula>BA12="0"</formula>
    </cfRule>
  </conditionalFormatting>
  <conditionalFormatting sqref="I12">
    <cfRule type="expression" dxfId="1011" priority="996" stopIfTrue="1">
      <formula>AND(NOT($C12=""),I12="")</formula>
    </cfRule>
    <cfRule type="expression" dxfId="1010" priority="997" stopIfTrue="1">
      <formula>BF12="0"</formula>
    </cfRule>
  </conditionalFormatting>
  <conditionalFormatting sqref="J12">
    <cfRule type="expression" dxfId="1009" priority="994" stopIfTrue="1">
      <formula>AND(NOT($C12=""),J12="")</formula>
    </cfRule>
    <cfRule type="expression" dxfId="1008" priority="995" stopIfTrue="1">
      <formula>BK12="0"</formula>
    </cfRule>
  </conditionalFormatting>
  <conditionalFormatting sqref="K12">
    <cfRule type="expression" dxfId="1007" priority="992" stopIfTrue="1">
      <formula>AND(NOT($C12=""),K12="")</formula>
    </cfRule>
    <cfRule type="expression" dxfId="1006" priority="993" stopIfTrue="1">
      <formula>BP12="0"</formula>
    </cfRule>
  </conditionalFormatting>
  <conditionalFormatting sqref="L12">
    <cfRule type="expression" dxfId="1005" priority="990" stopIfTrue="1">
      <formula>AND(NOT($C12=""),L12="")</formula>
    </cfRule>
    <cfRule type="expression" dxfId="1004" priority="991" stopIfTrue="1">
      <formula>BU12="0"</formula>
    </cfRule>
  </conditionalFormatting>
  <conditionalFormatting sqref="N12">
    <cfRule type="expression" dxfId="1003" priority="988" stopIfTrue="1">
      <formula>AND(NOT($C12=""),N12="")</formula>
    </cfRule>
    <cfRule type="expression" dxfId="1002" priority="989" stopIfTrue="1">
      <formula>CE12="0"</formula>
    </cfRule>
  </conditionalFormatting>
  <conditionalFormatting sqref="M12">
    <cfRule type="expression" dxfId="1001" priority="987" stopIfTrue="1">
      <formula>BZ12="0"</formula>
    </cfRule>
  </conditionalFormatting>
  <conditionalFormatting sqref="D12">
    <cfRule type="expression" dxfId="1000" priority="985" stopIfTrue="1">
      <formula>AND(NOT($C12=""),D12="")</formula>
    </cfRule>
    <cfRule type="expression" dxfId="999" priority="986" stopIfTrue="1">
      <formula>AG12="0"</formula>
    </cfRule>
  </conditionalFormatting>
  <conditionalFormatting sqref="E12">
    <cfRule type="expression" dxfId="998" priority="983" stopIfTrue="1">
      <formula>AND(NOT($C12=""),E12="")</formula>
    </cfRule>
    <cfRule type="expression" dxfId="997" priority="984" stopIfTrue="1">
      <formula>AL12="0"</formula>
    </cfRule>
  </conditionalFormatting>
  <conditionalFormatting sqref="F12">
    <cfRule type="expression" dxfId="996" priority="981" stopIfTrue="1">
      <formula>AND(NOT($C12=""),F12="")</formula>
    </cfRule>
    <cfRule type="expression" dxfId="995" priority="982" stopIfTrue="1">
      <formula>AQ12="0"</formula>
    </cfRule>
  </conditionalFormatting>
  <conditionalFormatting sqref="G12">
    <cfRule type="expression" dxfId="994" priority="979" stopIfTrue="1">
      <formula>AND(NOT($C12=""),G12="")</formula>
    </cfRule>
    <cfRule type="expression" dxfId="993" priority="980" stopIfTrue="1">
      <formula>AV12="0"</formula>
    </cfRule>
  </conditionalFormatting>
  <conditionalFormatting sqref="H12">
    <cfRule type="expression" dxfId="992" priority="977" stopIfTrue="1">
      <formula>AND(NOT($C12=""),H12="")</formula>
    </cfRule>
    <cfRule type="expression" dxfId="991" priority="978" stopIfTrue="1">
      <formula>BA12="0"</formula>
    </cfRule>
  </conditionalFormatting>
  <conditionalFormatting sqref="I12">
    <cfRule type="expression" dxfId="990" priority="975" stopIfTrue="1">
      <formula>AND(NOT($C12=""),I12="")</formula>
    </cfRule>
    <cfRule type="expression" dxfId="989" priority="976" stopIfTrue="1">
      <formula>BF12="0"</formula>
    </cfRule>
  </conditionalFormatting>
  <conditionalFormatting sqref="J12">
    <cfRule type="expression" dxfId="988" priority="973" stopIfTrue="1">
      <formula>AND(NOT($C12=""),J12="")</formula>
    </cfRule>
    <cfRule type="expression" dxfId="987" priority="974" stopIfTrue="1">
      <formula>BK12="0"</formula>
    </cfRule>
  </conditionalFormatting>
  <conditionalFormatting sqref="K12">
    <cfRule type="expression" dxfId="986" priority="971" stopIfTrue="1">
      <formula>AND(NOT($C12=""),K12="")</formula>
    </cfRule>
    <cfRule type="expression" dxfId="985" priority="972" stopIfTrue="1">
      <formula>BP12="0"</formula>
    </cfRule>
  </conditionalFormatting>
  <conditionalFormatting sqref="L12">
    <cfRule type="expression" dxfId="984" priority="969" stopIfTrue="1">
      <formula>AND(NOT($C12=""),L12="")</formula>
    </cfRule>
    <cfRule type="expression" dxfId="983" priority="970" stopIfTrue="1">
      <formula>BU12="0"</formula>
    </cfRule>
  </conditionalFormatting>
  <conditionalFormatting sqref="N12">
    <cfRule type="expression" dxfId="982" priority="967" stopIfTrue="1">
      <formula>AND(NOT($C12=""),N12="")</formula>
    </cfRule>
    <cfRule type="expression" dxfId="981" priority="968" stopIfTrue="1">
      <formula>CE12="0"</formula>
    </cfRule>
  </conditionalFormatting>
  <conditionalFormatting sqref="M12">
    <cfRule type="expression" dxfId="980" priority="966" stopIfTrue="1">
      <formula>BZ12="0"</formula>
    </cfRule>
  </conditionalFormatting>
  <conditionalFormatting sqref="D12">
    <cfRule type="expression" dxfId="979" priority="964" stopIfTrue="1">
      <formula>AND(NOT($C12=""),D12="")</formula>
    </cfRule>
    <cfRule type="expression" dxfId="978" priority="965" stopIfTrue="1">
      <formula>AG12="0"</formula>
    </cfRule>
  </conditionalFormatting>
  <conditionalFormatting sqref="E12">
    <cfRule type="expression" dxfId="977" priority="962" stopIfTrue="1">
      <formula>AND(NOT($C12=""),E12="")</formula>
    </cfRule>
    <cfRule type="expression" dxfId="976" priority="963" stopIfTrue="1">
      <formula>AL12="0"</formula>
    </cfRule>
  </conditionalFormatting>
  <conditionalFormatting sqref="F12">
    <cfRule type="expression" dxfId="975" priority="960" stopIfTrue="1">
      <formula>AND(NOT($C12=""),F12="")</formula>
    </cfRule>
    <cfRule type="expression" dxfId="974" priority="961" stopIfTrue="1">
      <formula>AQ12="0"</formula>
    </cfRule>
  </conditionalFormatting>
  <conditionalFormatting sqref="G12">
    <cfRule type="expression" dxfId="973" priority="958" stopIfTrue="1">
      <formula>AND(NOT($C12=""),G12="")</formula>
    </cfRule>
    <cfRule type="expression" dxfId="972" priority="959" stopIfTrue="1">
      <formula>AV12="0"</formula>
    </cfRule>
  </conditionalFormatting>
  <conditionalFormatting sqref="H12">
    <cfRule type="expression" dxfId="971" priority="956" stopIfTrue="1">
      <formula>AND(NOT($C12=""),H12="")</formula>
    </cfRule>
    <cfRule type="expression" dxfId="970" priority="957" stopIfTrue="1">
      <formula>BA12="0"</formula>
    </cfRule>
  </conditionalFormatting>
  <conditionalFormatting sqref="I12">
    <cfRule type="expression" dxfId="969" priority="954" stopIfTrue="1">
      <formula>AND(NOT($C12=""),I12="")</formula>
    </cfRule>
    <cfRule type="expression" dxfId="968" priority="955" stopIfTrue="1">
      <formula>BF12="0"</formula>
    </cfRule>
  </conditionalFormatting>
  <conditionalFormatting sqref="J12">
    <cfRule type="expression" dxfId="967" priority="952" stopIfTrue="1">
      <formula>AND(NOT($C12=""),J12="")</formula>
    </cfRule>
    <cfRule type="expression" dxfId="966" priority="953" stopIfTrue="1">
      <formula>BK12="0"</formula>
    </cfRule>
  </conditionalFormatting>
  <conditionalFormatting sqref="K12">
    <cfRule type="expression" dxfId="965" priority="950" stopIfTrue="1">
      <formula>AND(NOT($C12=""),K12="")</formula>
    </cfRule>
    <cfRule type="expression" dxfId="964" priority="951" stopIfTrue="1">
      <formula>BP12="0"</formula>
    </cfRule>
  </conditionalFormatting>
  <conditionalFormatting sqref="L12">
    <cfRule type="expression" dxfId="963" priority="948" stopIfTrue="1">
      <formula>AND(NOT($C12=""),L12="")</formula>
    </cfRule>
    <cfRule type="expression" dxfId="962" priority="949" stopIfTrue="1">
      <formula>BU12="0"</formula>
    </cfRule>
  </conditionalFormatting>
  <conditionalFormatting sqref="N12">
    <cfRule type="expression" dxfId="961" priority="946" stopIfTrue="1">
      <formula>AND(NOT($C12=""),N12="")</formula>
    </cfRule>
    <cfRule type="expression" dxfId="960" priority="947" stopIfTrue="1">
      <formula>CE12="0"</formula>
    </cfRule>
  </conditionalFormatting>
  <conditionalFormatting sqref="M12">
    <cfRule type="expression" dxfId="959" priority="945" stopIfTrue="1">
      <formula>BZ12="0"</formula>
    </cfRule>
  </conditionalFormatting>
  <conditionalFormatting sqref="D12">
    <cfRule type="expression" dxfId="958" priority="943" stopIfTrue="1">
      <formula>AND(NOT($C12=""),D12="")</formula>
    </cfRule>
    <cfRule type="expression" dxfId="957" priority="944" stopIfTrue="1">
      <formula>AG12="0"</formula>
    </cfRule>
  </conditionalFormatting>
  <conditionalFormatting sqref="E12">
    <cfRule type="expression" dxfId="956" priority="941" stopIfTrue="1">
      <formula>AND(NOT($C12=""),E12="")</formula>
    </cfRule>
    <cfRule type="expression" dxfId="955" priority="942" stopIfTrue="1">
      <formula>AL12="0"</formula>
    </cfRule>
  </conditionalFormatting>
  <conditionalFormatting sqref="F12">
    <cfRule type="expression" dxfId="954" priority="939" stopIfTrue="1">
      <formula>AND(NOT($C12=""),F12="")</formula>
    </cfRule>
    <cfRule type="expression" dxfId="953" priority="940" stopIfTrue="1">
      <formula>AQ12="0"</formula>
    </cfRule>
  </conditionalFormatting>
  <conditionalFormatting sqref="G12">
    <cfRule type="expression" dxfId="952" priority="937" stopIfTrue="1">
      <formula>AND(NOT($C12=""),G12="")</formula>
    </cfRule>
    <cfRule type="expression" dxfId="951" priority="938" stopIfTrue="1">
      <formula>AV12="0"</formula>
    </cfRule>
  </conditionalFormatting>
  <conditionalFormatting sqref="H12">
    <cfRule type="expression" dxfId="950" priority="935" stopIfTrue="1">
      <formula>AND(NOT($C12=""),H12="")</formula>
    </cfRule>
    <cfRule type="expression" dxfId="949" priority="936" stopIfTrue="1">
      <formula>BA12="0"</formula>
    </cfRule>
  </conditionalFormatting>
  <conditionalFormatting sqref="I12">
    <cfRule type="expression" dxfId="948" priority="933" stopIfTrue="1">
      <formula>AND(NOT($C12=""),I12="")</formula>
    </cfRule>
    <cfRule type="expression" dxfId="947" priority="934" stopIfTrue="1">
      <formula>BF12="0"</formula>
    </cfRule>
  </conditionalFormatting>
  <conditionalFormatting sqref="J12">
    <cfRule type="expression" dxfId="946" priority="931" stopIfTrue="1">
      <formula>AND(NOT($C12=""),J12="")</formula>
    </cfRule>
    <cfRule type="expression" dxfId="945" priority="932" stopIfTrue="1">
      <formula>BK12="0"</formula>
    </cfRule>
  </conditionalFormatting>
  <conditionalFormatting sqref="K12">
    <cfRule type="expression" dxfId="944" priority="929" stopIfTrue="1">
      <formula>AND(NOT($C12=""),K12="")</formula>
    </cfRule>
    <cfRule type="expression" dxfId="943" priority="930" stopIfTrue="1">
      <formula>BP12="0"</formula>
    </cfRule>
  </conditionalFormatting>
  <conditionalFormatting sqref="L12">
    <cfRule type="expression" dxfId="942" priority="927" stopIfTrue="1">
      <formula>AND(NOT($C12=""),L12="")</formula>
    </cfRule>
    <cfRule type="expression" dxfId="941" priority="928" stopIfTrue="1">
      <formula>BU12="0"</formula>
    </cfRule>
  </conditionalFormatting>
  <conditionalFormatting sqref="N12">
    <cfRule type="expression" dxfId="940" priority="925" stopIfTrue="1">
      <formula>AND(NOT($C12=""),N12="")</formula>
    </cfRule>
    <cfRule type="expression" dxfId="939" priority="926" stopIfTrue="1">
      <formula>CE12="0"</formula>
    </cfRule>
  </conditionalFormatting>
  <conditionalFormatting sqref="M12">
    <cfRule type="expression" dxfId="938" priority="924" stopIfTrue="1">
      <formula>BZ12="0"</formula>
    </cfRule>
  </conditionalFormatting>
  <conditionalFormatting sqref="D12">
    <cfRule type="expression" dxfId="937" priority="922" stopIfTrue="1">
      <formula>AND(NOT($C12=""),D12="")</formula>
    </cfRule>
    <cfRule type="expression" dxfId="936" priority="923" stopIfTrue="1">
      <formula>AG12="0"</formula>
    </cfRule>
  </conditionalFormatting>
  <conditionalFormatting sqref="E12">
    <cfRule type="expression" dxfId="935" priority="920" stopIfTrue="1">
      <formula>AND(NOT($C12=""),E12="")</formula>
    </cfRule>
    <cfRule type="expression" dxfId="934" priority="921" stopIfTrue="1">
      <formula>AL12="0"</formula>
    </cfRule>
  </conditionalFormatting>
  <conditionalFormatting sqref="F12">
    <cfRule type="expression" dxfId="933" priority="918" stopIfTrue="1">
      <formula>AND(NOT($C12=""),F12="")</formula>
    </cfRule>
    <cfRule type="expression" dxfId="932" priority="919" stopIfTrue="1">
      <formula>AQ12="0"</formula>
    </cfRule>
  </conditionalFormatting>
  <conditionalFormatting sqref="G12">
    <cfRule type="expression" dxfId="931" priority="916" stopIfTrue="1">
      <formula>AND(NOT($C12=""),G12="")</formula>
    </cfRule>
    <cfRule type="expression" dxfId="930" priority="917" stopIfTrue="1">
      <formula>AV12="0"</formula>
    </cfRule>
  </conditionalFormatting>
  <conditionalFormatting sqref="H12">
    <cfRule type="expression" dxfId="929" priority="914" stopIfTrue="1">
      <formula>AND(NOT($C12=""),H12="")</formula>
    </cfRule>
    <cfRule type="expression" dxfId="928" priority="915" stopIfTrue="1">
      <formula>BA12="0"</formula>
    </cfRule>
  </conditionalFormatting>
  <conditionalFormatting sqref="I12">
    <cfRule type="expression" dxfId="927" priority="912" stopIfTrue="1">
      <formula>AND(NOT($C12=""),I12="")</formula>
    </cfRule>
    <cfRule type="expression" dxfId="926" priority="913" stopIfTrue="1">
      <formula>BF12="0"</formula>
    </cfRule>
  </conditionalFormatting>
  <conditionalFormatting sqref="J12">
    <cfRule type="expression" dxfId="925" priority="910" stopIfTrue="1">
      <formula>AND(NOT($C12=""),J12="")</formula>
    </cfRule>
    <cfRule type="expression" dxfId="924" priority="911" stopIfTrue="1">
      <formula>BK12="0"</formula>
    </cfRule>
  </conditionalFormatting>
  <conditionalFormatting sqref="K12">
    <cfRule type="expression" dxfId="923" priority="908" stopIfTrue="1">
      <formula>AND(NOT($C12=""),K12="")</formula>
    </cfRule>
    <cfRule type="expression" dxfId="922" priority="909" stopIfTrue="1">
      <formula>BP12="0"</formula>
    </cfRule>
  </conditionalFormatting>
  <conditionalFormatting sqref="L12">
    <cfRule type="expression" dxfId="921" priority="906" stopIfTrue="1">
      <formula>AND(NOT($C12=""),L12="")</formula>
    </cfRule>
    <cfRule type="expression" dxfId="920" priority="907" stopIfTrue="1">
      <formula>BU12="0"</formula>
    </cfRule>
  </conditionalFormatting>
  <conditionalFormatting sqref="N12">
    <cfRule type="expression" dxfId="919" priority="904" stopIfTrue="1">
      <formula>AND(NOT($C12=""),N12="")</formula>
    </cfRule>
    <cfRule type="expression" dxfId="918" priority="905" stopIfTrue="1">
      <formula>CE12="0"</formula>
    </cfRule>
  </conditionalFormatting>
  <conditionalFormatting sqref="M12">
    <cfRule type="expression" dxfId="917" priority="903" stopIfTrue="1">
      <formula>BZ12="0"</formula>
    </cfRule>
  </conditionalFormatting>
  <conditionalFormatting sqref="D12">
    <cfRule type="expression" dxfId="916" priority="901" stopIfTrue="1">
      <formula>AND(NOT($C12=""),D12="")</formula>
    </cfRule>
    <cfRule type="expression" dxfId="915" priority="902" stopIfTrue="1">
      <formula>AG12="0"</formula>
    </cfRule>
  </conditionalFormatting>
  <conditionalFormatting sqref="E12">
    <cfRule type="expression" dxfId="914" priority="899" stopIfTrue="1">
      <formula>AND(NOT($C12=""),E12="")</formula>
    </cfRule>
    <cfRule type="expression" dxfId="913" priority="900" stopIfTrue="1">
      <formula>AL12="0"</formula>
    </cfRule>
  </conditionalFormatting>
  <conditionalFormatting sqref="F12">
    <cfRule type="expression" dxfId="912" priority="897" stopIfTrue="1">
      <formula>AND(NOT($C12=""),F12="")</formula>
    </cfRule>
    <cfRule type="expression" dxfId="911" priority="898" stopIfTrue="1">
      <formula>AQ12="0"</formula>
    </cfRule>
  </conditionalFormatting>
  <conditionalFormatting sqref="G12">
    <cfRule type="expression" dxfId="910" priority="895" stopIfTrue="1">
      <formula>AND(NOT($C12=""),G12="")</formula>
    </cfRule>
    <cfRule type="expression" dxfId="909" priority="896" stopIfTrue="1">
      <formula>AV12="0"</formula>
    </cfRule>
  </conditionalFormatting>
  <conditionalFormatting sqref="H12">
    <cfRule type="expression" dxfId="908" priority="893" stopIfTrue="1">
      <formula>AND(NOT($C12=""),H12="")</formula>
    </cfRule>
    <cfRule type="expression" dxfId="907" priority="894" stopIfTrue="1">
      <formula>BA12="0"</formula>
    </cfRule>
  </conditionalFormatting>
  <conditionalFormatting sqref="I12">
    <cfRule type="expression" dxfId="906" priority="891" stopIfTrue="1">
      <formula>AND(NOT($C12=""),I12="")</formula>
    </cfRule>
    <cfRule type="expression" dxfId="905" priority="892" stopIfTrue="1">
      <formula>BF12="0"</formula>
    </cfRule>
  </conditionalFormatting>
  <conditionalFormatting sqref="J12">
    <cfRule type="expression" dxfId="904" priority="889" stopIfTrue="1">
      <formula>AND(NOT($C12=""),J12="")</formula>
    </cfRule>
    <cfRule type="expression" dxfId="903" priority="890" stopIfTrue="1">
      <formula>BK12="0"</formula>
    </cfRule>
  </conditionalFormatting>
  <conditionalFormatting sqref="K12">
    <cfRule type="expression" dxfId="902" priority="887" stopIfTrue="1">
      <formula>AND(NOT($C12=""),K12="")</formula>
    </cfRule>
    <cfRule type="expression" dxfId="901" priority="888" stopIfTrue="1">
      <formula>BP12="0"</formula>
    </cfRule>
  </conditionalFormatting>
  <conditionalFormatting sqref="L12">
    <cfRule type="expression" dxfId="900" priority="885" stopIfTrue="1">
      <formula>AND(NOT($C12=""),L12="")</formula>
    </cfRule>
    <cfRule type="expression" dxfId="899" priority="886" stopIfTrue="1">
      <formula>BU12="0"</formula>
    </cfRule>
  </conditionalFormatting>
  <conditionalFormatting sqref="N12">
    <cfRule type="expression" dxfId="898" priority="883" stopIfTrue="1">
      <formula>AND(NOT($C12=""),N12="")</formula>
    </cfRule>
    <cfRule type="expression" dxfId="897" priority="884" stopIfTrue="1">
      <formula>CE12="0"</formula>
    </cfRule>
  </conditionalFormatting>
  <conditionalFormatting sqref="M13">
    <cfRule type="expression" dxfId="896" priority="882" stopIfTrue="1">
      <formula>BZ13="0"</formula>
    </cfRule>
  </conditionalFormatting>
  <conditionalFormatting sqref="D13">
    <cfRule type="expression" dxfId="895" priority="880" stopIfTrue="1">
      <formula>AND(NOT($C13=""),D13="")</formula>
    </cfRule>
    <cfRule type="expression" dxfId="894" priority="881" stopIfTrue="1">
      <formula>AG13="0"</formula>
    </cfRule>
  </conditionalFormatting>
  <conditionalFormatting sqref="E13">
    <cfRule type="expression" dxfId="893" priority="878" stopIfTrue="1">
      <formula>AND(NOT($C13=""),E13="")</formula>
    </cfRule>
    <cfRule type="expression" dxfId="892" priority="879" stopIfTrue="1">
      <formula>AL13="0"</formula>
    </cfRule>
  </conditionalFormatting>
  <conditionalFormatting sqref="F13">
    <cfRule type="expression" dxfId="891" priority="876" stopIfTrue="1">
      <formula>AND(NOT($C13=""),F13="")</formula>
    </cfRule>
    <cfRule type="expression" dxfId="890" priority="877" stopIfTrue="1">
      <formula>AQ13="0"</formula>
    </cfRule>
  </conditionalFormatting>
  <conditionalFormatting sqref="G13">
    <cfRule type="expression" dxfId="889" priority="874" stopIfTrue="1">
      <formula>AND(NOT($C13=""),G13="")</formula>
    </cfRule>
    <cfRule type="expression" dxfId="888" priority="875" stopIfTrue="1">
      <formula>AV13="0"</formula>
    </cfRule>
  </conditionalFormatting>
  <conditionalFormatting sqref="H13">
    <cfRule type="expression" dxfId="887" priority="872" stopIfTrue="1">
      <formula>AND(NOT($C13=""),H13="")</formula>
    </cfRule>
    <cfRule type="expression" dxfId="886" priority="873" stopIfTrue="1">
      <formula>BA13="0"</formula>
    </cfRule>
  </conditionalFormatting>
  <conditionalFormatting sqref="I13">
    <cfRule type="expression" dxfId="885" priority="870" stopIfTrue="1">
      <formula>AND(NOT($C13=""),I13="")</formula>
    </cfRule>
    <cfRule type="expression" dxfId="884" priority="871" stopIfTrue="1">
      <formula>BF13="0"</formula>
    </cfRule>
  </conditionalFormatting>
  <conditionalFormatting sqref="J13">
    <cfRule type="expression" dxfId="883" priority="868" stopIfTrue="1">
      <formula>AND(NOT($C13=""),J13="")</formula>
    </cfRule>
    <cfRule type="expression" dxfId="882" priority="869" stopIfTrue="1">
      <formula>BK13="0"</formula>
    </cfRule>
  </conditionalFormatting>
  <conditionalFormatting sqref="K13">
    <cfRule type="expression" dxfId="881" priority="866" stopIfTrue="1">
      <formula>AND(NOT($C13=""),K13="")</formula>
    </cfRule>
    <cfRule type="expression" dxfId="880" priority="867" stopIfTrue="1">
      <formula>BP13="0"</formula>
    </cfRule>
  </conditionalFormatting>
  <conditionalFormatting sqref="L13">
    <cfRule type="expression" dxfId="879" priority="864" stopIfTrue="1">
      <formula>AND(NOT($C13=""),L13="")</formula>
    </cfRule>
    <cfRule type="expression" dxfId="878" priority="865" stopIfTrue="1">
      <formula>BU13="0"</formula>
    </cfRule>
  </conditionalFormatting>
  <conditionalFormatting sqref="N13">
    <cfRule type="expression" dxfId="877" priority="862" stopIfTrue="1">
      <formula>AND(NOT($C13=""),N13="")</formula>
    </cfRule>
    <cfRule type="expression" dxfId="876" priority="863" stopIfTrue="1">
      <formula>CE13="0"</formula>
    </cfRule>
  </conditionalFormatting>
  <conditionalFormatting sqref="M13">
    <cfRule type="expression" dxfId="875" priority="861" stopIfTrue="1">
      <formula>BZ13="0"</formula>
    </cfRule>
  </conditionalFormatting>
  <conditionalFormatting sqref="D13">
    <cfRule type="expression" dxfId="874" priority="859" stopIfTrue="1">
      <formula>AND(NOT($C13=""),D13="")</formula>
    </cfRule>
    <cfRule type="expression" dxfId="873" priority="860" stopIfTrue="1">
      <formula>AG13="0"</formula>
    </cfRule>
  </conditionalFormatting>
  <conditionalFormatting sqref="E13">
    <cfRule type="expression" dxfId="872" priority="857" stopIfTrue="1">
      <formula>AND(NOT($C13=""),E13="")</formula>
    </cfRule>
    <cfRule type="expression" dxfId="871" priority="858" stopIfTrue="1">
      <formula>AL13="0"</formula>
    </cfRule>
  </conditionalFormatting>
  <conditionalFormatting sqref="F13">
    <cfRule type="expression" dxfId="870" priority="855" stopIfTrue="1">
      <formula>AND(NOT($C13=""),F13="")</formula>
    </cfRule>
    <cfRule type="expression" dxfId="869" priority="856" stopIfTrue="1">
      <formula>AQ13="0"</formula>
    </cfRule>
  </conditionalFormatting>
  <conditionalFormatting sqref="G13">
    <cfRule type="expression" dxfId="868" priority="853" stopIfTrue="1">
      <formula>AND(NOT($C13=""),G13="")</formula>
    </cfRule>
    <cfRule type="expression" dxfId="867" priority="854" stopIfTrue="1">
      <formula>AV13="0"</formula>
    </cfRule>
  </conditionalFormatting>
  <conditionalFormatting sqref="H13">
    <cfRule type="expression" dxfId="866" priority="851" stopIfTrue="1">
      <formula>AND(NOT($C13=""),H13="")</formula>
    </cfRule>
    <cfRule type="expression" dxfId="865" priority="852" stopIfTrue="1">
      <formula>BA13="0"</formula>
    </cfRule>
  </conditionalFormatting>
  <conditionalFormatting sqref="I13">
    <cfRule type="expression" dxfId="864" priority="849" stopIfTrue="1">
      <formula>AND(NOT($C13=""),I13="")</formula>
    </cfRule>
    <cfRule type="expression" dxfId="863" priority="850" stopIfTrue="1">
      <formula>BF13="0"</formula>
    </cfRule>
  </conditionalFormatting>
  <conditionalFormatting sqref="J13">
    <cfRule type="expression" dxfId="862" priority="847" stopIfTrue="1">
      <formula>AND(NOT($C13=""),J13="")</formula>
    </cfRule>
    <cfRule type="expression" dxfId="861" priority="848" stopIfTrue="1">
      <formula>BK13="0"</formula>
    </cfRule>
  </conditionalFormatting>
  <conditionalFormatting sqref="K13">
    <cfRule type="expression" dxfId="860" priority="845" stopIfTrue="1">
      <formula>AND(NOT($C13=""),K13="")</formula>
    </cfRule>
    <cfRule type="expression" dxfId="859" priority="846" stopIfTrue="1">
      <formula>BP13="0"</formula>
    </cfRule>
  </conditionalFormatting>
  <conditionalFormatting sqref="L13">
    <cfRule type="expression" dxfId="858" priority="843" stopIfTrue="1">
      <formula>AND(NOT($C13=""),L13="")</formula>
    </cfRule>
    <cfRule type="expression" dxfId="857" priority="844" stopIfTrue="1">
      <formula>BU13="0"</formula>
    </cfRule>
  </conditionalFormatting>
  <conditionalFormatting sqref="N13">
    <cfRule type="expression" dxfId="856" priority="841" stopIfTrue="1">
      <formula>AND(NOT($C13=""),N13="")</formula>
    </cfRule>
    <cfRule type="expression" dxfId="855" priority="842" stopIfTrue="1">
      <formula>CE13="0"</formula>
    </cfRule>
  </conditionalFormatting>
  <conditionalFormatting sqref="M13">
    <cfRule type="expression" dxfId="854" priority="840" stopIfTrue="1">
      <formula>BZ13="0"</formula>
    </cfRule>
  </conditionalFormatting>
  <conditionalFormatting sqref="D13">
    <cfRule type="expression" dxfId="853" priority="838" stopIfTrue="1">
      <formula>AND(NOT($C13=""),D13="")</formula>
    </cfRule>
    <cfRule type="expression" dxfId="852" priority="839" stopIfTrue="1">
      <formula>AG13="0"</formula>
    </cfRule>
  </conditionalFormatting>
  <conditionalFormatting sqref="E13">
    <cfRule type="expression" dxfId="851" priority="836" stopIfTrue="1">
      <formula>AND(NOT($C13=""),E13="")</formula>
    </cfRule>
    <cfRule type="expression" dxfId="850" priority="837" stopIfTrue="1">
      <formula>AL13="0"</formula>
    </cfRule>
  </conditionalFormatting>
  <conditionalFormatting sqref="F13">
    <cfRule type="expression" dxfId="849" priority="834" stopIfTrue="1">
      <formula>AND(NOT($C13=""),F13="")</formula>
    </cfRule>
    <cfRule type="expression" dxfId="848" priority="835" stopIfTrue="1">
      <formula>AQ13="0"</formula>
    </cfRule>
  </conditionalFormatting>
  <conditionalFormatting sqref="G13">
    <cfRule type="expression" dxfId="847" priority="832" stopIfTrue="1">
      <formula>AND(NOT($C13=""),G13="")</formula>
    </cfRule>
    <cfRule type="expression" dxfId="846" priority="833" stopIfTrue="1">
      <formula>AV13="0"</formula>
    </cfRule>
  </conditionalFormatting>
  <conditionalFormatting sqref="H13">
    <cfRule type="expression" dxfId="845" priority="830" stopIfTrue="1">
      <formula>AND(NOT($C13=""),H13="")</formula>
    </cfRule>
    <cfRule type="expression" dxfId="844" priority="831" stopIfTrue="1">
      <formula>BA13="0"</formula>
    </cfRule>
  </conditionalFormatting>
  <conditionalFormatting sqref="I13">
    <cfRule type="expression" dxfId="843" priority="828" stopIfTrue="1">
      <formula>AND(NOT($C13=""),I13="")</formula>
    </cfRule>
    <cfRule type="expression" dxfId="842" priority="829" stopIfTrue="1">
      <formula>BF13="0"</formula>
    </cfRule>
  </conditionalFormatting>
  <conditionalFormatting sqref="J13">
    <cfRule type="expression" dxfId="841" priority="826" stopIfTrue="1">
      <formula>AND(NOT($C13=""),J13="")</formula>
    </cfRule>
    <cfRule type="expression" dxfId="840" priority="827" stopIfTrue="1">
      <formula>BK13="0"</formula>
    </cfRule>
  </conditionalFormatting>
  <conditionalFormatting sqref="K13">
    <cfRule type="expression" dxfId="839" priority="824" stopIfTrue="1">
      <formula>AND(NOT($C13=""),K13="")</formula>
    </cfRule>
    <cfRule type="expression" dxfId="838" priority="825" stopIfTrue="1">
      <formula>BP13="0"</formula>
    </cfRule>
  </conditionalFormatting>
  <conditionalFormatting sqref="L13">
    <cfRule type="expression" dxfId="837" priority="822" stopIfTrue="1">
      <formula>AND(NOT($C13=""),L13="")</formula>
    </cfRule>
    <cfRule type="expression" dxfId="836" priority="823" stopIfTrue="1">
      <formula>BU13="0"</formula>
    </cfRule>
  </conditionalFormatting>
  <conditionalFormatting sqref="N13">
    <cfRule type="expression" dxfId="835" priority="820" stopIfTrue="1">
      <formula>AND(NOT($C13=""),N13="")</formula>
    </cfRule>
    <cfRule type="expression" dxfId="834" priority="821" stopIfTrue="1">
      <formula>CE13="0"</formula>
    </cfRule>
  </conditionalFormatting>
  <conditionalFormatting sqref="M13">
    <cfRule type="expression" dxfId="833" priority="819" stopIfTrue="1">
      <formula>BZ13="0"</formula>
    </cfRule>
  </conditionalFormatting>
  <conditionalFormatting sqref="D13">
    <cfRule type="expression" dxfId="832" priority="817" stopIfTrue="1">
      <formula>AND(NOT($C13=""),D13="")</formula>
    </cfRule>
    <cfRule type="expression" dxfId="831" priority="818" stopIfTrue="1">
      <formula>AG13="0"</formula>
    </cfRule>
  </conditionalFormatting>
  <conditionalFormatting sqref="E13">
    <cfRule type="expression" dxfId="830" priority="815" stopIfTrue="1">
      <formula>AND(NOT($C13=""),E13="")</formula>
    </cfRule>
    <cfRule type="expression" dxfId="829" priority="816" stopIfTrue="1">
      <formula>AL13="0"</formula>
    </cfRule>
  </conditionalFormatting>
  <conditionalFormatting sqref="F13">
    <cfRule type="expression" dxfId="828" priority="813" stopIfTrue="1">
      <formula>AND(NOT($C13=""),F13="")</formula>
    </cfRule>
    <cfRule type="expression" dxfId="827" priority="814" stopIfTrue="1">
      <formula>AQ13="0"</formula>
    </cfRule>
  </conditionalFormatting>
  <conditionalFormatting sqref="G13">
    <cfRule type="expression" dxfId="826" priority="811" stopIfTrue="1">
      <formula>AND(NOT($C13=""),G13="")</formula>
    </cfRule>
    <cfRule type="expression" dxfId="825" priority="812" stopIfTrue="1">
      <formula>AV13="0"</formula>
    </cfRule>
  </conditionalFormatting>
  <conditionalFormatting sqref="H13">
    <cfRule type="expression" dxfId="824" priority="809" stopIfTrue="1">
      <formula>AND(NOT($C13=""),H13="")</formula>
    </cfRule>
    <cfRule type="expression" dxfId="823" priority="810" stopIfTrue="1">
      <formula>BA13="0"</formula>
    </cfRule>
  </conditionalFormatting>
  <conditionalFormatting sqref="I13">
    <cfRule type="expression" dxfId="822" priority="807" stopIfTrue="1">
      <formula>AND(NOT($C13=""),I13="")</formula>
    </cfRule>
    <cfRule type="expression" dxfId="821" priority="808" stopIfTrue="1">
      <formula>BF13="0"</formula>
    </cfRule>
  </conditionalFormatting>
  <conditionalFormatting sqref="J13">
    <cfRule type="expression" dxfId="820" priority="805" stopIfTrue="1">
      <formula>AND(NOT($C13=""),J13="")</formula>
    </cfRule>
    <cfRule type="expression" dxfId="819" priority="806" stopIfTrue="1">
      <formula>BK13="0"</formula>
    </cfRule>
  </conditionalFormatting>
  <conditionalFormatting sqref="K13">
    <cfRule type="expression" dxfId="818" priority="803" stopIfTrue="1">
      <formula>AND(NOT($C13=""),K13="")</formula>
    </cfRule>
    <cfRule type="expression" dxfId="817" priority="804" stopIfTrue="1">
      <formula>BP13="0"</formula>
    </cfRule>
  </conditionalFormatting>
  <conditionalFormatting sqref="L13">
    <cfRule type="expression" dxfId="816" priority="801" stopIfTrue="1">
      <formula>AND(NOT($C13=""),L13="")</formula>
    </cfRule>
    <cfRule type="expression" dxfId="815" priority="802" stopIfTrue="1">
      <formula>BU13="0"</formula>
    </cfRule>
  </conditionalFormatting>
  <conditionalFormatting sqref="N13">
    <cfRule type="expression" dxfId="814" priority="799" stopIfTrue="1">
      <formula>AND(NOT($C13=""),N13="")</formula>
    </cfRule>
    <cfRule type="expression" dxfId="813" priority="800" stopIfTrue="1">
      <formula>CE13="0"</formula>
    </cfRule>
  </conditionalFormatting>
  <conditionalFormatting sqref="M13">
    <cfRule type="expression" dxfId="812" priority="798" stopIfTrue="1">
      <formula>BZ13="0"</formula>
    </cfRule>
  </conditionalFormatting>
  <conditionalFormatting sqref="D13">
    <cfRule type="expression" dxfId="811" priority="796" stopIfTrue="1">
      <formula>AND(NOT($C13=""),D13="")</formula>
    </cfRule>
    <cfRule type="expression" dxfId="810" priority="797" stopIfTrue="1">
      <formula>AG13="0"</formula>
    </cfRule>
  </conditionalFormatting>
  <conditionalFormatting sqref="E13">
    <cfRule type="expression" dxfId="809" priority="794" stopIfTrue="1">
      <formula>AND(NOT($C13=""),E13="")</formula>
    </cfRule>
    <cfRule type="expression" dxfId="808" priority="795" stopIfTrue="1">
      <formula>AL13="0"</formula>
    </cfRule>
  </conditionalFormatting>
  <conditionalFormatting sqref="F13">
    <cfRule type="expression" dxfId="807" priority="792" stopIfTrue="1">
      <formula>AND(NOT($C13=""),F13="")</formula>
    </cfRule>
    <cfRule type="expression" dxfId="806" priority="793" stopIfTrue="1">
      <formula>AQ13="0"</formula>
    </cfRule>
  </conditionalFormatting>
  <conditionalFormatting sqref="G13">
    <cfRule type="expression" dxfId="805" priority="790" stopIfTrue="1">
      <formula>AND(NOT($C13=""),G13="")</formula>
    </cfRule>
    <cfRule type="expression" dxfId="804" priority="791" stopIfTrue="1">
      <formula>AV13="0"</formula>
    </cfRule>
  </conditionalFormatting>
  <conditionalFormatting sqref="H13">
    <cfRule type="expression" dxfId="803" priority="788" stopIfTrue="1">
      <formula>AND(NOT($C13=""),H13="")</formula>
    </cfRule>
    <cfRule type="expression" dxfId="802" priority="789" stopIfTrue="1">
      <formula>BA13="0"</formula>
    </cfRule>
  </conditionalFormatting>
  <conditionalFormatting sqref="I13">
    <cfRule type="expression" dxfId="801" priority="786" stopIfTrue="1">
      <formula>AND(NOT($C13=""),I13="")</formula>
    </cfRule>
    <cfRule type="expression" dxfId="800" priority="787" stopIfTrue="1">
      <formula>BF13="0"</formula>
    </cfRule>
  </conditionalFormatting>
  <conditionalFormatting sqref="J13">
    <cfRule type="expression" dxfId="799" priority="784" stopIfTrue="1">
      <formula>AND(NOT($C13=""),J13="")</formula>
    </cfRule>
    <cfRule type="expression" dxfId="798" priority="785" stopIfTrue="1">
      <formula>BK13="0"</formula>
    </cfRule>
  </conditionalFormatting>
  <conditionalFormatting sqref="K13">
    <cfRule type="expression" dxfId="797" priority="782" stopIfTrue="1">
      <formula>AND(NOT($C13=""),K13="")</formula>
    </cfRule>
    <cfRule type="expression" dxfId="796" priority="783" stopIfTrue="1">
      <formula>BP13="0"</formula>
    </cfRule>
  </conditionalFormatting>
  <conditionalFormatting sqref="L13">
    <cfRule type="expression" dxfId="795" priority="780" stopIfTrue="1">
      <formula>AND(NOT($C13=""),L13="")</formula>
    </cfRule>
    <cfRule type="expression" dxfId="794" priority="781" stopIfTrue="1">
      <formula>BU13="0"</formula>
    </cfRule>
  </conditionalFormatting>
  <conditionalFormatting sqref="N13">
    <cfRule type="expression" dxfId="793" priority="778" stopIfTrue="1">
      <formula>AND(NOT($C13=""),N13="")</formula>
    </cfRule>
    <cfRule type="expression" dxfId="792" priority="779" stopIfTrue="1">
      <formula>CE13="0"</formula>
    </cfRule>
  </conditionalFormatting>
  <conditionalFormatting sqref="M13">
    <cfRule type="expression" dxfId="791" priority="777" stopIfTrue="1">
      <formula>BZ13="0"</formula>
    </cfRule>
  </conditionalFormatting>
  <conditionalFormatting sqref="D13">
    <cfRule type="expression" dxfId="790" priority="775" stopIfTrue="1">
      <formula>AND(NOT($C13=""),D13="")</formula>
    </cfRule>
    <cfRule type="expression" dxfId="789" priority="776" stopIfTrue="1">
      <formula>AG13="0"</formula>
    </cfRule>
  </conditionalFormatting>
  <conditionalFormatting sqref="E13">
    <cfRule type="expression" dxfId="788" priority="773" stopIfTrue="1">
      <formula>AND(NOT($C13=""),E13="")</formula>
    </cfRule>
    <cfRule type="expression" dxfId="787" priority="774" stopIfTrue="1">
      <formula>AL13="0"</formula>
    </cfRule>
  </conditionalFormatting>
  <conditionalFormatting sqref="F13">
    <cfRule type="expression" dxfId="786" priority="771" stopIfTrue="1">
      <formula>AND(NOT($C13=""),F13="")</formula>
    </cfRule>
    <cfRule type="expression" dxfId="785" priority="772" stopIfTrue="1">
      <formula>AQ13="0"</formula>
    </cfRule>
  </conditionalFormatting>
  <conditionalFormatting sqref="G13">
    <cfRule type="expression" dxfId="784" priority="769" stopIfTrue="1">
      <formula>AND(NOT($C13=""),G13="")</formula>
    </cfRule>
    <cfRule type="expression" dxfId="783" priority="770" stopIfTrue="1">
      <formula>AV13="0"</formula>
    </cfRule>
  </conditionalFormatting>
  <conditionalFormatting sqref="H13">
    <cfRule type="expression" dxfId="782" priority="767" stopIfTrue="1">
      <formula>AND(NOT($C13=""),H13="")</formula>
    </cfRule>
    <cfRule type="expression" dxfId="781" priority="768" stopIfTrue="1">
      <formula>BA13="0"</formula>
    </cfRule>
  </conditionalFormatting>
  <conditionalFormatting sqref="I13">
    <cfRule type="expression" dxfId="780" priority="765" stopIfTrue="1">
      <formula>AND(NOT($C13=""),I13="")</formula>
    </cfRule>
    <cfRule type="expression" dxfId="779" priority="766" stopIfTrue="1">
      <formula>BF13="0"</formula>
    </cfRule>
  </conditionalFormatting>
  <conditionalFormatting sqref="J13">
    <cfRule type="expression" dxfId="778" priority="763" stopIfTrue="1">
      <formula>AND(NOT($C13=""),J13="")</formula>
    </cfRule>
    <cfRule type="expression" dxfId="777" priority="764" stopIfTrue="1">
      <formula>BK13="0"</formula>
    </cfRule>
  </conditionalFormatting>
  <conditionalFormatting sqref="K13">
    <cfRule type="expression" dxfId="776" priority="761" stopIfTrue="1">
      <formula>AND(NOT($C13=""),K13="")</formula>
    </cfRule>
    <cfRule type="expression" dxfId="775" priority="762" stopIfTrue="1">
      <formula>BP13="0"</formula>
    </cfRule>
  </conditionalFormatting>
  <conditionalFormatting sqref="L13">
    <cfRule type="expression" dxfId="774" priority="759" stopIfTrue="1">
      <formula>AND(NOT($C13=""),L13="")</formula>
    </cfRule>
    <cfRule type="expression" dxfId="773" priority="760" stopIfTrue="1">
      <formula>BU13="0"</formula>
    </cfRule>
  </conditionalFormatting>
  <conditionalFormatting sqref="N13">
    <cfRule type="expression" dxfId="772" priority="757" stopIfTrue="1">
      <formula>AND(NOT($C13=""),N13="")</formula>
    </cfRule>
    <cfRule type="expression" dxfId="771" priority="758" stopIfTrue="1">
      <formula>CE13="0"</formula>
    </cfRule>
  </conditionalFormatting>
  <conditionalFormatting sqref="M13">
    <cfRule type="expression" dxfId="770" priority="756" stopIfTrue="1">
      <formula>BZ13="0"</formula>
    </cfRule>
  </conditionalFormatting>
  <conditionalFormatting sqref="D13">
    <cfRule type="expression" dxfId="769" priority="754" stopIfTrue="1">
      <formula>AND(NOT($C13=""),D13="")</formula>
    </cfRule>
    <cfRule type="expression" dxfId="768" priority="755" stopIfTrue="1">
      <formula>AG13="0"</formula>
    </cfRule>
  </conditionalFormatting>
  <conditionalFormatting sqref="E13">
    <cfRule type="expression" dxfId="767" priority="752" stopIfTrue="1">
      <formula>AND(NOT($C13=""),E13="")</formula>
    </cfRule>
    <cfRule type="expression" dxfId="766" priority="753" stopIfTrue="1">
      <formula>AL13="0"</formula>
    </cfRule>
  </conditionalFormatting>
  <conditionalFormatting sqref="F13">
    <cfRule type="expression" dxfId="765" priority="750" stopIfTrue="1">
      <formula>AND(NOT($C13=""),F13="")</formula>
    </cfRule>
    <cfRule type="expression" dxfId="764" priority="751" stopIfTrue="1">
      <formula>AQ13="0"</formula>
    </cfRule>
  </conditionalFormatting>
  <conditionalFormatting sqref="G13">
    <cfRule type="expression" dxfId="763" priority="748" stopIfTrue="1">
      <formula>AND(NOT($C13=""),G13="")</formula>
    </cfRule>
    <cfRule type="expression" dxfId="762" priority="749" stopIfTrue="1">
      <formula>AV13="0"</formula>
    </cfRule>
  </conditionalFormatting>
  <conditionalFormatting sqref="H13">
    <cfRule type="expression" dxfId="761" priority="746" stopIfTrue="1">
      <formula>AND(NOT($C13=""),H13="")</formula>
    </cfRule>
    <cfRule type="expression" dxfId="760" priority="747" stopIfTrue="1">
      <formula>BA13="0"</formula>
    </cfRule>
  </conditionalFormatting>
  <conditionalFormatting sqref="I13">
    <cfRule type="expression" dxfId="759" priority="744" stopIfTrue="1">
      <formula>AND(NOT($C13=""),I13="")</formula>
    </cfRule>
    <cfRule type="expression" dxfId="758" priority="745" stopIfTrue="1">
      <formula>BF13="0"</formula>
    </cfRule>
  </conditionalFormatting>
  <conditionalFormatting sqref="J13">
    <cfRule type="expression" dxfId="757" priority="742" stopIfTrue="1">
      <formula>AND(NOT($C13=""),J13="")</formula>
    </cfRule>
    <cfRule type="expression" dxfId="756" priority="743" stopIfTrue="1">
      <formula>BK13="0"</formula>
    </cfRule>
  </conditionalFormatting>
  <conditionalFormatting sqref="K13">
    <cfRule type="expression" dxfId="755" priority="740" stopIfTrue="1">
      <formula>AND(NOT($C13=""),K13="")</formula>
    </cfRule>
    <cfRule type="expression" dxfId="754" priority="741" stopIfTrue="1">
      <formula>BP13="0"</formula>
    </cfRule>
  </conditionalFormatting>
  <conditionalFormatting sqref="L13">
    <cfRule type="expression" dxfId="753" priority="738" stopIfTrue="1">
      <formula>AND(NOT($C13=""),L13="")</formula>
    </cfRule>
    <cfRule type="expression" dxfId="752" priority="739" stopIfTrue="1">
      <formula>BU13="0"</formula>
    </cfRule>
  </conditionalFormatting>
  <conditionalFormatting sqref="N13">
    <cfRule type="expression" dxfId="751" priority="736" stopIfTrue="1">
      <formula>AND(NOT($C13=""),N13="")</formula>
    </cfRule>
    <cfRule type="expression" dxfId="750" priority="737" stopIfTrue="1">
      <formula>CE13="0"</formula>
    </cfRule>
  </conditionalFormatting>
  <conditionalFormatting sqref="M13">
    <cfRule type="expression" dxfId="749" priority="735" stopIfTrue="1">
      <formula>BZ13="0"</formula>
    </cfRule>
  </conditionalFormatting>
  <conditionalFormatting sqref="D13">
    <cfRule type="expression" dxfId="748" priority="733" stopIfTrue="1">
      <formula>AND(NOT($C13=""),D13="")</formula>
    </cfRule>
    <cfRule type="expression" dxfId="747" priority="734" stopIfTrue="1">
      <formula>AG13="0"</formula>
    </cfRule>
  </conditionalFormatting>
  <conditionalFormatting sqref="E13">
    <cfRule type="expression" dxfId="746" priority="731" stopIfTrue="1">
      <formula>AND(NOT($C13=""),E13="")</formula>
    </cfRule>
    <cfRule type="expression" dxfId="745" priority="732" stopIfTrue="1">
      <formula>AL13="0"</formula>
    </cfRule>
  </conditionalFormatting>
  <conditionalFormatting sqref="F13">
    <cfRule type="expression" dxfId="744" priority="729" stopIfTrue="1">
      <formula>AND(NOT($C13=""),F13="")</formula>
    </cfRule>
    <cfRule type="expression" dxfId="743" priority="730" stopIfTrue="1">
      <formula>AQ13="0"</formula>
    </cfRule>
  </conditionalFormatting>
  <conditionalFormatting sqref="G13">
    <cfRule type="expression" dxfId="742" priority="727" stopIfTrue="1">
      <formula>AND(NOT($C13=""),G13="")</formula>
    </cfRule>
    <cfRule type="expression" dxfId="741" priority="728" stopIfTrue="1">
      <formula>AV13="0"</formula>
    </cfRule>
  </conditionalFormatting>
  <conditionalFormatting sqref="H13">
    <cfRule type="expression" dxfId="740" priority="725" stopIfTrue="1">
      <formula>AND(NOT($C13=""),H13="")</formula>
    </cfRule>
    <cfRule type="expression" dxfId="739" priority="726" stopIfTrue="1">
      <formula>BA13="0"</formula>
    </cfRule>
  </conditionalFormatting>
  <conditionalFormatting sqref="I13">
    <cfRule type="expression" dxfId="738" priority="723" stopIfTrue="1">
      <formula>AND(NOT($C13=""),I13="")</formula>
    </cfRule>
    <cfRule type="expression" dxfId="737" priority="724" stopIfTrue="1">
      <formula>BF13="0"</formula>
    </cfRule>
  </conditionalFormatting>
  <conditionalFormatting sqref="J13">
    <cfRule type="expression" dxfId="736" priority="721" stopIfTrue="1">
      <formula>AND(NOT($C13=""),J13="")</formula>
    </cfRule>
    <cfRule type="expression" dxfId="735" priority="722" stopIfTrue="1">
      <formula>BK13="0"</formula>
    </cfRule>
  </conditionalFormatting>
  <conditionalFormatting sqref="K13">
    <cfRule type="expression" dxfId="734" priority="719" stopIfTrue="1">
      <formula>AND(NOT($C13=""),K13="")</formula>
    </cfRule>
    <cfRule type="expression" dxfId="733" priority="720" stopIfTrue="1">
      <formula>BP13="0"</formula>
    </cfRule>
  </conditionalFormatting>
  <conditionalFormatting sqref="L13">
    <cfRule type="expression" dxfId="732" priority="717" stopIfTrue="1">
      <formula>AND(NOT($C13=""),L13="")</formula>
    </cfRule>
    <cfRule type="expression" dxfId="731" priority="718" stopIfTrue="1">
      <formula>BU13="0"</formula>
    </cfRule>
  </conditionalFormatting>
  <conditionalFormatting sqref="N13">
    <cfRule type="expression" dxfId="730" priority="715" stopIfTrue="1">
      <formula>AND(NOT($C13=""),N13="")</formula>
    </cfRule>
    <cfRule type="expression" dxfId="729" priority="716" stopIfTrue="1">
      <formula>CE13="0"</formula>
    </cfRule>
  </conditionalFormatting>
  <conditionalFormatting sqref="M13">
    <cfRule type="expression" dxfId="728" priority="714" stopIfTrue="1">
      <formula>BZ13="0"</formula>
    </cfRule>
  </conditionalFormatting>
  <conditionalFormatting sqref="D13">
    <cfRule type="expression" dxfId="727" priority="712" stopIfTrue="1">
      <formula>AND(NOT($C13=""),D13="")</formula>
    </cfRule>
    <cfRule type="expression" dxfId="726" priority="713" stopIfTrue="1">
      <formula>AG13="0"</formula>
    </cfRule>
  </conditionalFormatting>
  <conditionalFormatting sqref="E13">
    <cfRule type="expression" dxfId="725" priority="710" stopIfTrue="1">
      <formula>AND(NOT($C13=""),E13="")</formula>
    </cfRule>
    <cfRule type="expression" dxfId="724" priority="711" stopIfTrue="1">
      <formula>AL13="0"</formula>
    </cfRule>
  </conditionalFormatting>
  <conditionalFormatting sqref="F13">
    <cfRule type="expression" dxfId="723" priority="708" stopIfTrue="1">
      <formula>AND(NOT($C13=""),F13="")</formula>
    </cfRule>
    <cfRule type="expression" dxfId="722" priority="709" stopIfTrue="1">
      <formula>AQ13="0"</formula>
    </cfRule>
  </conditionalFormatting>
  <conditionalFormatting sqref="G13">
    <cfRule type="expression" dxfId="721" priority="706" stopIfTrue="1">
      <formula>AND(NOT($C13=""),G13="")</formula>
    </cfRule>
    <cfRule type="expression" dxfId="720" priority="707" stopIfTrue="1">
      <formula>AV13="0"</formula>
    </cfRule>
  </conditionalFormatting>
  <conditionalFormatting sqref="H13">
    <cfRule type="expression" dxfId="719" priority="704" stopIfTrue="1">
      <formula>AND(NOT($C13=""),H13="")</formula>
    </cfRule>
    <cfRule type="expression" dxfId="718" priority="705" stopIfTrue="1">
      <formula>BA13="0"</formula>
    </cfRule>
  </conditionalFormatting>
  <conditionalFormatting sqref="I13">
    <cfRule type="expression" dxfId="717" priority="702" stopIfTrue="1">
      <formula>AND(NOT($C13=""),I13="")</formula>
    </cfRule>
    <cfRule type="expression" dxfId="716" priority="703" stopIfTrue="1">
      <formula>BF13="0"</formula>
    </cfRule>
  </conditionalFormatting>
  <conditionalFormatting sqref="J13">
    <cfRule type="expression" dxfId="715" priority="700" stopIfTrue="1">
      <formula>AND(NOT($C13=""),J13="")</formula>
    </cfRule>
    <cfRule type="expression" dxfId="714" priority="701" stopIfTrue="1">
      <formula>BK13="0"</formula>
    </cfRule>
  </conditionalFormatting>
  <conditionalFormatting sqref="K13">
    <cfRule type="expression" dxfId="713" priority="698" stopIfTrue="1">
      <formula>AND(NOT($C13=""),K13="")</formula>
    </cfRule>
    <cfRule type="expression" dxfId="712" priority="699" stopIfTrue="1">
      <formula>BP13="0"</formula>
    </cfRule>
  </conditionalFormatting>
  <conditionalFormatting sqref="L13">
    <cfRule type="expression" dxfId="711" priority="696" stopIfTrue="1">
      <formula>AND(NOT($C13=""),L13="")</formula>
    </cfRule>
    <cfRule type="expression" dxfId="710" priority="697" stopIfTrue="1">
      <formula>BU13="0"</formula>
    </cfRule>
  </conditionalFormatting>
  <conditionalFormatting sqref="N13">
    <cfRule type="expression" dxfId="709" priority="694" stopIfTrue="1">
      <formula>AND(NOT($C13=""),N13="")</formula>
    </cfRule>
    <cfRule type="expression" dxfId="708" priority="695" stopIfTrue="1">
      <formula>CE13="0"</formula>
    </cfRule>
  </conditionalFormatting>
  <conditionalFormatting sqref="M13">
    <cfRule type="expression" dxfId="707" priority="693" stopIfTrue="1">
      <formula>BZ13="0"</formula>
    </cfRule>
  </conditionalFormatting>
  <conditionalFormatting sqref="D13">
    <cfRule type="expression" dxfId="706" priority="691" stopIfTrue="1">
      <formula>AND(NOT($C13=""),D13="")</formula>
    </cfRule>
    <cfRule type="expression" dxfId="705" priority="692" stopIfTrue="1">
      <formula>AG13="0"</formula>
    </cfRule>
  </conditionalFormatting>
  <conditionalFormatting sqref="E13">
    <cfRule type="expression" dxfId="704" priority="689" stopIfTrue="1">
      <formula>AND(NOT($C13=""),E13="")</formula>
    </cfRule>
    <cfRule type="expression" dxfId="703" priority="690" stopIfTrue="1">
      <formula>AL13="0"</formula>
    </cfRule>
  </conditionalFormatting>
  <conditionalFormatting sqref="F13">
    <cfRule type="expression" dxfId="702" priority="687" stopIfTrue="1">
      <formula>AND(NOT($C13=""),F13="")</formula>
    </cfRule>
    <cfRule type="expression" dxfId="701" priority="688" stopIfTrue="1">
      <formula>AQ13="0"</formula>
    </cfRule>
  </conditionalFormatting>
  <conditionalFormatting sqref="G13">
    <cfRule type="expression" dxfId="700" priority="685" stopIfTrue="1">
      <formula>AND(NOT($C13=""),G13="")</formula>
    </cfRule>
    <cfRule type="expression" dxfId="699" priority="686" stopIfTrue="1">
      <formula>AV13="0"</formula>
    </cfRule>
  </conditionalFormatting>
  <conditionalFormatting sqref="H13">
    <cfRule type="expression" dxfId="698" priority="683" stopIfTrue="1">
      <formula>AND(NOT($C13=""),H13="")</formula>
    </cfRule>
    <cfRule type="expression" dxfId="697" priority="684" stopIfTrue="1">
      <formula>BA13="0"</formula>
    </cfRule>
  </conditionalFormatting>
  <conditionalFormatting sqref="I13">
    <cfRule type="expression" dxfId="696" priority="681" stopIfTrue="1">
      <formula>AND(NOT($C13=""),I13="")</formula>
    </cfRule>
    <cfRule type="expression" dxfId="695" priority="682" stopIfTrue="1">
      <formula>BF13="0"</formula>
    </cfRule>
  </conditionalFormatting>
  <conditionalFormatting sqref="J13">
    <cfRule type="expression" dxfId="694" priority="679" stopIfTrue="1">
      <formula>AND(NOT($C13=""),J13="")</formula>
    </cfRule>
    <cfRule type="expression" dxfId="693" priority="680" stopIfTrue="1">
      <formula>BK13="0"</formula>
    </cfRule>
  </conditionalFormatting>
  <conditionalFormatting sqref="K13">
    <cfRule type="expression" dxfId="692" priority="677" stopIfTrue="1">
      <formula>AND(NOT($C13=""),K13="")</formula>
    </cfRule>
    <cfRule type="expression" dxfId="691" priority="678" stopIfTrue="1">
      <formula>BP13="0"</formula>
    </cfRule>
  </conditionalFormatting>
  <conditionalFormatting sqref="L13">
    <cfRule type="expression" dxfId="690" priority="675" stopIfTrue="1">
      <formula>AND(NOT($C13=""),L13="")</formula>
    </cfRule>
    <cfRule type="expression" dxfId="689" priority="676" stopIfTrue="1">
      <formula>BU13="0"</formula>
    </cfRule>
  </conditionalFormatting>
  <conditionalFormatting sqref="N13">
    <cfRule type="expression" dxfId="688" priority="673" stopIfTrue="1">
      <formula>AND(NOT($C13=""),N13="")</formula>
    </cfRule>
    <cfRule type="expression" dxfId="687" priority="674" stopIfTrue="1">
      <formula>CE13="0"</formula>
    </cfRule>
  </conditionalFormatting>
  <conditionalFormatting sqref="M13">
    <cfRule type="expression" dxfId="686" priority="672" stopIfTrue="1">
      <formula>BZ13="0"</formula>
    </cfRule>
  </conditionalFormatting>
  <conditionalFormatting sqref="D13">
    <cfRule type="expression" dxfId="685" priority="670" stopIfTrue="1">
      <formula>AND(NOT($C13=""),D13="")</formula>
    </cfRule>
    <cfRule type="expression" dxfId="684" priority="671" stopIfTrue="1">
      <formula>AG13="0"</formula>
    </cfRule>
  </conditionalFormatting>
  <conditionalFormatting sqref="E13">
    <cfRule type="expression" dxfId="683" priority="668" stopIfTrue="1">
      <formula>AND(NOT($C13=""),E13="")</formula>
    </cfRule>
    <cfRule type="expression" dxfId="682" priority="669" stopIfTrue="1">
      <formula>AL13="0"</formula>
    </cfRule>
  </conditionalFormatting>
  <conditionalFormatting sqref="F13">
    <cfRule type="expression" dxfId="681" priority="666" stopIfTrue="1">
      <formula>AND(NOT($C13=""),F13="")</formula>
    </cfRule>
    <cfRule type="expression" dxfId="680" priority="667" stopIfTrue="1">
      <formula>AQ13="0"</formula>
    </cfRule>
  </conditionalFormatting>
  <conditionalFormatting sqref="G13">
    <cfRule type="expression" dxfId="679" priority="664" stopIfTrue="1">
      <formula>AND(NOT($C13=""),G13="")</formula>
    </cfRule>
    <cfRule type="expression" dxfId="678" priority="665" stopIfTrue="1">
      <formula>AV13="0"</formula>
    </cfRule>
  </conditionalFormatting>
  <conditionalFormatting sqref="H13">
    <cfRule type="expression" dxfId="677" priority="662" stopIfTrue="1">
      <formula>AND(NOT($C13=""),H13="")</formula>
    </cfRule>
    <cfRule type="expression" dxfId="676" priority="663" stopIfTrue="1">
      <formula>BA13="0"</formula>
    </cfRule>
  </conditionalFormatting>
  <conditionalFormatting sqref="I13">
    <cfRule type="expression" dxfId="675" priority="660" stopIfTrue="1">
      <formula>AND(NOT($C13=""),I13="")</formula>
    </cfRule>
    <cfRule type="expression" dxfId="674" priority="661" stopIfTrue="1">
      <formula>BF13="0"</formula>
    </cfRule>
  </conditionalFormatting>
  <conditionalFormatting sqref="J13">
    <cfRule type="expression" dxfId="673" priority="658" stopIfTrue="1">
      <formula>AND(NOT($C13=""),J13="")</formula>
    </cfRule>
    <cfRule type="expression" dxfId="672" priority="659" stopIfTrue="1">
      <formula>BK13="0"</formula>
    </cfRule>
  </conditionalFormatting>
  <conditionalFormatting sqref="K13">
    <cfRule type="expression" dxfId="671" priority="656" stopIfTrue="1">
      <formula>AND(NOT($C13=""),K13="")</formula>
    </cfRule>
    <cfRule type="expression" dxfId="670" priority="657" stopIfTrue="1">
      <formula>BP13="0"</formula>
    </cfRule>
  </conditionalFormatting>
  <conditionalFormatting sqref="L13">
    <cfRule type="expression" dxfId="669" priority="654" stopIfTrue="1">
      <formula>AND(NOT($C13=""),L13="")</formula>
    </cfRule>
    <cfRule type="expression" dxfId="668" priority="655" stopIfTrue="1">
      <formula>BU13="0"</formula>
    </cfRule>
  </conditionalFormatting>
  <conditionalFormatting sqref="N13">
    <cfRule type="expression" dxfId="667" priority="652" stopIfTrue="1">
      <formula>AND(NOT($C13=""),N13="")</formula>
    </cfRule>
    <cfRule type="expression" dxfId="666" priority="653" stopIfTrue="1">
      <formula>CE13="0"</formula>
    </cfRule>
  </conditionalFormatting>
  <conditionalFormatting sqref="M13">
    <cfRule type="expression" dxfId="665" priority="651" stopIfTrue="1">
      <formula>BZ13="0"</formula>
    </cfRule>
  </conditionalFormatting>
  <conditionalFormatting sqref="D13">
    <cfRule type="expression" dxfId="664" priority="649" stopIfTrue="1">
      <formula>AND(NOT($C13=""),D13="")</formula>
    </cfRule>
    <cfRule type="expression" dxfId="663" priority="650" stopIfTrue="1">
      <formula>AG13="0"</formula>
    </cfRule>
  </conditionalFormatting>
  <conditionalFormatting sqref="E13">
    <cfRule type="expression" dxfId="662" priority="647" stopIfTrue="1">
      <formula>AND(NOT($C13=""),E13="")</formula>
    </cfRule>
    <cfRule type="expression" dxfId="661" priority="648" stopIfTrue="1">
      <formula>AL13="0"</formula>
    </cfRule>
  </conditionalFormatting>
  <conditionalFormatting sqref="F13">
    <cfRule type="expression" dxfId="660" priority="645" stopIfTrue="1">
      <formula>AND(NOT($C13=""),F13="")</formula>
    </cfRule>
    <cfRule type="expression" dxfId="659" priority="646" stopIfTrue="1">
      <formula>AQ13="0"</formula>
    </cfRule>
  </conditionalFormatting>
  <conditionalFormatting sqref="G13">
    <cfRule type="expression" dxfId="658" priority="643" stopIfTrue="1">
      <formula>AND(NOT($C13=""),G13="")</formula>
    </cfRule>
    <cfRule type="expression" dxfId="657" priority="644" stopIfTrue="1">
      <formula>AV13="0"</formula>
    </cfRule>
  </conditionalFormatting>
  <conditionalFormatting sqref="H13">
    <cfRule type="expression" dxfId="656" priority="641" stopIfTrue="1">
      <formula>AND(NOT($C13=""),H13="")</formula>
    </cfRule>
    <cfRule type="expression" dxfId="655" priority="642" stopIfTrue="1">
      <formula>BA13="0"</formula>
    </cfRule>
  </conditionalFormatting>
  <conditionalFormatting sqref="I13">
    <cfRule type="expression" dxfId="654" priority="639" stopIfTrue="1">
      <formula>AND(NOT($C13=""),I13="")</formula>
    </cfRule>
    <cfRule type="expression" dxfId="653" priority="640" stopIfTrue="1">
      <formula>BF13="0"</formula>
    </cfRule>
  </conditionalFormatting>
  <conditionalFormatting sqref="J13">
    <cfRule type="expression" dxfId="652" priority="637" stopIfTrue="1">
      <formula>AND(NOT($C13=""),J13="")</formula>
    </cfRule>
    <cfRule type="expression" dxfId="651" priority="638" stopIfTrue="1">
      <formula>BK13="0"</formula>
    </cfRule>
  </conditionalFormatting>
  <conditionalFormatting sqref="K13">
    <cfRule type="expression" dxfId="650" priority="635" stopIfTrue="1">
      <formula>AND(NOT($C13=""),K13="")</formula>
    </cfRule>
    <cfRule type="expression" dxfId="649" priority="636" stopIfTrue="1">
      <formula>BP13="0"</formula>
    </cfRule>
  </conditionalFormatting>
  <conditionalFormatting sqref="L13">
    <cfRule type="expression" dxfId="648" priority="633" stopIfTrue="1">
      <formula>AND(NOT($C13=""),L13="")</formula>
    </cfRule>
    <cfRule type="expression" dxfId="647" priority="634" stopIfTrue="1">
      <formula>BU13="0"</formula>
    </cfRule>
  </conditionalFormatting>
  <conditionalFormatting sqref="N13">
    <cfRule type="expression" dxfId="646" priority="631" stopIfTrue="1">
      <formula>AND(NOT($C13=""),N13="")</formula>
    </cfRule>
    <cfRule type="expression" dxfId="645" priority="632" stopIfTrue="1">
      <formula>CE13="0"</formula>
    </cfRule>
  </conditionalFormatting>
  <conditionalFormatting sqref="M13">
    <cfRule type="expression" dxfId="644" priority="630" stopIfTrue="1">
      <formula>BZ13="0"</formula>
    </cfRule>
  </conditionalFormatting>
  <conditionalFormatting sqref="D13">
    <cfRule type="expression" dxfId="643" priority="628" stopIfTrue="1">
      <formula>AND(NOT($C13=""),D13="")</formula>
    </cfRule>
    <cfRule type="expression" dxfId="642" priority="629" stopIfTrue="1">
      <formula>AG13="0"</formula>
    </cfRule>
  </conditionalFormatting>
  <conditionalFormatting sqref="E13">
    <cfRule type="expression" dxfId="641" priority="626" stopIfTrue="1">
      <formula>AND(NOT($C13=""),E13="")</formula>
    </cfRule>
    <cfRule type="expression" dxfId="640" priority="627" stopIfTrue="1">
      <formula>AL13="0"</formula>
    </cfRule>
  </conditionalFormatting>
  <conditionalFormatting sqref="F13">
    <cfRule type="expression" dxfId="639" priority="624" stopIfTrue="1">
      <formula>AND(NOT($C13=""),F13="")</formula>
    </cfRule>
    <cfRule type="expression" dxfId="638" priority="625" stopIfTrue="1">
      <formula>AQ13="0"</formula>
    </cfRule>
  </conditionalFormatting>
  <conditionalFormatting sqref="G13">
    <cfRule type="expression" dxfId="637" priority="622" stopIfTrue="1">
      <formula>AND(NOT($C13=""),G13="")</formula>
    </cfRule>
    <cfRule type="expression" dxfId="636" priority="623" stopIfTrue="1">
      <formula>AV13="0"</formula>
    </cfRule>
  </conditionalFormatting>
  <conditionalFormatting sqref="H13">
    <cfRule type="expression" dxfId="635" priority="620" stopIfTrue="1">
      <formula>AND(NOT($C13=""),H13="")</formula>
    </cfRule>
    <cfRule type="expression" dxfId="634" priority="621" stopIfTrue="1">
      <formula>BA13="0"</formula>
    </cfRule>
  </conditionalFormatting>
  <conditionalFormatting sqref="I13">
    <cfRule type="expression" dxfId="633" priority="618" stopIfTrue="1">
      <formula>AND(NOT($C13=""),I13="")</formula>
    </cfRule>
    <cfRule type="expression" dxfId="632" priority="619" stopIfTrue="1">
      <formula>BF13="0"</formula>
    </cfRule>
  </conditionalFormatting>
  <conditionalFormatting sqref="J13">
    <cfRule type="expression" dxfId="631" priority="616" stopIfTrue="1">
      <formula>AND(NOT($C13=""),J13="")</formula>
    </cfRule>
    <cfRule type="expression" dxfId="630" priority="617" stopIfTrue="1">
      <formula>BK13="0"</formula>
    </cfRule>
  </conditionalFormatting>
  <conditionalFormatting sqref="K13">
    <cfRule type="expression" dxfId="629" priority="614" stopIfTrue="1">
      <formula>AND(NOT($C13=""),K13="")</formula>
    </cfRule>
    <cfRule type="expression" dxfId="628" priority="615" stopIfTrue="1">
      <formula>BP13="0"</formula>
    </cfRule>
  </conditionalFormatting>
  <conditionalFormatting sqref="L13">
    <cfRule type="expression" dxfId="627" priority="612" stopIfTrue="1">
      <formula>AND(NOT($C13=""),L13="")</formula>
    </cfRule>
    <cfRule type="expression" dxfId="626" priority="613" stopIfTrue="1">
      <formula>BU13="0"</formula>
    </cfRule>
  </conditionalFormatting>
  <conditionalFormatting sqref="N13">
    <cfRule type="expression" dxfId="625" priority="610" stopIfTrue="1">
      <formula>AND(NOT($C13=""),N13="")</formula>
    </cfRule>
    <cfRule type="expression" dxfId="624" priority="611" stopIfTrue="1">
      <formula>CE13="0"</formula>
    </cfRule>
  </conditionalFormatting>
  <conditionalFormatting sqref="M13">
    <cfRule type="expression" dxfId="623" priority="609" stopIfTrue="1">
      <formula>BZ13="0"</formula>
    </cfRule>
  </conditionalFormatting>
  <conditionalFormatting sqref="D13">
    <cfRule type="expression" dxfId="622" priority="607" stopIfTrue="1">
      <formula>AND(NOT($C13=""),D13="")</formula>
    </cfRule>
    <cfRule type="expression" dxfId="621" priority="608" stopIfTrue="1">
      <formula>AG13="0"</formula>
    </cfRule>
  </conditionalFormatting>
  <conditionalFormatting sqref="E13">
    <cfRule type="expression" dxfId="620" priority="605" stopIfTrue="1">
      <formula>AND(NOT($C13=""),E13="")</formula>
    </cfRule>
    <cfRule type="expression" dxfId="619" priority="606" stopIfTrue="1">
      <formula>AL13="0"</formula>
    </cfRule>
  </conditionalFormatting>
  <conditionalFormatting sqref="F13">
    <cfRule type="expression" dxfId="618" priority="603" stopIfTrue="1">
      <formula>AND(NOT($C13=""),F13="")</formula>
    </cfRule>
    <cfRule type="expression" dxfId="617" priority="604" stopIfTrue="1">
      <formula>AQ13="0"</formula>
    </cfRule>
  </conditionalFormatting>
  <conditionalFormatting sqref="G13">
    <cfRule type="expression" dxfId="616" priority="601" stopIfTrue="1">
      <formula>AND(NOT($C13=""),G13="")</formula>
    </cfRule>
    <cfRule type="expression" dxfId="615" priority="602" stopIfTrue="1">
      <formula>AV13="0"</formula>
    </cfRule>
  </conditionalFormatting>
  <conditionalFormatting sqref="H13">
    <cfRule type="expression" dxfId="614" priority="599" stopIfTrue="1">
      <formula>AND(NOT($C13=""),H13="")</formula>
    </cfRule>
    <cfRule type="expression" dxfId="613" priority="600" stopIfTrue="1">
      <formula>BA13="0"</formula>
    </cfRule>
  </conditionalFormatting>
  <conditionalFormatting sqref="I13">
    <cfRule type="expression" dxfId="612" priority="597" stopIfTrue="1">
      <formula>AND(NOT($C13=""),I13="")</formula>
    </cfRule>
    <cfRule type="expression" dxfId="611" priority="598" stopIfTrue="1">
      <formula>BF13="0"</formula>
    </cfRule>
  </conditionalFormatting>
  <conditionalFormatting sqref="J13">
    <cfRule type="expression" dxfId="610" priority="595" stopIfTrue="1">
      <formula>AND(NOT($C13=""),J13="")</formula>
    </cfRule>
    <cfRule type="expression" dxfId="609" priority="596" stopIfTrue="1">
      <formula>BK13="0"</formula>
    </cfRule>
  </conditionalFormatting>
  <conditionalFormatting sqref="K13">
    <cfRule type="expression" dxfId="608" priority="593" stopIfTrue="1">
      <formula>AND(NOT($C13=""),K13="")</formula>
    </cfRule>
    <cfRule type="expression" dxfId="607" priority="594" stopIfTrue="1">
      <formula>BP13="0"</formula>
    </cfRule>
  </conditionalFormatting>
  <conditionalFormatting sqref="L13">
    <cfRule type="expression" dxfId="606" priority="591" stopIfTrue="1">
      <formula>AND(NOT($C13=""),L13="")</formula>
    </cfRule>
    <cfRule type="expression" dxfId="605" priority="592" stopIfTrue="1">
      <formula>BU13="0"</formula>
    </cfRule>
  </conditionalFormatting>
  <conditionalFormatting sqref="N13">
    <cfRule type="expression" dxfId="604" priority="589" stopIfTrue="1">
      <formula>AND(NOT($C13=""),N13="")</formula>
    </cfRule>
    <cfRule type="expression" dxfId="603" priority="590" stopIfTrue="1">
      <formula>CE13="0"</formula>
    </cfRule>
  </conditionalFormatting>
  <conditionalFormatting sqref="M14">
    <cfRule type="expression" dxfId="602" priority="588" stopIfTrue="1">
      <formula>BZ14="0"</formula>
    </cfRule>
  </conditionalFormatting>
  <conditionalFormatting sqref="D14">
    <cfRule type="expression" dxfId="601" priority="586" stopIfTrue="1">
      <formula>AND(NOT($C14=""),D14="")</formula>
    </cfRule>
    <cfRule type="expression" dxfId="600" priority="587" stopIfTrue="1">
      <formula>AG14="0"</formula>
    </cfRule>
  </conditionalFormatting>
  <conditionalFormatting sqref="E14">
    <cfRule type="expression" dxfId="599" priority="584" stopIfTrue="1">
      <formula>AND(NOT($C14=""),E14="")</formula>
    </cfRule>
    <cfRule type="expression" dxfId="598" priority="585" stopIfTrue="1">
      <formula>AL14="0"</formula>
    </cfRule>
  </conditionalFormatting>
  <conditionalFormatting sqref="F14">
    <cfRule type="expression" dxfId="597" priority="582" stopIfTrue="1">
      <formula>AND(NOT($C14=""),F14="")</formula>
    </cfRule>
    <cfRule type="expression" dxfId="596" priority="583" stopIfTrue="1">
      <formula>AQ14="0"</formula>
    </cfRule>
  </conditionalFormatting>
  <conditionalFormatting sqref="G14">
    <cfRule type="expression" dxfId="595" priority="580" stopIfTrue="1">
      <formula>AND(NOT($C14=""),G14="")</formula>
    </cfRule>
    <cfRule type="expression" dxfId="594" priority="581" stopIfTrue="1">
      <formula>AV14="0"</formula>
    </cfRule>
  </conditionalFormatting>
  <conditionalFormatting sqref="H14">
    <cfRule type="expression" dxfId="593" priority="578" stopIfTrue="1">
      <formula>AND(NOT($C14=""),H14="")</formula>
    </cfRule>
    <cfRule type="expression" dxfId="592" priority="579" stopIfTrue="1">
      <formula>BA14="0"</formula>
    </cfRule>
  </conditionalFormatting>
  <conditionalFormatting sqref="I14">
    <cfRule type="expression" dxfId="591" priority="576" stopIfTrue="1">
      <formula>AND(NOT($C14=""),I14="")</formula>
    </cfRule>
    <cfRule type="expression" dxfId="590" priority="577" stopIfTrue="1">
      <formula>BF14="0"</formula>
    </cfRule>
  </conditionalFormatting>
  <conditionalFormatting sqref="J14">
    <cfRule type="expression" dxfId="589" priority="574" stopIfTrue="1">
      <formula>AND(NOT($C14=""),J14="")</formula>
    </cfRule>
    <cfRule type="expression" dxfId="588" priority="575" stopIfTrue="1">
      <formula>BK14="0"</formula>
    </cfRule>
  </conditionalFormatting>
  <conditionalFormatting sqref="K14">
    <cfRule type="expression" dxfId="587" priority="572" stopIfTrue="1">
      <formula>AND(NOT($C14=""),K14="")</formula>
    </cfRule>
    <cfRule type="expression" dxfId="586" priority="573" stopIfTrue="1">
      <formula>BP14="0"</formula>
    </cfRule>
  </conditionalFormatting>
  <conditionalFormatting sqref="L14">
    <cfRule type="expression" dxfId="585" priority="570" stopIfTrue="1">
      <formula>AND(NOT($C14=""),L14="")</formula>
    </cfRule>
    <cfRule type="expression" dxfId="584" priority="571" stopIfTrue="1">
      <formula>BU14="0"</formula>
    </cfRule>
  </conditionalFormatting>
  <conditionalFormatting sqref="N14">
    <cfRule type="expression" dxfId="583" priority="568" stopIfTrue="1">
      <formula>AND(NOT($C14=""),N14="")</formula>
    </cfRule>
    <cfRule type="expression" dxfId="582" priority="569" stopIfTrue="1">
      <formula>CE14="0"</formula>
    </cfRule>
  </conditionalFormatting>
  <conditionalFormatting sqref="M14">
    <cfRule type="expression" dxfId="581" priority="567" stopIfTrue="1">
      <formula>BZ14="0"</formula>
    </cfRule>
  </conditionalFormatting>
  <conditionalFormatting sqref="D14">
    <cfRule type="expression" dxfId="580" priority="565" stopIfTrue="1">
      <formula>AND(NOT($C14=""),D14="")</formula>
    </cfRule>
    <cfRule type="expression" dxfId="579" priority="566" stopIfTrue="1">
      <formula>AG14="0"</formula>
    </cfRule>
  </conditionalFormatting>
  <conditionalFormatting sqref="E14">
    <cfRule type="expression" dxfId="578" priority="563" stopIfTrue="1">
      <formula>AND(NOT($C14=""),E14="")</formula>
    </cfRule>
    <cfRule type="expression" dxfId="577" priority="564" stopIfTrue="1">
      <formula>AL14="0"</formula>
    </cfRule>
  </conditionalFormatting>
  <conditionalFormatting sqref="F14">
    <cfRule type="expression" dxfId="576" priority="561" stopIfTrue="1">
      <formula>AND(NOT($C14=""),F14="")</formula>
    </cfRule>
    <cfRule type="expression" dxfId="575" priority="562" stopIfTrue="1">
      <formula>AQ14="0"</formula>
    </cfRule>
  </conditionalFormatting>
  <conditionalFormatting sqref="G14">
    <cfRule type="expression" dxfId="574" priority="559" stopIfTrue="1">
      <formula>AND(NOT($C14=""),G14="")</formula>
    </cfRule>
    <cfRule type="expression" dxfId="573" priority="560" stopIfTrue="1">
      <formula>AV14="0"</formula>
    </cfRule>
  </conditionalFormatting>
  <conditionalFormatting sqref="H14">
    <cfRule type="expression" dxfId="572" priority="557" stopIfTrue="1">
      <formula>AND(NOT($C14=""),H14="")</formula>
    </cfRule>
    <cfRule type="expression" dxfId="571" priority="558" stopIfTrue="1">
      <formula>BA14="0"</formula>
    </cfRule>
  </conditionalFormatting>
  <conditionalFormatting sqref="I14">
    <cfRule type="expression" dxfId="570" priority="555" stopIfTrue="1">
      <formula>AND(NOT($C14=""),I14="")</formula>
    </cfRule>
    <cfRule type="expression" dxfId="569" priority="556" stopIfTrue="1">
      <formula>BF14="0"</formula>
    </cfRule>
  </conditionalFormatting>
  <conditionalFormatting sqref="J14">
    <cfRule type="expression" dxfId="568" priority="553" stopIfTrue="1">
      <formula>AND(NOT($C14=""),J14="")</formula>
    </cfRule>
    <cfRule type="expression" dxfId="567" priority="554" stopIfTrue="1">
      <formula>BK14="0"</formula>
    </cfRule>
  </conditionalFormatting>
  <conditionalFormatting sqref="K14">
    <cfRule type="expression" dxfId="566" priority="551" stopIfTrue="1">
      <formula>AND(NOT($C14=""),K14="")</formula>
    </cfRule>
    <cfRule type="expression" dxfId="565" priority="552" stopIfTrue="1">
      <formula>BP14="0"</formula>
    </cfRule>
  </conditionalFormatting>
  <conditionalFormatting sqref="L14">
    <cfRule type="expression" dxfId="564" priority="549" stopIfTrue="1">
      <formula>AND(NOT($C14=""),L14="")</formula>
    </cfRule>
    <cfRule type="expression" dxfId="563" priority="550" stopIfTrue="1">
      <formula>BU14="0"</formula>
    </cfRule>
  </conditionalFormatting>
  <conditionalFormatting sqref="N14">
    <cfRule type="expression" dxfId="562" priority="547" stopIfTrue="1">
      <formula>AND(NOT($C14=""),N14="")</formula>
    </cfRule>
    <cfRule type="expression" dxfId="561" priority="548" stopIfTrue="1">
      <formula>CE14="0"</formula>
    </cfRule>
  </conditionalFormatting>
  <conditionalFormatting sqref="M14">
    <cfRule type="expression" dxfId="560" priority="546" stopIfTrue="1">
      <formula>BZ14="0"</formula>
    </cfRule>
  </conditionalFormatting>
  <conditionalFormatting sqref="D14">
    <cfRule type="expression" dxfId="559" priority="544" stopIfTrue="1">
      <formula>AND(NOT($C14=""),D14="")</formula>
    </cfRule>
    <cfRule type="expression" dxfId="558" priority="545" stopIfTrue="1">
      <formula>AG14="0"</formula>
    </cfRule>
  </conditionalFormatting>
  <conditionalFormatting sqref="E14">
    <cfRule type="expression" dxfId="557" priority="542" stopIfTrue="1">
      <formula>AND(NOT($C14=""),E14="")</formula>
    </cfRule>
    <cfRule type="expression" dxfId="556" priority="543" stopIfTrue="1">
      <formula>AL14="0"</formula>
    </cfRule>
  </conditionalFormatting>
  <conditionalFormatting sqref="F14">
    <cfRule type="expression" dxfId="555" priority="540" stopIfTrue="1">
      <formula>AND(NOT($C14=""),F14="")</formula>
    </cfRule>
    <cfRule type="expression" dxfId="554" priority="541" stopIfTrue="1">
      <formula>AQ14="0"</formula>
    </cfRule>
  </conditionalFormatting>
  <conditionalFormatting sqref="G14">
    <cfRule type="expression" dxfId="553" priority="538" stopIfTrue="1">
      <formula>AND(NOT($C14=""),G14="")</formula>
    </cfRule>
    <cfRule type="expression" dxfId="552" priority="539" stopIfTrue="1">
      <formula>AV14="0"</formula>
    </cfRule>
  </conditionalFormatting>
  <conditionalFormatting sqref="H14">
    <cfRule type="expression" dxfId="551" priority="536" stopIfTrue="1">
      <formula>AND(NOT($C14=""),H14="")</formula>
    </cfRule>
    <cfRule type="expression" dxfId="550" priority="537" stopIfTrue="1">
      <formula>BA14="0"</formula>
    </cfRule>
  </conditionalFormatting>
  <conditionalFormatting sqref="I14">
    <cfRule type="expression" dxfId="549" priority="534" stopIfTrue="1">
      <formula>AND(NOT($C14=""),I14="")</formula>
    </cfRule>
    <cfRule type="expression" dxfId="548" priority="535" stopIfTrue="1">
      <formula>BF14="0"</formula>
    </cfRule>
  </conditionalFormatting>
  <conditionalFormatting sqref="J14">
    <cfRule type="expression" dxfId="547" priority="532" stopIfTrue="1">
      <formula>AND(NOT($C14=""),J14="")</formula>
    </cfRule>
    <cfRule type="expression" dxfId="546" priority="533" stopIfTrue="1">
      <formula>BK14="0"</formula>
    </cfRule>
  </conditionalFormatting>
  <conditionalFormatting sqref="K14">
    <cfRule type="expression" dxfId="545" priority="530" stopIfTrue="1">
      <formula>AND(NOT($C14=""),K14="")</formula>
    </cfRule>
    <cfRule type="expression" dxfId="544" priority="531" stopIfTrue="1">
      <formula>BP14="0"</formula>
    </cfRule>
  </conditionalFormatting>
  <conditionalFormatting sqref="L14">
    <cfRule type="expression" dxfId="543" priority="528" stopIfTrue="1">
      <formula>AND(NOT($C14=""),L14="")</formula>
    </cfRule>
    <cfRule type="expression" dxfId="542" priority="529" stopIfTrue="1">
      <formula>BU14="0"</formula>
    </cfRule>
  </conditionalFormatting>
  <conditionalFormatting sqref="N14">
    <cfRule type="expression" dxfId="541" priority="526" stopIfTrue="1">
      <formula>AND(NOT($C14=""),N14="")</formula>
    </cfRule>
    <cfRule type="expression" dxfId="540" priority="527" stopIfTrue="1">
      <formula>CE14="0"</formula>
    </cfRule>
  </conditionalFormatting>
  <conditionalFormatting sqref="M14">
    <cfRule type="expression" dxfId="539" priority="525" stopIfTrue="1">
      <formula>BZ14="0"</formula>
    </cfRule>
  </conditionalFormatting>
  <conditionalFormatting sqref="D14">
    <cfRule type="expression" dxfId="538" priority="523" stopIfTrue="1">
      <formula>AND(NOT($C14=""),D14="")</formula>
    </cfRule>
    <cfRule type="expression" dxfId="537" priority="524" stopIfTrue="1">
      <formula>AG14="0"</formula>
    </cfRule>
  </conditionalFormatting>
  <conditionalFormatting sqref="E14">
    <cfRule type="expression" dxfId="536" priority="521" stopIfTrue="1">
      <formula>AND(NOT($C14=""),E14="")</formula>
    </cfRule>
    <cfRule type="expression" dxfId="535" priority="522" stopIfTrue="1">
      <formula>AL14="0"</formula>
    </cfRule>
  </conditionalFormatting>
  <conditionalFormatting sqref="F14">
    <cfRule type="expression" dxfId="534" priority="519" stopIfTrue="1">
      <formula>AND(NOT($C14=""),F14="")</formula>
    </cfRule>
    <cfRule type="expression" dxfId="533" priority="520" stopIfTrue="1">
      <formula>AQ14="0"</formula>
    </cfRule>
  </conditionalFormatting>
  <conditionalFormatting sqref="G14">
    <cfRule type="expression" dxfId="532" priority="517" stopIfTrue="1">
      <formula>AND(NOT($C14=""),G14="")</formula>
    </cfRule>
    <cfRule type="expression" dxfId="531" priority="518" stopIfTrue="1">
      <formula>AV14="0"</formula>
    </cfRule>
  </conditionalFormatting>
  <conditionalFormatting sqref="H14">
    <cfRule type="expression" dxfId="530" priority="515" stopIfTrue="1">
      <formula>AND(NOT($C14=""),H14="")</formula>
    </cfRule>
    <cfRule type="expression" dxfId="529" priority="516" stopIfTrue="1">
      <formula>BA14="0"</formula>
    </cfRule>
  </conditionalFormatting>
  <conditionalFormatting sqref="I14">
    <cfRule type="expression" dxfId="528" priority="513" stopIfTrue="1">
      <formula>AND(NOT($C14=""),I14="")</formula>
    </cfRule>
    <cfRule type="expression" dxfId="527" priority="514" stopIfTrue="1">
      <formula>BF14="0"</formula>
    </cfRule>
  </conditionalFormatting>
  <conditionalFormatting sqref="J14">
    <cfRule type="expression" dxfId="526" priority="511" stopIfTrue="1">
      <formula>AND(NOT($C14=""),J14="")</formula>
    </cfRule>
    <cfRule type="expression" dxfId="525" priority="512" stopIfTrue="1">
      <formula>BK14="0"</formula>
    </cfRule>
  </conditionalFormatting>
  <conditionalFormatting sqref="K14">
    <cfRule type="expression" dxfId="524" priority="509" stopIfTrue="1">
      <formula>AND(NOT($C14=""),K14="")</formula>
    </cfRule>
    <cfRule type="expression" dxfId="523" priority="510" stopIfTrue="1">
      <formula>BP14="0"</formula>
    </cfRule>
  </conditionalFormatting>
  <conditionalFormatting sqref="L14">
    <cfRule type="expression" dxfId="522" priority="507" stopIfTrue="1">
      <formula>AND(NOT($C14=""),L14="")</formula>
    </cfRule>
    <cfRule type="expression" dxfId="521" priority="508" stopIfTrue="1">
      <formula>BU14="0"</formula>
    </cfRule>
  </conditionalFormatting>
  <conditionalFormatting sqref="N14">
    <cfRule type="expression" dxfId="520" priority="505" stopIfTrue="1">
      <formula>AND(NOT($C14=""),N14="")</formula>
    </cfRule>
    <cfRule type="expression" dxfId="519" priority="506" stopIfTrue="1">
      <formula>CE14="0"</formula>
    </cfRule>
  </conditionalFormatting>
  <conditionalFormatting sqref="M14">
    <cfRule type="expression" dxfId="518" priority="504" stopIfTrue="1">
      <formula>BZ14="0"</formula>
    </cfRule>
  </conditionalFormatting>
  <conditionalFormatting sqref="D14">
    <cfRule type="expression" dxfId="517" priority="502" stopIfTrue="1">
      <formula>AND(NOT($C14=""),D14="")</formula>
    </cfRule>
    <cfRule type="expression" dxfId="516" priority="503" stopIfTrue="1">
      <formula>AG14="0"</formula>
    </cfRule>
  </conditionalFormatting>
  <conditionalFormatting sqref="E14">
    <cfRule type="expression" dxfId="515" priority="500" stopIfTrue="1">
      <formula>AND(NOT($C14=""),E14="")</formula>
    </cfRule>
    <cfRule type="expression" dxfId="514" priority="501" stopIfTrue="1">
      <formula>AL14="0"</formula>
    </cfRule>
  </conditionalFormatting>
  <conditionalFormatting sqref="F14">
    <cfRule type="expression" dxfId="513" priority="498" stopIfTrue="1">
      <formula>AND(NOT($C14=""),F14="")</formula>
    </cfRule>
    <cfRule type="expression" dxfId="512" priority="499" stopIfTrue="1">
      <formula>AQ14="0"</formula>
    </cfRule>
  </conditionalFormatting>
  <conditionalFormatting sqref="G14">
    <cfRule type="expression" dxfId="511" priority="496" stopIfTrue="1">
      <formula>AND(NOT($C14=""),G14="")</formula>
    </cfRule>
    <cfRule type="expression" dxfId="510" priority="497" stopIfTrue="1">
      <formula>AV14="0"</formula>
    </cfRule>
  </conditionalFormatting>
  <conditionalFormatting sqref="H14">
    <cfRule type="expression" dxfId="509" priority="494" stopIfTrue="1">
      <formula>AND(NOT($C14=""),H14="")</formula>
    </cfRule>
    <cfRule type="expression" dxfId="508" priority="495" stopIfTrue="1">
      <formula>BA14="0"</formula>
    </cfRule>
  </conditionalFormatting>
  <conditionalFormatting sqref="I14">
    <cfRule type="expression" dxfId="507" priority="492" stopIfTrue="1">
      <formula>AND(NOT($C14=""),I14="")</formula>
    </cfRule>
    <cfRule type="expression" dxfId="506" priority="493" stopIfTrue="1">
      <formula>BF14="0"</formula>
    </cfRule>
  </conditionalFormatting>
  <conditionalFormatting sqref="J14">
    <cfRule type="expression" dxfId="505" priority="490" stopIfTrue="1">
      <formula>AND(NOT($C14=""),J14="")</formula>
    </cfRule>
    <cfRule type="expression" dxfId="504" priority="491" stopIfTrue="1">
      <formula>BK14="0"</formula>
    </cfRule>
  </conditionalFormatting>
  <conditionalFormatting sqref="K14">
    <cfRule type="expression" dxfId="503" priority="488" stopIfTrue="1">
      <formula>AND(NOT($C14=""),K14="")</formula>
    </cfRule>
    <cfRule type="expression" dxfId="502" priority="489" stopIfTrue="1">
      <formula>BP14="0"</formula>
    </cfRule>
  </conditionalFormatting>
  <conditionalFormatting sqref="L14">
    <cfRule type="expression" dxfId="501" priority="486" stopIfTrue="1">
      <formula>AND(NOT($C14=""),L14="")</formula>
    </cfRule>
    <cfRule type="expression" dxfId="500" priority="487" stopIfTrue="1">
      <formula>BU14="0"</formula>
    </cfRule>
  </conditionalFormatting>
  <conditionalFormatting sqref="N14">
    <cfRule type="expression" dxfId="499" priority="484" stopIfTrue="1">
      <formula>AND(NOT($C14=""),N14="")</formula>
    </cfRule>
    <cfRule type="expression" dxfId="498" priority="485" stopIfTrue="1">
      <formula>CE14="0"</formula>
    </cfRule>
  </conditionalFormatting>
  <conditionalFormatting sqref="M14">
    <cfRule type="expression" dxfId="497" priority="483" stopIfTrue="1">
      <formula>BZ14="0"</formula>
    </cfRule>
  </conditionalFormatting>
  <conditionalFormatting sqref="D14">
    <cfRule type="expression" dxfId="496" priority="481" stopIfTrue="1">
      <formula>AND(NOT($C14=""),D14="")</formula>
    </cfRule>
    <cfRule type="expression" dxfId="495" priority="482" stopIfTrue="1">
      <formula>AG14="0"</formula>
    </cfRule>
  </conditionalFormatting>
  <conditionalFormatting sqref="E14">
    <cfRule type="expression" dxfId="494" priority="479" stopIfTrue="1">
      <formula>AND(NOT($C14=""),E14="")</formula>
    </cfRule>
    <cfRule type="expression" dxfId="493" priority="480" stopIfTrue="1">
      <formula>AL14="0"</formula>
    </cfRule>
  </conditionalFormatting>
  <conditionalFormatting sqref="F14">
    <cfRule type="expression" dxfId="492" priority="477" stopIfTrue="1">
      <formula>AND(NOT($C14=""),F14="")</formula>
    </cfRule>
    <cfRule type="expression" dxfId="491" priority="478" stopIfTrue="1">
      <formula>AQ14="0"</formula>
    </cfRule>
  </conditionalFormatting>
  <conditionalFormatting sqref="G14">
    <cfRule type="expression" dxfId="490" priority="475" stopIfTrue="1">
      <formula>AND(NOT($C14=""),G14="")</formula>
    </cfRule>
    <cfRule type="expression" dxfId="489" priority="476" stopIfTrue="1">
      <formula>AV14="0"</formula>
    </cfRule>
  </conditionalFormatting>
  <conditionalFormatting sqref="H14">
    <cfRule type="expression" dxfId="488" priority="473" stopIfTrue="1">
      <formula>AND(NOT($C14=""),H14="")</formula>
    </cfRule>
    <cfRule type="expression" dxfId="487" priority="474" stopIfTrue="1">
      <formula>BA14="0"</formula>
    </cfRule>
  </conditionalFormatting>
  <conditionalFormatting sqref="I14">
    <cfRule type="expression" dxfId="486" priority="471" stopIfTrue="1">
      <formula>AND(NOT($C14=""),I14="")</formula>
    </cfRule>
    <cfRule type="expression" dxfId="485" priority="472" stopIfTrue="1">
      <formula>BF14="0"</formula>
    </cfRule>
  </conditionalFormatting>
  <conditionalFormatting sqref="J14">
    <cfRule type="expression" dxfId="484" priority="469" stopIfTrue="1">
      <formula>AND(NOT($C14=""),J14="")</formula>
    </cfRule>
    <cfRule type="expression" dxfId="483" priority="470" stopIfTrue="1">
      <formula>BK14="0"</formula>
    </cfRule>
  </conditionalFormatting>
  <conditionalFormatting sqref="K14">
    <cfRule type="expression" dxfId="482" priority="467" stopIfTrue="1">
      <formula>AND(NOT($C14=""),K14="")</formula>
    </cfRule>
    <cfRule type="expression" dxfId="481" priority="468" stopIfTrue="1">
      <formula>BP14="0"</formula>
    </cfRule>
  </conditionalFormatting>
  <conditionalFormatting sqref="L14">
    <cfRule type="expression" dxfId="480" priority="465" stopIfTrue="1">
      <formula>AND(NOT($C14=""),L14="")</formula>
    </cfRule>
    <cfRule type="expression" dxfId="479" priority="466" stopIfTrue="1">
      <formula>BU14="0"</formula>
    </cfRule>
  </conditionalFormatting>
  <conditionalFormatting sqref="N14">
    <cfRule type="expression" dxfId="478" priority="463" stopIfTrue="1">
      <formula>AND(NOT($C14=""),N14="")</formula>
    </cfRule>
    <cfRule type="expression" dxfId="477" priority="464" stopIfTrue="1">
      <formula>CE14="0"</formula>
    </cfRule>
  </conditionalFormatting>
  <conditionalFormatting sqref="M14">
    <cfRule type="expression" dxfId="476" priority="462" stopIfTrue="1">
      <formula>BZ14="0"</formula>
    </cfRule>
  </conditionalFormatting>
  <conditionalFormatting sqref="D14">
    <cfRule type="expression" dxfId="475" priority="460" stopIfTrue="1">
      <formula>AND(NOT($C14=""),D14="")</formula>
    </cfRule>
    <cfRule type="expression" dxfId="474" priority="461" stopIfTrue="1">
      <formula>AG14="0"</formula>
    </cfRule>
  </conditionalFormatting>
  <conditionalFormatting sqref="E14">
    <cfRule type="expression" dxfId="473" priority="458" stopIfTrue="1">
      <formula>AND(NOT($C14=""),E14="")</formula>
    </cfRule>
    <cfRule type="expression" dxfId="472" priority="459" stopIfTrue="1">
      <formula>AL14="0"</formula>
    </cfRule>
  </conditionalFormatting>
  <conditionalFormatting sqref="F14">
    <cfRule type="expression" dxfId="471" priority="456" stopIfTrue="1">
      <formula>AND(NOT($C14=""),F14="")</formula>
    </cfRule>
    <cfRule type="expression" dxfId="470" priority="457" stopIfTrue="1">
      <formula>AQ14="0"</formula>
    </cfRule>
  </conditionalFormatting>
  <conditionalFormatting sqref="G14">
    <cfRule type="expression" dxfId="469" priority="454" stopIfTrue="1">
      <formula>AND(NOT($C14=""),G14="")</formula>
    </cfRule>
    <cfRule type="expression" dxfId="468" priority="455" stopIfTrue="1">
      <formula>AV14="0"</formula>
    </cfRule>
  </conditionalFormatting>
  <conditionalFormatting sqref="H14">
    <cfRule type="expression" dxfId="467" priority="452" stopIfTrue="1">
      <formula>AND(NOT($C14=""),H14="")</formula>
    </cfRule>
    <cfRule type="expression" dxfId="466" priority="453" stopIfTrue="1">
      <formula>BA14="0"</formula>
    </cfRule>
  </conditionalFormatting>
  <conditionalFormatting sqref="I14">
    <cfRule type="expression" dxfId="465" priority="450" stopIfTrue="1">
      <formula>AND(NOT($C14=""),I14="")</formula>
    </cfRule>
    <cfRule type="expression" dxfId="464" priority="451" stopIfTrue="1">
      <formula>BF14="0"</formula>
    </cfRule>
  </conditionalFormatting>
  <conditionalFormatting sqref="J14">
    <cfRule type="expression" dxfId="463" priority="448" stopIfTrue="1">
      <formula>AND(NOT($C14=""),J14="")</formula>
    </cfRule>
    <cfRule type="expression" dxfId="462" priority="449" stopIfTrue="1">
      <formula>BK14="0"</formula>
    </cfRule>
  </conditionalFormatting>
  <conditionalFormatting sqref="K14">
    <cfRule type="expression" dxfId="461" priority="446" stopIfTrue="1">
      <formula>AND(NOT($C14=""),K14="")</formula>
    </cfRule>
    <cfRule type="expression" dxfId="460" priority="447" stopIfTrue="1">
      <formula>BP14="0"</formula>
    </cfRule>
  </conditionalFormatting>
  <conditionalFormatting sqref="L14">
    <cfRule type="expression" dxfId="459" priority="444" stopIfTrue="1">
      <formula>AND(NOT($C14=""),L14="")</formula>
    </cfRule>
    <cfRule type="expression" dxfId="458" priority="445" stopIfTrue="1">
      <formula>BU14="0"</formula>
    </cfRule>
  </conditionalFormatting>
  <conditionalFormatting sqref="N14">
    <cfRule type="expression" dxfId="457" priority="442" stopIfTrue="1">
      <formula>AND(NOT($C14=""),N14="")</formula>
    </cfRule>
    <cfRule type="expression" dxfId="456" priority="443" stopIfTrue="1">
      <formula>CE14="0"</formula>
    </cfRule>
  </conditionalFormatting>
  <conditionalFormatting sqref="M14">
    <cfRule type="expression" dxfId="455" priority="441" stopIfTrue="1">
      <formula>BZ14="0"</formula>
    </cfRule>
  </conditionalFormatting>
  <conditionalFormatting sqref="D14">
    <cfRule type="expression" dxfId="454" priority="439" stopIfTrue="1">
      <formula>AND(NOT($C14=""),D14="")</formula>
    </cfRule>
    <cfRule type="expression" dxfId="453" priority="440" stopIfTrue="1">
      <formula>AG14="0"</formula>
    </cfRule>
  </conditionalFormatting>
  <conditionalFormatting sqref="E14">
    <cfRule type="expression" dxfId="452" priority="437" stopIfTrue="1">
      <formula>AND(NOT($C14=""),E14="")</formula>
    </cfRule>
    <cfRule type="expression" dxfId="451" priority="438" stopIfTrue="1">
      <formula>AL14="0"</formula>
    </cfRule>
  </conditionalFormatting>
  <conditionalFormatting sqref="F14">
    <cfRule type="expression" dxfId="450" priority="435" stopIfTrue="1">
      <formula>AND(NOT($C14=""),F14="")</formula>
    </cfRule>
    <cfRule type="expression" dxfId="449" priority="436" stopIfTrue="1">
      <formula>AQ14="0"</formula>
    </cfRule>
  </conditionalFormatting>
  <conditionalFormatting sqref="G14">
    <cfRule type="expression" dxfId="448" priority="433" stopIfTrue="1">
      <formula>AND(NOT($C14=""),G14="")</formula>
    </cfRule>
    <cfRule type="expression" dxfId="447" priority="434" stopIfTrue="1">
      <formula>AV14="0"</formula>
    </cfRule>
  </conditionalFormatting>
  <conditionalFormatting sqref="H14">
    <cfRule type="expression" dxfId="446" priority="431" stopIfTrue="1">
      <formula>AND(NOT($C14=""),H14="")</formula>
    </cfRule>
    <cfRule type="expression" dxfId="445" priority="432" stopIfTrue="1">
      <formula>BA14="0"</formula>
    </cfRule>
  </conditionalFormatting>
  <conditionalFormatting sqref="I14">
    <cfRule type="expression" dxfId="444" priority="429" stopIfTrue="1">
      <formula>AND(NOT($C14=""),I14="")</formula>
    </cfRule>
    <cfRule type="expression" dxfId="443" priority="430" stopIfTrue="1">
      <formula>BF14="0"</formula>
    </cfRule>
  </conditionalFormatting>
  <conditionalFormatting sqref="J14">
    <cfRule type="expression" dxfId="442" priority="427" stopIfTrue="1">
      <formula>AND(NOT($C14=""),J14="")</formula>
    </cfRule>
    <cfRule type="expression" dxfId="441" priority="428" stopIfTrue="1">
      <formula>BK14="0"</formula>
    </cfRule>
  </conditionalFormatting>
  <conditionalFormatting sqref="K14">
    <cfRule type="expression" dxfId="440" priority="425" stopIfTrue="1">
      <formula>AND(NOT($C14=""),K14="")</formula>
    </cfRule>
    <cfRule type="expression" dxfId="439" priority="426" stopIfTrue="1">
      <formula>BP14="0"</formula>
    </cfRule>
  </conditionalFormatting>
  <conditionalFormatting sqref="L14">
    <cfRule type="expression" dxfId="438" priority="423" stopIfTrue="1">
      <formula>AND(NOT($C14=""),L14="")</formula>
    </cfRule>
    <cfRule type="expression" dxfId="437" priority="424" stopIfTrue="1">
      <formula>BU14="0"</formula>
    </cfRule>
  </conditionalFormatting>
  <conditionalFormatting sqref="N14">
    <cfRule type="expression" dxfId="436" priority="421" stopIfTrue="1">
      <formula>AND(NOT($C14=""),N14="")</formula>
    </cfRule>
    <cfRule type="expression" dxfId="435" priority="422" stopIfTrue="1">
      <formula>CE14="0"</formula>
    </cfRule>
  </conditionalFormatting>
  <conditionalFormatting sqref="M14">
    <cfRule type="expression" dxfId="434" priority="420" stopIfTrue="1">
      <formula>BZ14="0"</formula>
    </cfRule>
  </conditionalFormatting>
  <conditionalFormatting sqref="D14">
    <cfRule type="expression" dxfId="433" priority="418" stopIfTrue="1">
      <formula>AND(NOT($C14=""),D14="")</formula>
    </cfRule>
    <cfRule type="expression" dxfId="432" priority="419" stopIfTrue="1">
      <formula>AG14="0"</formula>
    </cfRule>
  </conditionalFormatting>
  <conditionalFormatting sqref="E14">
    <cfRule type="expression" dxfId="431" priority="416" stopIfTrue="1">
      <formula>AND(NOT($C14=""),E14="")</formula>
    </cfRule>
    <cfRule type="expression" dxfId="430" priority="417" stopIfTrue="1">
      <formula>AL14="0"</formula>
    </cfRule>
  </conditionalFormatting>
  <conditionalFormatting sqref="F14">
    <cfRule type="expression" dxfId="429" priority="414" stopIfTrue="1">
      <formula>AND(NOT($C14=""),F14="")</formula>
    </cfRule>
    <cfRule type="expression" dxfId="428" priority="415" stopIfTrue="1">
      <formula>AQ14="0"</formula>
    </cfRule>
  </conditionalFormatting>
  <conditionalFormatting sqref="G14">
    <cfRule type="expression" dxfId="427" priority="412" stopIfTrue="1">
      <formula>AND(NOT($C14=""),G14="")</formula>
    </cfRule>
    <cfRule type="expression" dxfId="426" priority="413" stopIfTrue="1">
      <formula>AV14="0"</formula>
    </cfRule>
  </conditionalFormatting>
  <conditionalFormatting sqref="H14">
    <cfRule type="expression" dxfId="425" priority="410" stopIfTrue="1">
      <formula>AND(NOT($C14=""),H14="")</formula>
    </cfRule>
    <cfRule type="expression" dxfId="424" priority="411" stopIfTrue="1">
      <formula>BA14="0"</formula>
    </cfRule>
  </conditionalFormatting>
  <conditionalFormatting sqref="I14">
    <cfRule type="expression" dxfId="423" priority="408" stopIfTrue="1">
      <formula>AND(NOT($C14=""),I14="")</formula>
    </cfRule>
    <cfRule type="expression" dxfId="422" priority="409" stopIfTrue="1">
      <formula>BF14="0"</formula>
    </cfRule>
  </conditionalFormatting>
  <conditionalFormatting sqref="J14">
    <cfRule type="expression" dxfId="421" priority="406" stopIfTrue="1">
      <formula>AND(NOT($C14=""),J14="")</formula>
    </cfRule>
    <cfRule type="expression" dxfId="420" priority="407" stopIfTrue="1">
      <formula>BK14="0"</formula>
    </cfRule>
  </conditionalFormatting>
  <conditionalFormatting sqref="K14">
    <cfRule type="expression" dxfId="419" priority="404" stopIfTrue="1">
      <formula>AND(NOT($C14=""),K14="")</formula>
    </cfRule>
    <cfRule type="expression" dxfId="418" priority="405" stopIfTrue="1">
      <formula>BP14="0"</formula>
    </cfRule>
  </conditionalFormatting>
  <conditionalFormatting sqref="L14">
    <cfRule type="expression" dxfId="417" priority="402" stopIfTrue="1">
      <formula>AND(NOT($C14=""),L14="")</formula>
    </cfRule>
    <cfRule type="expression" dxfId="416" priority="403" stopIfTrue="1">
      <formula>BU14="0"</formula>
    </cfRule>
  </conditionalFormatting>
  <conditionalFormatting sqref="N14">
    <cfRule type="expression" dxfId="415" priority="400" stopIfTrue="1">
      <formula>AND(NOT($C14=""),N14="")</formula>
    </cfRule>
    <cfRule type="expression" dxfId="414" priority="401" stopIfTrue="1">
      <formula>CE14="0"</formula>
    </cfRule>
  </conditionalFormatting>
  <conditionalFormatting sqref="M14">
    <cfRule type="expression" dxfId="413" priority="399" stopIfTrue="1">
      <formula>BZ14="0"</formula>
    </cfRule>
  </conditionalFormatting>
  <conditionalFormatting sqref="D14">
    <cfRule type="expression" dxfId="412" priority="397" stopIfTrue="1">
      <formula>AND(NOT($C14=""),D14="")</formula>
    </cfRule>
    <cfRule type="expression" dxfId="411" priority="398" stopIfTrue="1">
      <formula>AG14="0"</formula>
    </cfRule>
  </conditionalFormatting>
  <conditionalFormatting sqref="E14">
    <cfRule type="expression" dxfId="410" priority="395" stopIfTrue="1">
      <formula>AND(NOT($C14=""),E14="")</formula>
    </cfRule>
    <cfRule type="expression" dxfId="409" priority="396" stopIfTrue="1">
      <formula>AL14="0"</formula>
    </cfRule>
  </conditionalFormatting>
  <conditionalFormatting sqref="F14">
    <cfRule type="expression" dxfId="408" priority="393" stopIfTrue="1">
      <formula>AND(NOT($C14=""),F14="")</formula>
    </cfRule>
    <cfRule type="expression" dxfId="407" priority="394" stopIfTrue="1">
      <formula>AQ14="0"</formula>
    </cfRule>
  </conditionalFormatting>
  <conditionalFormatting sqref="G14">
    <cfRule type="expression" dxfId="406" priority="391" stopIfTrue="1">
      <formula>AND(NOT($C14=""),G14="")</formula>
    </cfRule>
    <cfRule type="expression" dxfId="405" priority="392" stopIfTrue="1">
      <formula>AV14="0"</formula>
    </cfRule>
  </conditionalFormatting>
  <conditionalFormatting sqref="H14">
    <cfRule type="expression" dxfId="404" priority="389" stopIfTrue="1">
      <formula>AND(NOT($C14=""),H14="")</formula>
    </cfRule>
    <cfRule type="expression" dxfId="403" priority="390" stopIfTrue="1">
      <formula>BA14="0"</formula>
    </cfRule>
  </conditionalFormatting>
  <conditionalFormatting sqref="I14">
    <cfRule type="expression" dxfId="402" priority="387" stopIfTrue="1">
      <formula>AND(NOT($C14=""),I14="")</formula>
    </cfRule>
    <cfRule type="expression" dxfId="401" priority="388" stopIfTrue="1">
      <formula>BF14="0"</formula>
    </cfRule>
  </conditionalFormatting>
  <conditionalFormatting sqref="J14">
    <cfRule type="expression" dxfId="400" priority="385" stopIfTrue="1">
      <formula>AND(NOT($C14=""),J14="")</formula>
    </cfRule>
    <cfRule type="expression" dxfId="399" priority="386" stopIfTrue="1">
      <formula>BK14="0"</formula>
    </cfRule>
  </conditionalFormatting>
  <conditionalFormatting sqref="K14">
    <cfRule type="expression" dxfId="398" priority="383" stopIfTrue="1">
      <formula>AND(NOT($C14=""),K14="")</formula>
    </cfRule>
    <cfRule type="expression" dxfId="397" priority="384" stopIfTrue="1">
      <formula>BP14="0"</formula>
    </cfRule>
  </conditionalFormatting>
  <conditionalFormatting sqref="L14">
    <cfRule type="expression" dxfId="396" priority="381" stopIfTrue="1">
      <formula>AND(NOT($C14=""),L14="")</formula>
    </cfRule>
    <cfRule type="expression" dxfId="395" priority="382" stopIfTrue="1">
      <formula>BU14="0"</formula>
    </cfRule>
  </conditionalFormatting>
  <conditionalFormatting sqref="N14">
    <cfRule type="expression" dxfId="394" priority="379" stopIfTrue="1">
      <formula>AND(NOT($C14=""),N14="")</formula>
    </cfRule>
    <cfRule type="expression" dxfId="393" priority="380" stopIfTrue="1">
      <formula>CE14="0"</formula>
    </cfRule>
  </conditionalFormatting>
  <conditionalFormatting sqref="M14">
    <cfRule type="expression" dxfId="392" priority="378" stopIfTrue="1">
      <formula>BZ14="0"</formula>
    </cfRule>
  </conditionalFormatting>
  <conditionalFormatting sqref="D14">
    <cfRule type="expression" dxfId="391" priority="376" stopIfTrue="1">
      <formula>AND(NOT($C14=""),D14="")</formula>
    </cfRule>
    <cfRule type="expression" dxfId="390" priority="377" stopIfTrue="1">
      <formula>AG14="0"</formula>
    </cfRule>
  </conditionalFormatting>
  <conditionalFormatting sqref="E14">
    <cfRule type="expression" dxfId="389" priority="374" stopIfTrue="1">
      <formula>AND(NOT($C14=""),E14="")</formula>
    </cfRule>
    <cfRule type="expression" dxfId="388" priority="375" stopIfTrue="1">
      <formula>AL14="0"</formula>
    </cfRule>
  </conditionalFormatting>
  <conditionalFormatting sqref="F14">
    <cfRule type="expression" dxfId="387" priority="372" stopIfTrue="1">
      <formula>AND(NOT($C14=""),F14="")</formula>
    </cfRule>
    <cfRule type="expression" dxfId="386" priority="373" stopIfTrue="1">
      <formula>AQ14="0"</formula>
    </cfRule>
  </conditionalFormatting>
  <conditionalFormatting sqref="G14">
    <cfRule type="expression" dxfId="385" priority="370" stopIfTrue="1">
      <formula>AND(NOT($C14=""),G14="")</formula>
    </cfRule>
    <cfRule type="expression" dxfId="384" priority="371" stopIfTrue="1">
      <formula>AV14="0"</formula>
    </cfRule>
  </conditionalFormatting>
  <conditionalFormatting sqref="H14">
    <cfRule type="expression" dxfId="383" priority="368" stopIfTrue="1">
      <formula>AND(NOT($C14=""),H14="")</formula>
    </cfRule>
    <cfRule type="expression" dxfId="382" priority="369" stopIfTrue="1">
      <formula>BA14="0"</formula>
    </cfRule>
  </conditionalFormatting>
  <conditionalFormatting sqref="I14">
    <cfRule type="expression" dxfId="381" priority="366" stopIfTrue="1">
      <formula>AND(NOT($C14=""),I14="")</formula>
    </cfRule>
    <cfRule type="expression" dxfId="380" priority="367" stopIfTrue="1">
      <formula>BF14="0"</formula>
    </cfRule>
  </conditionalFormatting>
  <conditionalFormatting sqref="J14">
    <cfRule type="expression" dxfId="379" priority="364" stopIfTrue="1">
      <formula>AND(NOT($C14=""),J14="")</formula>
    </cfRule>
    <cfRule type="expression" dxfId="378" priority="365" stopIfTrue="1">
      <formula>BK14="0"</formula>
    </cfRule>
  </conditionalFormatting>
  <conditionalFormatting sqref="K14">
    <cfRule type="expression" dxfId="377" priority="362" stopIfTrue="1">
      <formula>AND(NOT($C14=""),K14="")</formula>
    </cfRule>
    <cfRule type="expression" dxfId="376" priority="363" stopIfTrue="1">
      <formula>BP14="0"</formula>
    </cfRule>
  </conditionalFormatting>
  <conditionalFormatting sqref="L14">
    <cfRule type="expression" dxfId="375" priority="360" stopIfTrue="1">
      <formula>AND(NOT($C14=""),L14="")</formula>
    </cfRule>
    <cfRule type="expression" dxfId="374" priority="361" stopIfTrue="1">
      <formula>BU14="0"</formula>
    </cfRule>
  </conditionalFormatting>
  <conditionalFormatting sqref="N14">
    <cfRule type="expression" dxfId="373" priority="358" stopIfTrue="1">
      <formula>AND(NOT($C14=""),N14="")</formula>
    </cfRule>
    <cfRule type="expression" dxfId="372" priority="359" stopIfTrue="1">
      <formula>CE14="0"</formula>
    </cfRule>
  </conditionalFormatting>
  <conditionalFormatting sqref="M14">
    <cfRule type="expression" dxfId="371" priority="357" stopIfTrue="1">
      <formula>BZ14="0"</formula>
    </cfRule>
  </conditionalFormatting>
  <conditionalFormatting sqref="D14">
    <cfRule type="expression" dxfId="370" priority="355" stopIfTrue="1">
      <formula>AND(NOT($C14=""),D14="")</formula>
    </cfRule>
    <cfRule type="expression" dxfId="369" priority="356" stopIfTrue="1">
      <formula>AG14="0"</formula>
    </cfRule>
  </conditionalFormatting>
  <conditionalFormatting sqref="E14">
    <cfRule type="expression" dxfId="368" priority="353" stopIfTrue="1">
      <formula>AND(NOT($C14=""),E14="")</formula>
    </cfRule>
    <cfRule type="expression" dxfId="367" priority="354" stopIfTrue="1">
      <formula>AL14="0"</formula>
    </cfRule>
  </conditionalFormatting>
  <conditionalFormatting sqref="F14">
    <cfRule type="expression" dxfId="366" priority="351" stopIfTrue="1">
      <formula>AND(NOT($C14=""),F14="")</formula>
    </cfRule>
    <cfRule type="expression" dxfId="365" priority="352" stopIfTrue="1">
      <formula>AQ14="0"</formula>
    </cfRule>
  </conditionalFormatting>
  <conditionalFormatting sqref="G14">
    <cfRule type="expression" dxfId="364" priority="349" stopIfTrue="1">
      <formula>AND(NOT($C14=""),G14="")</formula>
    </cfRule>
    <cfRule type="expression" dxfId="363" priority="350" stopIfTrue="1">
      <formula>AV14="0"</formula>
    </cfRule>
  </conditionalFormatting>
  <conditionalFormatting sqref="H14">
    <cfRule type="expression" dxfId="362" priority="347" stopIfTrue="1">
      <formula>AND(NOT($C14=""),H14="")</formula>
    </cfRule>
    <cfRule type="expression" dxfId="361" priority="348" stopIfTrue="1">
      <formula>BA14="0"</formula>
    </cfRule>
  </conditionalFormatting>
  <conditionalFormatting sqref="I14">
    <cfRule type="expression" dxfId="360" priority="345" stopIfTrue="1">
      <formula>AND(NOT($C14=""),I14="")</formula>
    </cfRule>
    <cfRule type="expression" dxfId="359" priority="346" stopIfTrue="1">
      <formula>BF14="0"</formula>
    </cfRule>
  </conditionalFormatting>
  <conditionalFormatting sqref="J14">
    <cfRule type="expression" dxfId="358" priority="343" stopIfTrue="1">
      <formula>AND(NOT($C14=""),J14="")</formula>
    </cfRule>
    <cfRule type="expression" dxfId="357" priority="344" stopIfTrue="1">
      <formula>BK14="0"</formula>
    </cfRule>
  </conditionalFormatting>
  <conditionalFormatting sqref="K14">
    <cfRule type="expression" dxfId="356" priority="341" stopIfTrue="1">
      <formula>AND(NOT($C14=""),K14="")</formula>
    </cfRule>
    <cfRule type="expression" dxfId="355" priority="342" stopIfTrue="1">
      <formula>BP14="0"</formula>
    </cfRule>
  </conditionalFormatting>
  <conditionalFormatting sqref="L14">
    <cfRule type="expression" dxfId="354" priority="339" stopIfTrue="1">
      <formula>AND(NOT($C14=""),L14="")</formula>
    </cfRule>
    <cfRule type="expression" dxfId="353" priority="340" stopIfTrue="1">
      <formula>BU14="0"</formula>
    </cfRule>
  </conditionalFormatting>
  <conditionalFormatting sqref="N14">
    <cfRule type="expression" dxfId="352" priority="337" stopIfTrue="1">
      <formula>AND(NOT($C14=""),N14="")</formula>
    </cfRule>
    <cfRule type="expression" dxfId="351" priority="338" stopIfTrue="1">
      <formula>CE14="0"</formula>
    </cfRule>
  </conditionalFormatting>
  <conditionalFormatting sqref="M14">
    <cfRule type="expression" dxfId="350" priority="336" stopIfTrue="1">
      <formula>BZ14="0"</formula>
    </cfRule>
  </conditionalFormatting>
  <conditionalFormatting sqref="D14">
    <cfRule type="expression" dxfId="349" priority="334" stopIfTrue="1">
      <formula>AND(NOT($C14=""),D14="")</formula>
    </cfRule>
    <cfRule type="expression" dxfId="348" priority="335" stopIfTrue="1">
      <formula>AG14="0"</formula>
    </cfRule>
  </conditionalFormatting>
  <conditionalFormatting sqref="E14">
    <cfRule type="expression" dxfId="347" priority="332" stopIfTrue="1">
      <formula>AND(NOT($C14=""),E14="")</formula>
    </cfRule>
    <cfRule type="expression" dxfId="346" priority="333" stopIfTrue="1">
      <formula>AL14="0"</formula>
    </cfRule>
  </conditionalFormatting>
  <conditionalFormatting sqref="F14">
    <cfRule type="expression" dxfId="345" priority="330" stopIfTrue="1">
      <formula>AND(NOT($C14=""),F14="")</formula>
    </cfRule>
    <cfRule type="expression" dxfId="344" priority="331" stopIfTrue="1">
      <formula>AQ14="0"</formula>
    </cfRule>
  </conditionalFormatting>
  <conditionalFormatting sqref="G14">
    <cfRule type="expression" dxfId="343" priority="328" stopIfTrue="1">
      <formula>AND(NOT($C14=""),G14="")</formula>
    </cfRule>
    <cfRule type="expression" dxfId="342" priority="329" stopIfTrue="1">
      <formula>AV14="0"</formula>
    </cfRule>
  </conditionalFormatting>
  <conditionalFormatting sqref="H14">
    <cfRule type="expression" dxfId="341" priority="326" stopIfTrue="1">
      <formula>AND(NOT($C14=""),H14="")</formula>
    </cfRule>
    <cfRule type="expression" dxfId="340" priority="327" stopIfTrue="1">
      <formula>BA14="0"</formula>
    </cfRule>
  </conditionalFormatting>
  <conditionalFormatting sqref="I14">
    <cfRule type="expression" dxfId="339" priority="324" stopIfTrue="1">
      <formula>AND(NOT($C14=""),I14="")</formula>
    </cfRule>
    <cfRule type="expression" dxfId="338" priority="325" stopIfTrue="1">
      <formula>BF14="0"</formula>
    </cfRule>
  </conditionalFormatting>
  <conditionalFormatting sqref="J14">
    <cfRule type="expression" dxfId="337" priority="322" stopIfTrue="1">
      <formula>AND(NOT($C14=""),J14="")</formula>
    </cfRule>
    <cfRule type="expression" dxfId="336" priority="323" stopIfTrue="1">
      <formula>BK14="0"</formula>
    </cfRule>
  </conditionalFormatting>
  <conditionalFormatting sqref="K14">
    <cfRule type="expression" dxfId="335" priority="320" stopIfTrue="1">
      <formula>AND(NOT($C14=""),K14="")</formula>
    </cfRule>
    <cfRule type="expression" dxfId="334" priority="321" stopIfTrue="1">
      <formula>BP14="0"</formula>
    </cfRule>
  </conditionalFormatting>
  <conditionalFormatting sqref="L14">
    <cfRule type="expression" dxfId="333" priority="318" stopIfTrue="1">
      <formula>AND(NOT($C14=""),L14="")</formula>
    </cfRule>
    <cfRule type="expression" dxfId="332" priority="319" stopIfTrue="1">
      <formula>BU14="0"</formula>
    </cfRule>
  </conditionalFormatting>
  <conditionalFormatting sqref="N14">
    <cfRule type="expression" dxfId="331" priority="316" stopIfTrue="1">
      <formula>AND(NOT($C14=""),N14="")</formula>
    </cfRule>
    <cfRule type="expression" dxfId="330" priority="317" stopIfTrue="1">
      <formula>CE14="0"</formula>
    </cfRule>
  </conditionalFormatting>
  <conditionalFormatting sqref="M14">
    <cfRule type="expression" dxfId="329" priority="315" stopIfTrue="1">
      <formula>BZ14="0"</formula>
    </cfRule>
  </conditionalFormatting>
  <conditionalFormatting sqref="D14">
    <cfRule type="expression" dxfId="328" priority="313" stopIfTrue="1">
      <formula>AND(NOT($C14=""),D14="")</formula>
    </cfRule>
    <cfRule type="expression" dxfId="327" priority="314" stopIfTrue="1">
      <formula>AG14="0"</formula>
    </cfRule>
  </conditionalFormatting>
  <conditionalFormatting sqref="E14">
    <cfRule type="expression" dxfId="326" priority="311" stopIfTrue="1">
      <formula>AND(NOT($C14=""),E14="")</formula>
    </cfRule>
    <cfRule type="expression" dxfId="325" priority="312" stopIfTrue="1">
      <formula>AL14="0"</formula>
    </cfRule>
  </conditionalFormatting>
  <conditionalFormatting sqref="F14">
    <cfRule type="expression" dxfId="324" priority="309" stopIfTrue="1">
      <formula>AND(NOT($C14=""),F14="")</formula>
    </cfRule>
    <cfRule type="expression" dxfId="323" priority="310" stopIfTrue="1">
      <formula>AQ14="0"</formula>
    </cfRule>
  </conditionalFormatting>
  <conditionalFormatting sqref="G14">
    <cfRule type="expression" dxfId="322" priority="307" stopIfTrue="1">
      <formula>AND(NOT($C14=""),G14="")</formula>
    </cfRule>
    <cfRule type="expression" dxfId="321" priority="308" stopIfTrue="1">
      <formula>AV14="0"</formula>
    </cfRule>
  </conditionalFormatting>
  <conditionalFormatting sqref="H14">
    <cfRule type="expression" dxfId="320" priority="305" stopIfTrue="1">
      <formula>AND(NOT($C14=""),H14="")</formula>
    </cfRule>
    <cfRule type="expression" dxfId="319" priority="306" stopIfTrue="1">
      <formula>BA14="0"</formula>
    </cfRule>
  </conditionalFormatting>
  <conditionalFormatting sqref="I14">
    <cfRule type="expression" dxfId="318" priority="303" stopIfTrue="1">
      <formula>AND(NOT($C14=""),I14="")</formula>
    </cfRule>
    <cfRule type="expression" dxfId="317" priority="304" stopIfTrue="1">
      <formula>BF14="0"</formula>
    </cfRule>
  </conditionalFormatting>
  <conditionalFormatting sqref="J14">
    <cfRule type="expression" dxfId="316" priority="301" stopIfTrue="1">
      <formula>AND(NOT($C14=""),J14="")</formula>
    </cfRule>
    <cfRule type="expression" dxfId="315" priority="302" stopIfTrue="1">
      <formula>BK14="0"</formula>
    </cfRule>
  </conditionalFormatting>
  <conditionalFormatting sqref="K14">
    <cfRule type="expression" dxfId="314" priority="299" stopIfTrue="1">
      <formula>AND(NOT($C14=""),K14="")</formula>
    </cfRule>
    <cfRule type="expression" dxfId="313" priority="300" stopIfTrue="1">
      <formula>BP14="0"</formula>
    </cfRule>
  </conditionalFormatting>
  <conditionalFormatting sqref="L14">
    <cfRule type="expression" dxfId="312" priority="297" stopIfTrue="1">
      <formula>AND(NOT($C14=""),L14="")</formula>
    </cfRule>
    <cfRule type="expression" dxfId="311" priority="298" stopIfTrue="1">
      <formula>BU14="0"</formula>
    </cfRule>
  </conditionalFormatting>
  <conditionalFormatting sqref="N14">
    <cfRule type="expression" dxfId="310" priority="295" stopIfTrue="1">
      <formula>AND(NOT($C14=""),N14="")</formula>
    </cfRule>
    <cfRule type="expression" dxfId="309" priority="296" stopIfTrue="1">
      <formula>CE14="0"</formula>
    </cfRule>
  </conditionalFormatting>
  <conditionalFormatting sqref="M12">
    <cfRule type="expression" dxfId="308" priority="294" stopIfTrue="1">
      <formula>BZ12="0"</formula>
    </cfRule>
  </conditionalFormatting>
  <conditionalFormatting sqref="D12">
    <cfRule type="expression" dxfId="307" priority="292" stopIfTrue="1">
      <formula>AND(NOT($C12=""),D12="")</formula>
    </cfRule>
    <cfRule type="expression" dxfId="306" priority="293" stopIfTrue="1">
      <formula>AG12="0"</formula>
    </cfRule>
  </conditionalFormatting>
  <conditionalFormatting sqref="E12">
    <cfRule type="expression" dxfId="305" priority="290" stopIfTrue="1">
      <formula>AND(NOT($C12=""),E12="")</formula>
    </cfRule>
    <cfRule type="expression" dxfId="304" priority="291" stopIfTrue="1">
      <formula>AL12="0"</formula>
    </cfRule>
  </conditionalFormatting>
  <conditionalFormatting sqref="F12">
    <cfRule type="expression" dxfId="303" priority="288" stopIfTrue="1">
      <formula>AND(NOT($C12=""),F12="")</formula>
    </cfRule>
    <cfRule type="expression" dxfId="302" priority="289" stopIfTrue="1">
      <formula>AQ12="0"</formula>
    </cfRule>
  </conditionalFormatting>
  <conditionalFormatting sqref="G12">
    <cfRule type="expression" dxfId="301" priority="286" stopIfTrue="1">
      <formula>AND(NOT($C12=""),G12="")</formula>
    </cfRule>
    <cfRule type="expression" dxfId="300" priority="287" stopIfTrue="1">
      <formula>AV12="0"</formula>
    </cfRule>
  </conditionalFormatting>
  <conditionalFormatting sqref="H12">
    <cfRule type="expression" dxfId="299" priority="284" stopIfTrue="1">
      <formula>AND(NOT($C12=""),H12="")</formula>
    </cfRule>
    <cfRule type="expression" dxfId="298" priority="285" stopIfTrue="1">
      <formula>BA12="0"</formula>
    </cfRule>
  </conditionalFormatting>
  <conditionalFormatting sqref="I12">
    <cfRule type="expression" dxfId="297" priority="282" stopIfTrue="1">
      <formula>AND(NOT($C12=""),I12="")</formula>
    </cfRule>
    <cfRule type="expression" dxfId="296" priority="283" stopIfTrue="1">
      <formula>BF12="0"</formula>
    </cfRule>
  </conditionalFormatting>
  <conditionalFormatting sqref="J12">
    <cfRule type="expression" dxfId="295" priority="280" stopIfTrue="1">
      <formula>AND(NOT($C12=""),J12="")</formula>
    </cfRule>
    <cfRule type="expression" dxfId="294" priority="281" stopIfTrue="1">
      <formula>BK12="0"</formula>
    </cfRule>
  </conditionalFormatting>
  <conditionalFormatting sqref="K12">
    <cfRule type="expression" dxfId="293" priority="278" stopIfTrue="1">
      <formula>AND(NOT($C12=""),K12="")</formula>
    </cfRule>
    <cfRule type="expression" dxfId="292" priority="279" stopIfTrue="1">
      <formula>BP12="0"</formula>
    </cfRule>
  </conditionalFormatting>
  <conditionalFormatting sqref="L12">
    <cfRule type="expression" dxfId="291" priority="276" stopIfTrue="1">
      <formula>AND(NOT($C12=""),L12="")</formula>
    </cfRule>
    <cfRule type="expression" dxfId="290" priority="277" stopIfTrue="1">
      <formula>BU12="0"</formula>
    </cfRule>
  </conditionalFormatting>
  <conditionalFormatting sqref="N12">
    <cfRule type="expression" dxfId="289" priority="274" stopIfTrue="1">
      <formula>AND(NOT($C12=""),N12="")</formula>
    </cfRule>
    <cfRule type="expression" dxfId="288" priority="275" stopIfTrue="1">
      <formula>CE12="0"</formula>
    </cfRule>
  </conditionalFormatting>
  <conditionalFormatting sqref="M12">
    <cfRule type="expression" dxfId="287" priority="273" stopIfTrue="1">
      <formula>BZ12="0"</formula>
    </cfRule>
  </conditionalFormatting>
  <conditionalFormatting sqref="D12">
    <cfRule type="expression" dxfId="286" priority="271" stopIfTrue="1">
      <formula>AND(NOT($C12=""),D12="")</formula>
    </cfRule>
    <cfRule type="expression" dxfId="285" priority="272" stopIfTrue="1">
      <formula>AG12="0"</formula>
    </cfRule>
  </conditionalFormatting>
  <conditionalFormatting sqref="E12">
    <cfRule type="expression" dxfId="284" priority="269" stopIfTrue="1">
      <formula>AND(NOT($C12=""),E12="")</formula>
    </cfRule>
    <cfRule type="expression" dxfId="283" priority="270" stopIfTrue="1">
      <formula>AL12="0"</formula>
    </cfRule>
  </conditionalFormatting>
  <conditionalFormatting sqref="F12">
    <cfRule type="expression" dxfId="282" priority="267" stopIfTrue="1">
      <formula>AND(NOT($C12=""),F12="")</formula>
    </cfRule>
    <cfRule type="expression" dxfId="281" priority="268" stopIfTrue="1">
      <formula>AQ12="0"</formula>
    </cfRule>
  </conditionalFormatting>
  <conditionalFormatting sqref="G12">
    <cfRule type="expression" dxfId="280" priority="265" stopIfTrue="1">
      <formula>AND(NOT($C12=""),G12="")</formula>
    </cfRule>
    <cfRule type="expression" dxfId="279" priority="266" stopIfTrue="1">
      <formula>AV12="0"</formula>
    </cfRule>
  </conditionalFormatting>
  <conditionalFormatting sqref="H12">
    <cfRule type="expression" dxfId="278" priority="263" stopIfTrue="1">
      <formula>AND(NOT($C12=""),H12="")</formula>
    </cfRule>
    <cfRule type="expression" dxfId="277" priority="264" stopIfTrue="1">
      <formula>BA12="0"</formula>
    </cfRule>
  </conditionalFormatting>
  <conditionalFormatting sqref="I12">
    <cfRule type="expression" dxfId="276" priority="261" stopIfTrue="1">
      <formula>AND(NOT($C12=""),I12="")</formula>
    </cfRule>
    <cfRule type="expression" dxfId="275" priority="262" stopIfTrue="1">
      <formula>BF12="0"</formula>
    </cfRule>
  </conditionalFormatting>
  <conditionalFormatting sqref="J12">
    <cfRule type="expression" dxfId="274" priority="259" stopIfTrue="1">
      <formula>AND(NOT($C12=""),J12="")</formula>
    </cfRule>
    <cfRule type="expression" dxfId="273" priority="260" stopIfTrue="1">
      <formula>BK12="0"</formula>
    </cfRule>
  </conditionalFormatting>
  <conditionalFormatting sqref="K12">
    <cfRule type="expression" dxfId="272" priority="257" stopIfTrue="1">
      <formula>AND(NOT($C12=""),K12="")</formula>
    </cfRule>
    <cfRule type="expression" dxfId="271" priority="258" stopIfTrue="1">
      <formula>BP12="0"</formula>
    </cfRule>
  </conditionalFormatting>
  <conditionalFormatting sqref="L12">
    <cfRule type="expression" dxfId="270" priority="255" stopIfTrue="1">
      <formula>AND(NOT($C12=""),L12="")</formula>
    </cfRule>
    <cfRule type="expression" dxfId="269" priority="256" stopIfTrue="1">
      <formula>BU12="0"</formula>
    </cfRule>
  </conditionalFormatting>
  <conditionalFormatting sqref="N12">
    <cfRule type="expression" dxfId="268" priority="253" stopIfTrue="1">
      <formula>AND(NOT($C12=""),N12="")</formula>
    </cfRule>
    <cfRule type="expression" dxfId="267" priority="254" stopIfTrue="1">
      <formula>CE12="0"</formula>
    </cfRule>
  </conditionalFormatting>
  <conditionalFormatting sqref="M12">
    <cfRule type="expression" dxfId="266" priority="252" stopIfTrue="1">
      <formula>BZ12="0"</formula>
    </cfRule>
  </conditionalFormatting>
  <conditionalFormatting sqref="D12">
    <cfRule type="expression" dxfId="265" priority="250" stopIfTrue="1">
      <formula>AND(NOT($C12=""),D12="")</formula>
    </cfRule>
    <cfRule type="expression" dxfId="264" priority="251" stopIfTrue="1">
      <formula>AG12="0"</formula>
    </cfRule>
  </conditionalFormatting>
  <conditionalFormatting sqref="E12">
    <cfRule type="expression" dxfId="263" priority="248" stopIfTrue="1">
      <formula>AND(NOT($C12=""),E12="")</formula>
    </cfRule>
    <cfRule type="expression" dxfId="262" priority="249" stopIfTrue="1">
      <formula>AL12="0"</formula>
    </cfRule>
  </conditionalFormatting>
  <conditionalFormatting sqref="F12">
    <cfRule type="expression" dxfId="261" priority="246" stopIfTrue="1">
      <formula>AND(NOT($C12=""),F12="")</formula>
    </cfRule>
    <cfRule type="expression" dxfId="260" priority="247" stopIfTrue="1">
      <formula>AQ12="0"</formula>
    </cfRule>
  </conditionalFormatting>
  <conditionalFormatting sqref="G12">
    <cfRule type="expression" dxfId="259" priority="244" stopIfTrue="1">
      <formula>AND(NOT($C12=""),G12="")</formula>
    </cfRule>
    <cfRule type="expression" dxfId="258" priority="245" stopIfTrue="1">
      <formula>AV12="0"</formula>
    </cfRule>
  </conditionalFormatting>
  <conditionalFormatting sqref="H12">
    <cfRule type="expression" dxfId="257" priority="242" stopIfTrue="1">
      <formula>AND(NOT($C12=""),H12="")</formula>
    </cfRule>
    <cfRule type="expression" dxfId="256" priority="243" stopIfTrue="1">
      <formula>BA12="0"</formula>
    </cfRule>
  </conditionalFormatting>
  <conditionalFormatting sqref="I12">
    <cfRule type="expression" dxfId="255" priority="240" stopIfTrue="1">
      <formula>AND(NOT($C12=""),I12="")</formula>
    </cfRule>
    <cfRule type="expression" dxfId="254" priority="241" stopIfTrue="1">
      <formula>BF12="0"</formula>
    </cfRule>
  </conditionalFormatting>
  <conditionalFormatting sqref="J12">
    <cfRule type="expression" dxfId="253" priority="238" stopIfTrue="1">
      <formula>AND(NOT($C12=""),J12="")</formula>
    </cfRule>
    <cfRule type="expression" dxfId="252" priority="239" stopIfTrue="1">
      <formula>BK12="0"</formula>
    </cfRule>
  </conditionalFormatting>
  <conditionalFormatting sqref="K12">
    <cfRule type="expression" dxfId="251" priority="236" stopIfTrue="1">
      <formula>AND(NOT($C12=""),K12="")</formula>
    </cfRule>
    <cfRule type="expression" dxfId="250" priority="237" stopIfTrue="1">
      <formula>BP12="0"</formula>
    </cfRule>
  </conditionalFormatting>
  <conditionalFormatting sqref="L12">
    <cfRule type="expression" dxfId="249" priority="234" stopIfTrue="1">
      <formula>AND(NOT($C12=""),L12="")</formula>
    </cfRule>
    <cfRule type="expression" dxfId="248" priority="235" stopIfTrue="1">
      <formula>BU12="0"</formula>
    </cfRule>
  </conditionalFormatting>
  <conditionalFormatting sqref="N12">
    <cfRule type="expression" dxfId="247" priority="232" stopIfTrue="1">
      <formula>AND(NOT($C12=""),N12="")</formula>
    </cfRule>
    <cfRule type="expression" dxfId="246" priority="233" stopIfTrue="1">
      <formula>CE12="0"</formula>
    </cfRule>
  </conditionalFormatting>
  <conditionalFormatting sqref="M12">
    <cfRule type="expression" dxfId="245" priority="231" stopIfTrue="1">
      <formula>BZ12="0"</formula>
    </cfRule>
  </conditionalFormatting>
  <conditionalFormatting sqref="D12">
    <cfRule type="expression" dxfId="244" priority="229" stopIfTrue="1">
      <formula>AND(NOT($C12=""),D12="")</formula>
    </cfRule>
    <cfRule type="expression" dxfId="243" priority="230" stopIfTrue="1">
      <formula>AG12="0"</formula>
    </cfRule>
  </conditionalFormatting>
  <conditionalFormatting sqref="E12">
    <cfRule type="expression" dxfId="242" priority="227" stopIfTrue="1">
      <formula>AND(NOT($C12=""),E12="")</formula>
    </cfRule>
    <cfRule type="expression" dxfId="241" priority="228" stopIfTrue="1">
      <formula>AL12="0"</formula>
    </cfRule>
  </conditionalFormatting>
  <conditionalFormatting sqref="F12">
    <cfRule type="expression" dxfId="240" priority="225" stopIfTrue="1">
      <formula>AND(NOT($C12=""),F12="")</formula>
    </cfRule>
    <cfRule type="expression" dxfId="239" priority="226" stopIfTrue="1">
      <formula>AQ12="0"</formula>
    </cfRule>
  </conditionalFormatting>
  <conditionalFormatting sqref="G12">
    <cfRule type="expression" dxfId="238" priority="223" stopIfTrue="1">
      <formula>AND(NOT($C12=""),G12="")</formula>
    </cfRule>
    <cfRule type="expression" dxfId="237" priority="224" stopIfTrue="1">
      <formula>AV12="0"</formula>
    </cfRule>
  </conditionalFormatting>
  <conditionalFormatting sqref="H12">
    <cfRule type="expression" dxfId="236" priority="221" stopIfTrue="1">
      <formula>AND(NOT($C12=""),H12="")</formula>
    </cfRule>
    <cfRule type="expression" dxfId="235" priority="222" stopIfTrue="1">
      <formula>BA12="0"</formula>
    </cfRule>
  </conditionalFormatting>
  <conditionalFormatting sqref="I12">
    <cfRule type="expression" dxfId="234" priority="219" stopIfTrue="1">
      <formula>AND(NOT($C12=""),I12="")</formula>
    </cfRule>
    <cfRule type="expression" dxfId="233" priority="220" stopIfTrue="1">
      <formula>BF12="0"</formula>
    </cfRule>
  </conditionalFormatting>
  <conditionalFormatting sqref="J12">
    <cfRule type="expression" dxfId="232" priority="217" stopIfTrue="1">
      <formula>AND(NOT($C12=""),J12="")</formula>
    </cfRule>
    <cfRule type="expression" dxfId="231" priority="218" stopIfTrue="1">
      <formula>BK12="0"</formula>
    </cfRule>
  </conditionalFormatting>
  <conditionalFormatting sqref="K12">
    <cfRule type="expression" dxfId="230" priority="215" stopIfTrue="1">
      <formula>AND(NOT($C12=""),K12="")</formula>
    </cfRule>
    <cfRule type="expression" dxfId="229" priority="216" stopIfTrue="1">
      <formula>BP12="0"</formula>
    </cfRule>
  </conditionalFormatting>
  <conditionalFormatting sqref="L12">
    <cfRule type="expression" dxfId="228" priority="213" stopIfTrue="1">
      <formula>AND(NOT($C12=""),L12="")</formula>
    </cfRule>
    <cfRule type="expression" dxfId="227" priority="214" stopIfTrue="1">
      <formula>BU12="0"</formula>
    </cfRule>
  </conditionalFormatting>
  <conditionalFormatting sqref="N12">
    <cfRule type="expression" dxfId="226" priority="211" stopIfTrue="1">
      <formula>AND(NOT($C12=""),N12="")</formula>
    </cfRule>
    <cfRule type="expression" dxfId="225" priority="212" stopIfTrue="1">
      <formula>CE12="0"</formula>
    </cfRule>
  </conditionalFormatting>
  <conditionalFormatting sqref="M12">
    <cfRule type="expression" dxfId="224" priority="210" stopIfTrue="1">
      <formula>BZ12="0"</formula>
    </cfRule>
  </conditionalFormatting>
  <conditionalFormatting sqref="D12">
    <cfRule type="expression" dxfId="223" priority="208" stopIfTrue="1">
      <formula>AND(NOT($C12=""),D12="")</formula>
    </cfRule>
    <cfRule type="expression" dxfId="222" priority="209" stopIfTrue="1">
      <formula>AG12="0"</formula>
    </cfRule>
  </conditionalFormatting>
  <conditionalFormatting sqref="E12">
    <cfRule type="expression" dxfId="221" priority="206" stopIfTrue="1">
      <formula>AND(NOT($C12=""),E12="")</formula>
    </cfRule>
    <cfRule type="expression" dxfId="220" priority="207" stopIfTrue="1">
      <formula>AL12="0"</formula>
    </cfRule>
  </conditionalFormatting>
  <conditionalFormatting sqref="F12">
    <cfRule type="expression" dxfId="219" priority="204" stopIfTrue="1">
      <formula>AND(NOT($C12=""),F12="")</formula>
    </cfRule>
    <cfRule type="expression" dxfId="218" priority="205" stopIfTrue="1">
      <formula>AQ12="0"</formula>
    </cfRule>
  </conditionalFormatting>
  <conditionalFormatting sqref="G12">
    <cfRule type="expression" dxfId="217" priority="202" stopIfTrue="1">
      <formula>AND(NOT($C12=""),G12="")</formula>
    </cfRule>
    <cfRule type="expression" dxfId="216" priority="203" stopIfTrue="1">
      <formula>AV12="0"</formula>
    </cfRule>
  </conditionalFormatting>
  <conditionalFormatting sqref="H12">
    <cfRule type="expression" dxfId="215" priority="200" stopIfTrue="1">
      <formula>AND(NOT($C12=""),H12="")</formula>
    </cfRule>
    <cfRule type="expression" dxfId="214" priority="201" stopIfTrue="1">
      <formula>BA12="0"</formula>
    </cfRule>
  </conditionalFormatting>
  <conditionalFormatting sqref="I12">
    <cfRule type="expression" dxfId="213" priority="198" stopIfTrue="1">
      <formula>AND(NOT($C12=""),I12="")</formula>
    </cfRule>
    <cfRule type="expression" dxfId="212" priority="199" stopIfTrue="1">
      <formula>BF12="0"</formula>
    </cfRule>
  </conditionalFormatting>
  <conditionalFormatting sqref="J12">
    <cfRule type="expression" dxfId="211" priority="196" stopIfTrue="1">
      <formula>AND(NOT($C12=""),J12="")</formula>
    </cfRule>
    <cfRule type="expression" dxfId="210" priority="197" stopIfTrue="1">
      <formula>BK12="0"</formula>
    </cfRule>
  </conditionalFormatting>
  <conditionalFormatting sqref="K12">
    <cfRule type="expression" dxfId="209" priority="194" stopIfTrue="1">
      <formula>AND(NOT($C12=""),K12="")</formula>
    </cfRule>
    <cfRule type="expression" dxfId="208" priority="195" stopIfTrue="1">
      <formula>BP12="0"</formula>
    </cfRule>
  </conditionalFormatting>
  <conditionalFormatting sqref="L12">
    <cfRule type="expression" dxfId="207" priority="192" stopIfTrue="1">
      <formula>AND(NOT($C12=""),L12="")</formula>
    </cfRule>
    <cfRule type="expression" dxfId="206" priority="193" stopIfTrue="1">
      <formula>BU12="0"</formula>
    </cfRule>
  </conditionalFormatting>
  <conditionalFormatting sqref="N12">
    <cfRule type="expression" dxfId="205" priority="190" stopIfTrue="1">
      <formula>AND(NOT($C12=""),N12="")</formula>
    </cfRule>
    <cfRule type="expression" dxfId="204" priority="191" stopIfTrue="1">
      <formula>CE12="0"</formula>
    </cfRule>
  </conditionalFormatting>
  <conditionalFormatting sqref="M12">
    <cfRule type="expression" dxfId="203" priority="189" stopIfTrue="1">
      <formula>BZ12="0"</formula>
    </cfRule>
  </conditionalFormatting>
  <conditionalFormatting sqref="D12">
    <cfRule type="expression" dxfId="202" priority="187" stopIfTrue="1">
      <formula>AND(NOT($C12=""),D12="")</formula>
    </cfRule>
    <cfRule type="expression" dxfId="201" priority="188" stopIfTrue="1">
      <formula>AG12="0"</formula>
    </cfRule>
  </conditionalFormatting>
  <conditionalFormatting sqref="E12">
    <cfRule type="expression" dxfId="200" priority="185" stopIfTrue="1">
      <formula>AND(NOT($C12=""),E12="")</formula>
    </cfRule>
    <cfRule type="expression" dxfId="199" priority="186" stopIfTrue="1">
      <formula>AL12="0"</formula>
    </cfRule>
  </conditionalFormatting>
  <conditionalFormatting sqref="F12">
    <cfRule type="expression" dxfId="198" priority="183" stopIfTrue="1">
      <formula>AND(NOT($C12=""),F12="")</formula>
    </cfRule>
    <cfRule type="expression" dxfId="197" priority="184" stopIfTrue="1">
      <formula>AQ12="0"</formula>
    </cfRule>
  </conditionalFormatting>
  <conditionalFormatting sqref="G12">
    <cfRule type="expression" dxfId="196" priority="181" stopIfTrue="1">
      <formula>AND(NOT($C12=""),G12="")</formula>
    </cfRule>
    <cfRule type="expression" dxfId="195" priority="182" stopIfTrue="1">
      <formula>AV12="0"</formula>
    </cfRule>
  </conditionalFormatting>
  <conditionalFormatting sqref="H12">
    <cfRule type="expression" dxfId="194" priority="179" stopIfTrue="1">
      <formula>AND(NOT($C12=""),H12="")</formula>
    </cfRule>
    <cfRule type="expression" dxfId="193" priority="180" stopIfTrue="1">
      <formula>BA12="0"</formula>
    </cfRule>
  </conditionalFormatting>
  <conditionalFormatting sqref="I12">
    <cfRule type="expression" dxfId="192" priority="177" stopIfTrue="1">
      <formula>AND(NOT($C12=""),I12="")</formula>
    </cfRule>
    <cfRule type="expression" dxfId="191" priority="178" stopIfTrue="1">
      <formula>BF12="0"</formula>
    </cfRule>
  </conditionalFormatting>
  <conditionalFormatting sqref="J12">
    <cfRule type="expression" dxfId="190" priority="175" stopIfTrue="1">
      <formula>AND(NOT($C12=""),J12="")</formula>
    </cfRule>
    <cfRule type="expression" dxfId="189" priority="176" stopIfTrue="1">
      <formula>BK12="0"</formula>
    </cfRule>
  </conditionalFormatting>
  <conditionalFormatting sqref="K12">
    <cfRule type="expression" dxfId="188" priority="173" stopIfTrue="1">
      <formula>AND(NOT($C12=""),K12="")</formula>
    </cfRule>
    <cfRule type="expression" dxfId="187" priority="174" stopIfTrue="1">
      <formula>BP12="0"</formula>
    </cfRule>
  </conditionalFormatting>
  <conditionalFormatting sqref="L12">
    <cfRule type="expression" dxfId="186" priority="171" stopIfTrue="1">
      <formula>AND(NOT($C12=""),L12="")</formula>
    </cfRule>
    <cfRule type="expression" dxfId="185" priority="172" stopIfTrue="1">
      <formula>BU12="0"</formula>
    </cfRule>
  </conditionalFormatting>
  <conditionalFormatting sqref="N12">
    <cfRule type="expression" dxfId="184" priority="169" stopIfTrue="1">
      <formula>AND(NOT($C12=""),N12="")</formula>
    </cfRule>
    <cfRule type="expression" dxfId="183" priority="170" stopIfTrue="1">
      <formula>CE12="0"</formula>
    </cfRule>
  </conditionalFormatting>
  <conditionalFormatting sqref="M12">
    <cfRule type="expression" dxfId="182" priority="168" stopIfTrue="1">
      <formula>BZ12="0"</formula>
    </cfRule>
  </conditionalFormatting>
  <conditionalFormatting sqref="D12">
    <cfRule type="expression" dxfId="181" priority="166" stopIfTrue="1">
      <formula>AND(NOT($C12=""),D12="")</formula>
    </cfRule>
    <cfRule type="expression" dxfId="180" priority="167" stopIfTrue="1">
      <formula>AG12="0"</formula>
    </cfRule>
  </conditionalFormatting>
  <conditionalFormatting sqref="E12">
    <cfRule type="expression" dxfId="179" priority="164" stopIfTrue="1">
      <formula>AND(NOT($C12=""),E12="")</formula>
    </cfRule>
    <cfRule type="expression" dxfId="178" priority="165" stopIfTrue="1">
      <formula>AL12="0"</formula>
    </cfRule>
  </conditionalFormatting>
  <conditionalFormatting sqref="F12">
    <cfRule type="expression" dxfId="177" priority="162" stopIfTrue="1">
      <formula>AND(NOT($C12=""),F12="")</formula>
    </cfRule>
    <cfRule type="expression" dxfId="176" priority="163" stopIfTrue="1">
      <formula>AQ12="0"</formula>
    </cfRule>
  </conditionalFormatting>
  <conditionalFormatting sqref="G12">
    <cfRule type="expression" dxfId="175" priority="160" stopIfTrue="1">
      <formula>AND(NOT($C12=""),G12="")</formula>
    </cfRule>
    <cfRule type="expression" dxfId="174" priority="161" stopIfTrue="1">
      <formula>AV12="0"</formula>
    </cfRule>
  </conditionalFormatting>
  <conditionalFormatting sqref="H12">
    <cfRule type="expression" dxfId="173" priority="158" stopIfTrue="1">
      <formula>AND(NOT($C12=""),H12="")</formula>
    </cfRule>
    <cfRule type="expression" dxfId="172" priority="159" stopIfTrue="1">
      <formula>BA12="0"</formula>
    </cfRule>
  </conditionalFormatting>
  <conditionalFormatting sqref="I12">
    <cfRule type="expression" dxfId="171" priority="156" stopIfTrue="1">
      <formula>AND(NOT($C12=""),I12="")</formula>
    </cfRule>
    <cfRule type="expression" dxfId="170" priority="157" stopIfTrue="1">
      <formula>BF12="0"</formula>
    </cfRule>
  </conditionalFormatting>
  <conditionalFormatting sqref="J12">
    <cfRule type="expression" dxfId="169" priority="154" stopIfTrue="1">
      <formula>AND(NOT($C12=""),J12="")</formula>
    </cfRule>
    <cfRule type="expression" dxfId="168" priority="155" stopIfTrue="1">
      <formula>BK12="0"</formula>
    </cfRule>
  </conditionalFormatting>
  <conditionalFormatting sqref="K12">
    <cfRule type="expression" dxfId="167" priority="152" stopIfTrue="1">
      <formula>AND(NOT($C12=""),K12="")</formula>
    </cfRule>
    <cfRule type="expression" dxfId="166" priority="153" stopIfTrue="1">
      <formula>BP12="0"</formula>
    </cfRule>
  </conditionalFormatting>
  <conditionalFormatting sqref="L12">
    <cfRule type="expression" dxfId="165" priority="150" stopIfTrue="1">
      <formula>AND(NOT($C12=""),L12="")</formula>
    </cfRule>
    <cfRule type="expression" dxfId="164" priority="151" stopIfTrue="1">
      <formula>BU12="0"</formula>
    </cfRule>
  </conditionalFormatting>
  <conditionalFormatting sqref="N12">
    <cfRule type="expression" dxfId="163" priority="148" stopIfTrue="1">
      <formula>AND(NOT($C12=""),N12="")</formula>
    </cfRule>
    <cfRule type="expression" dxfId="162" priority="149" stopIfTrue="1">
      <formula>CE12="0"</formula>
    </cfRule>
  </conditionalFormatting>
  <conditionalFormatting sqref="M12">
    <cfRule type="expression" dxfId="161" priority="147" stopIfTrue="1">
      <formula>BZ12="0"</formula>
    </cfRule>
  </conditionalFormatting>
  <conditionalFormatting sqref="D12">
    <cfRule type="expression" dxfId="160" priority="145" stopIfTrue="1">
      <formula>AND(NOT($C12=""),D12="")</formula>
    </cfRule>
    <cfRule type="expression" dxfId="159" priority="146" stopIfTrue="1">
      <formula>AG12="0"</formula>
    </cfRule>
  </conditionalFormatting>
  <conditionalFormatting sqref="E12">
    <cfRule type="expression" dxfId="158" priority="143" stopIfTrue="1">
      <formula>AND(NOT($C12=""),E12="")</formula>
    </cfRule>
    <cfRule type="expression" dxfId="157" priority="144" stopIfTrue="1">
      <formula>AL12="0"</formula>
    </cfRule>
  </conditionalFormatting>
  <conditionalFormatting sqref="F12">
    <cfRule type="expression" dxfId="156" priority="141" stopIfTrue="1">
      <formula>AND(NOT($C12=""),F12="")</formula>
    </cfRule>
    <cfRule type="expression" dxfId="155" priority="142" stopIfTrue="1">
      <formula>AQ12="0"</formula>
    </cfRule>
  </conditionalFormatting>
  <conditionalFormatting sqref="G12">
    <cfRule type="expression" dxfId="154" priority="139" stopIfTrue="1">
      <formula>AND(NOT($C12=""),G12="")</formula>
    </cfRule>
    <cfRule type="expression" dxfId="153" priority="140" stopIfTrue="1">
      <formula>AV12="0"</formula>
    </cfRule>
  </conditionalFormatting>
  <conditionalFormatting sqref="H12">
    <cfRule type="expression" dxfId="152" priority="137" stopIfTrue="1">
      <formula>AND(NOT($C12=""),H12="")</formula>
    </cfRule>
    <cfRule type="expression" dxfId="151" priority="138" stopIfTrue="1">
      <formula>BA12="0"</formula>
    </cfRule>
  </conditionalFormatting>
  <conditionalFormatting sqref="I12">
    <cfRule type="expression" dxfId="150" priority="135" stopIfTrue="1">
      <formula>AND(NOT($C12=""),I12="")</formula>
    </cfRule>
    <cfRule type="expression" dxfId="149" priority="136" stopIfTrue="1">
      <formula>BF12="0"</formula>
    </cfRule>
  </conditionalFormatting>
  <conditionalFormatting sqref="J12">
    <cfRule type="expression" dxfId="148" priority="133" stopIfTrue="1">
      <formula>AND(NOT($C12=""),J12="")</formula>
    </cfRule>
    <cfRule type="expression" dxfId="147" priority="134" stopIfTrue="1">
      <formula>BK12="0"</formula>
    </cfRule>
  </conditionalFormatting>
  <conditionalFormatting sqref="K12">
    <cfRule type="expression" dxfId="146" priority="131" stopIfTrue="1">
      <formula>AND(NOT($C12=""),K12="")</formula>
    </cfRule>
    <cfRule type="expression" dxfId="145" priority="132" stopIfTrue="1">
      <formula>BP12="0"</formula>
    </cfRule>
  </conditionalFormatting>
  <conditionalFormatting sqref="L12">
    <cfRule type="expression" dxfId="144" priority="129" stopIfTrue="1">
      <formula>AND(NOT($C12=""),L12="")</formula>
    </cfRule>
    <cfRule type="expression" dxfId="143" priority="130" stopIfTrue="1">
      <formula>BU12="0"</formula>
    </cfRule>
  </conditionalFormatting>
  <conditionalFormatting sqref="N12">
    <cfRule type="expression" dxfId="142" priority="127" stopIfTrue="1">
      <formula>AND(NOT($C12=""),N12="")</formula>
    </cfRule>
    <cfRule type="expression" dxfId="141" priority="128" stopIfTrue="1">
      <formula>CE12="0"</formula>
    </cfRule>
  </conditionalFormatting>
  <conditionalFormatting sqref="M12">
    <cfRule type="expression" dxfId="140" priority="126" stopIfTrue="1">
      <formula>BZ12="0"</formula>
    </cfRule>
  </conditionalFormatting>
  <conditionalFormatting sqref="D12">
    <cfRule type="expression" dxfId="139" priority="124" stopIfTrue="1">
      <formula>AND(NOT($C12=""),D12="")</formula>
    </cfRule>
    <cfRule type="expression" dxfId="138" priority="125" stopIfTrue="1">
      <formula>AG12="0"</formula>
    </cfRule>
  </conditionalFormatting>
  <conditionalFormatting sqref="E12">
    <cfRule type="expression" dxfId="137" priority="122" stopIfTrue="1">
      <formula>AND(NOT($C12=""),E12="")</formula>
    </cfRule>
    <cfRule type="expression" dxfId="136" priority="123" stopIfTrue="1">
      <formula>AL12="0"</formula>
    </cfRule>
  </conditionalFormatting>
  <conditionalFormatting sqref="F12">
    <cfRule type="expression" dxfId="135" priority="120" stopIfTrue="1">
      <formula>AND(NOT($C12=""),F12="")</formula>
    </cfRule>
    <cfRule type="expression" dxfId="134" priority="121" stopIfTrue="1">
      <formula>AQ12="0"</formula>
    </cfRule>
  </conditionalFormatting>
  <conditionalFormatting sqref="G12">
    <cfRule type="expression" dxfId="133" priority="118" stopIfTrue="1">
      <formula>AND(NOT($C12=""),G12="")</formula>
    </cfRule>
    <cfRule type="expression" dxfId="132" priority="119" stopIfTrue="1">
      <formula>AV12="0"</formula>
    </cfRule>
  </conditionalFormatting>
  <conditionalFormatting sqref="H12">
    <cfRule type="expression" dxfId="131" priority="116" stopIfTrue="1">
      <formula>AND(NOT($C12=""),H12="")</formula>
    </cfRule>
    <cfRule type="expression" dxfId="130" priority="117" stopIfTrue="1">
      <formula>BA12="0"</formula>
    </cfRule>
  </conditionalFormatting>
  <conditionalFormatting sqref="I12">
    <cfRule type="expression" dxfId="129" priority="114" stopIfTrue="1">
      <formula>AND(NOT($C12=""),I12="")</formula>
    </cfRule>
    <cfRule type="expression" dxfId="128" priority="115" stopIfTrue="1">
      <formula>BF12="0"</formula>
    </cfRule>
  </conditionalFormatting>
  <conditionalFormatting sqref="J12">
    <cfRule type="expression" dxfId="127" priority="112" stopIfTrue="1">
      <formula>AND(NOT($C12=""),J12="")</formula>
    </cfRule>
    <cfRule type="expression" dxfId="126" priority="113" stopIfTrue="1">
      <formula>BK12="0"</formula>
    </cfRule>
  </conditionalFormatting>
  <conditionalFormatting sqref="K12">
    <cfRule type="expression" dxfId="125" priority="110" stopIfTrue="1">
      <formula>AND(NOT($C12=""),K12="")</formula>
    </cfRule>
    <cfRule type="expression" dxfId="124" priority="111" stopIfTrue="1">
      <formula>BP12="0"</formula>
    </cfRule>
  </conditionalFormatting>
  <conditionalFormatting sqref="L12">
    <cfRule type="expression" dxfId="123" priority="108" stopIfTrue="1">
      <formula>AND(NOT($C12=""),L12="")</formula>
    </cfRule>
    <cfRule type="expression" dxfId="122" priority="109" stopIfTrue="1">
      <formula>BU12="0"</formula>
    </cfRule>
  </conditionalFormatting>
  <conditionalFormatting sqref="N12">
    <cfRule type="expression" dxfId="121" priority="106" stopIfTrue="1">
      <formula>AND(NOT($C12=""),N12="")</formula>
    </cfRule>
    <cfRule type="expression" dxfId="120" priority="107" stopIfTrue="1">
      <formula>CE12="0"</formula>
    </cfRule>
  </conditionalFormatting>
  <conditionalFormatting sqref="M12">
    <cfRule type="expression" dxfId="119" priority="105" stopIfTrue="1">
      <formula>BZ12="0"</formula>
    </cfRule>
  </conditionalFormatting>
  <conditionalFormatting sqref="D12">
    <cfRule type="expression" dxfId="118" priority="103" stopIfTrue="1">
      <formula>AND(NOT($C12=""),D12="")</formula>
    </cfRule>
    <cfRule type="expression" dxfId="117" priority="104" stopIfTrue="1">
      <formula>AG12="0"</formula>
    </cfRule>
  </conditionalFormatting>
  <conditionalFormatting sqref="E12">
    <cfRule type="expression" dxfId="116" priority="101" stopIfTrue="1">
      <formula>AND(NOT($C12=""),E12="")</formula>
    </cfRule>
    <cfRule type="expression" dxfId="115" priority="102" stopIfTrue="1">
      <formula>AL12="0"</formula>
    </cfRule>
  </conditionalFormatting>
  <conditionalFormatting sqref="F12">
    <cfRule type="expression" dxfId="114" priority="99" stopIfTrue="1">
      <formula>AND(NOT($C12=""),F12="")</formula>
    </cfRule>
    <cfRule type="expression" dxfId="113" priority="100" stopIfTrue="1">
      <formula>AQ12="0"</formula>
    </cfRule>
  </conditionalFormatting>
  <conditionalFormatting sqref="G12">
    <cfRule type="expression" dxfId="112" priority="97" stopIfTrue="1">
      <formula>AND(NOT($C12=""),G12="")</formula>
    </cfRule>
    <cfRule type="expression" dxfId="111" priority="98" stopIfTrue="1">
      <formula>AV12="0"</formula>
    </cfRule>
  </conditionalFormatting>
  <conditionalFormatting sqref="H12">
    <cfRule type="expression" dxfId="110" priority="95" stopIfTrue="1">
      <formula>AND(NOT($C12=""),H12="")</formula>
    </cfRule>
    <cfRule type="expression" dxfId="109" priority="96" stopIfTrue="1">
      <formula>BA12="0"</formula>
    </cfRule>
  </conditionalFormatting>
  <conditionalFormatting sqref="I12">
    <cfRule type="expression" dxfId="108" priority="93" stopIfTrue="1">
      <formula>AND(NOT($C12=""),I12="")</formula>
    </cfRule>
    <cfRule type="expression" dxfId="107" priority="94" stopIfTrue="1">
      <formula>BF12="0"</formula>
    </cfRule>
  </conditionalFormatting>
  <conditionalFormatting sqref="J12">
    <cfRule type="expression" dxfId="106" priority="91" stopIfTrue="1">
      <formula>AND(NOT($C12=""),J12="")</formula>
    </cfRule>
    <cfRule type="expression" dxfId="105" priority="92" stopIfTrue="1">
      <formula>BK12="0"</formula>
    </cfRule>
  </conditionalFormatting>
  <conditionalFormatting sqref="K12">
    <cfRule type="expression" dxfId="104" priority="89" stopIfTrue="1">
      <formula>AND(NOT($C12=""),K12="")</formula>
    </cfRule>
    <cfRule type="expression" dxfId="103" priority="90" stopIfTrue="1">
      <formula>BP12="0"</formula>
    </cfRule>
  </conditionalFormatting>
  <conditionalFormatting sqref="L12">
    <cfRule type="expression" dxfId="102" priority="87" stopIfTrue="1">
      <formula>AND(NOT($C12=""),L12="")</formula>
    </cfRule>
    <cfRule type="expression" dxfId="101" priority="88" stopIfTrue="1">
      <formula>BU12="0"</formula>
    </cfRule>
  </conditionalFormatting>
  <conditionalFormatting sqref="N12">
    <cfRule type="expression" dxfId="100" priority="85" stopIfTrue="1">
      <formula>AND(NOT($C12=""),N12="")</formula>
    </cfRule>
    <cfRule type="expression" dxfId="99" priority="86" stopIfTrue="1">
      <formula>CE12="0"</formula>
    </cfRule>
  </conditionalFormatting>
  <conditionalFormatting sqref="M12">
    <cfRule type="expression" dxfId="98" priority="84" stopIfTrue="1">
      <formula>BZ12="0"</formula>
    </cfRule>
  </conditionalFormatting>
  <conditionalFormatting sqref="D12">
    <cfRule type="expression" dxfId="97" priority="82" stopIfTrue="1">
      <formula>AND(NOT($C12=""),D12="")</formula>
    </cfRule>
    <cfRule type="expression" dxfId="96" priority="83" stopIfTrue="1">
      <formula>AG12="0"</formula>
    </cfRule>
  </conditionalFormatting>
  <conditionalFormatting sqref="E12">
    <cfRule type="expression" dxfId="95" priority="80" stopIfTrue="1">
      <formula>AND(NOT($C12=""),E12="")</formula>
    </cfRule>
    <cfRule type="expression" dxfId="94" priority="81" stopIfTrue="1">
      <formula>AL12="0"</formula>
    </cfRule>
  </conditionalFormatting>
  <conditionalFormatting sqref="F12">
    <cfRule type="expression" dxfId="93" priority="78" stopIfTrue="1">
      <formula>AND(NOT($C12=""),F12="")</formula>
    </cfRule>
    <cfRule type="expression" dxfId="92" priority="79" stopIfTrue="1">
      <formula>AQ12="0"</formula>
    </cfRule>
  </conditionalFormatting>
  <conditionalFormatting sqref="G12">
    <cfRule type="expression" dxfId="91" priority="76" stopIfTrue="1">
      <formula>AND(NOT($C12=""),G12="")</formula>
    </cfRule>
    <cfRule type="expression" dxfId="90" priority="77" stopIfTrue="1">
      <formula>AV12="0"</formula>
    </cfRule>
  </conditionalFormatting>
  <conditionalFormatting sqref="H12">
    <cfRule type="expression" dxfId="89" priority="74" stopIfTrue="1">
      <formula>AND(NOT($C12=""),H12="")</formula>
    </cfRule>
    <cfRule type="expression" dxfId="88" priority="75" stopIfTrue="1">
      <formula>BA12="0"</formula>
    </cfRule>
  </conditionalFormatting>
  <conditionalFormatting sqref="I12">
    <cfRule type="expression" dxfId="87" priority="72" stopIfTrue="1">
      <formula>AND(NOT($C12=""),I12="")</formula>
    </cfRule>
    <cfRule type="expression" dxfId="86" priority="73" stopIfTrue="1">
      <formula>BF12="0"</formula>
    </cfRule>
  </conditionalFormatting>
  <conditionalFormatting sqref="J12">
    <cfRule type="expression" dxfId="85" priority="70" stopIfTrue="1">
      <formula>AND(NOT($C12=""),J12="")</formula>
    </cfRule>
    <cfRule type="expression" dxfId="84" priority="71" stopIfTrue="1">
      <formula>BK12="0"</formula>
    </cfRule>
  </conditionalFormatting>
  <conditionalFormatting sqref="K12">
    <cfRule type="expression" dxfId="83" priority="68" stopIfTrue="1">
      <formula>AND(NOT($C12=""),K12="")</formula>
    </cfRule>
    <cfRule type="expression" dxfId="82" priority="69" stopIfTrue="1">
      <formula>BP12="0"</formula>
    </cfRule>
  </conditionalFormatting>
  <conditionalFormatting sqref="L12">
    <cfRule type="expression" dxfId="81" priority="66" stopIfTrue="1">
      <formula>AND(NOT($C12=""),L12="")</formula>
    </cfRule>
    <cfRule type="expression" dxfId="80" priority="67" stopIfTrue="1">
      <formula>BU12="0"</formula>
    </cfRule>
  </conditionalFormatting>
  <conditionalFormatting sqref="N12">
    <cfRule type="expression" dxfId="79" priority="64" stopIfTrue="1">
      <formula>AND(NOT($C12=""),N12="")</formula>
    </cfRule>
    <cfRule type="expression" dxfId="78" priority="65" stopIfTrue="1">
      <formula>CE12="0"</formula>
    </cfRule>
  </conditionalFormatting>
  <conditionalFormatting sqref="M12">
    <cfRule type="expression" dxfId="77" priority="63" stopIfTrue="1">
      <formula>BZ12="0"</formula>
    </cfRule>
  </conditionalFormatting>
  <conditionalFormatting sqref="D12">
    <cfRule type="expression" dxfId="76" priority="61" stopIfTrue="1">
      <formula>AND(NOT($C12=""),D12="")</formula>
    </cfRule>
    <cfRule type="expression" dxfId="75" priority="62" stopIfTrue="1">
      <formula>AG12="0"</formula>
    </cfRule>
  </conditionalFormatting>
  <conditionalFormatting sqref="E12">
    <cfRule type="expression" dxfId="74" priority="59" stopIfTrue="1">
      <formula>AND(NOT($C12=""),E12="")</formula>
    </cfRule>
    <cfRule type="expression" dxfId="73" priority="60" stopIfTrue="1">
      <formula>AL12="0"</formula>
    </cfRule>
  </conditionalFormatting>
  <conditionalFormatting sqref="F12">
    <cfRule type="expression" dxfId="72" priority="57" stopIfTrue="1">
      <formula>AND(NOT($C12=""),F12="")</formula>
    </cfRule>
    <cfRule type="expression" dxfId="71" priority="58" stopIfTrue="1">
      <formula>AQ12="0"</formula>
    </cfRule>
  </conditionalFormatting>
  <conditionalFormatting sqref="G12">
    <cfRule type="expression" dxfId="70" priority="55" stopIfTrue="1">
      <formula>AND(NOT($C12=""),G12="")</formula>
    </cfRule>
    <cfRule type="expression" dxfId="69" priority="56" stopIfTrue="1">
      <formula>AV12="0"</formula>
    </cfRule>
  </conditionalFormatting>
  <conditionalFormatting sqref="H12">
    <cfRule type="expression" dxfId="68" priority="53" stopIfTrue="1">
      <formula>AND(NOT($C12=""),H12="")</formula>
    </cfRule>
    <cfRule type="expression" dxfId="67" priority="54" stopIfTrue="1">
      <formula>BA12="0"</formula>
    </cfRule>
  </conditionalFormatting>
  <conditionalFormatting sqref="I12">
    <cfRule type="expression" dxfId="66" priority="51" stopIfTrue="1">
      <formula>AND(NOT($C12=""),I12="")</formula>
    </cfRule>
    <cfRule type="expression" dxfId="65" priority="52" stopIfTrue="1">
      <formula>BF12="0"</formula>
    </cfRule>
  </conditionalFormatting>
  <conditionalFormatting sqref="J12">
    <cfRule type="expression" dxfId="64" priority="49" stopIfTrue="1">
      <formula>AND(NOT($C12=""),J12="")</formula>
    </cfRule>
    <cfRule type="expression" dxfId="63" priority="50" stopIfTrue="1">
      <formula>BK12="0"</formula>
    </cfRule>
  </conditionalFormatting>
  <conditionalFormatting sqref="K12">
    <cfRule type="expression" dxfId="62" priority="47" stopIfTrue="1">
      <formula>AND(NOT($C12=""),K12="")</formula>
    </cfRule>
    <cfRule type="expression" dxfId="61" priority="48" stopIfTrue="1">
      <formula>BP12="0"</formula>
    </cfRule>
  </conditionalFormatting>
  <conditionalFormatting sqref="L12">
    <cfRule type="expression" dxfId="60" priority="45" stopIfTrue="1">
      <formula>AND(NOT($C12=""),L12="")</formula>
    </cfRule>
    <cfRule type="expression" dxfId="59" priority="46" stopIfTrue="1">
      <formula>BU12="0"</formula>
    </cfRule>
  </conditionalFormatting>
  <conditionalFormatting sqref="N12">
    <cfRule type="expression" dxfId="58" priority="43" stopIfTrue="1">
      <formula>AND(NOT($C12=""),N12="")</formula>
    </cfRule>
    <cfRule type="expression" dxfId="57" priority="44" stopIfTrue="1">
      <formula>CE12="0"</formula>
    </cfRule>
  </conditionalFormatting>
  <conditionalFormatting sqref="M12">
    <cfRule type="expression" dxfId="56" priority="42" stopIfTrue="1">
      <formula>BZ12="0"</formula>
    </cfRule>
  </conditionalFormatting>
  <conditionalFormatting sqref="D12">
    <cfRule type="expression" dxfId="55" priority="40" stopIfTrue="1">
      <formula>AND(NOT($C12=""),D12="")</formula>
    </cfRule>
    <cfRule type="expression" dxfId="54" priority="41" stopIfTrue="1">
      <formula>AG12="0"</formula>
    </cfRule>
  </conditionalFormatting>
  <conditionalFormatting sqref="E12">
    <cfRule type="expression" dxfId="53" priority="38" stopIfTrue="1">
      <formula>AND(NOT($C12=""),E12="")</formula>
    </cfRule>
    <cfRule type="expression" dxfId="52" priority="39" stopIfTrue="1">
      <formula>AL12="0"</formula>
    </cfRule>
  </conditionalFormatting>
  <conditionalFormatting sqref="F12">
    <cfRule type="expression" dxfId="51" priority="36" stopIfTrue="1">
      <formula>AND(NOT($C12=""),F12="")</formula>
    </cfRule>
    <cfRule type="expression" dxfId="50" priority="37" stopIfTrue="1">
      <formula>AQ12="0"</formula>
    </cfRule>
  </conditionalFormatting>
  <conditionalFormatting sqref="G12">
    <cfRule type="expression" dxfId="49" priority="34" stopIfTrue="1">
      <formula>AND(NOT($C12=""),G12="")</formula>
    </cfRule>
    <cfRule type="expression" dxfId="48" priority="35" stopIfTrue="1">
      <formula>AV12="0"</formula>
    </cfRule>
  </conditionalFormatting>
  <conditionalFormatting sqref="H12">
    <cfRule type="expression" dxfId="47" priority="32" stopIfTrue="1">
      <formula>AND(NOT($C12=""),H12="")</formula>
    </cfRule>
    <cfRule type="expression" dxfId="46" priority="33" stopIfTrue="1">
      <formula>BA12="0"</formula>
    </cfRule>
  </conditionalFormatting>
  <conditionalFormatting sqref="I12">
    <cfRule type="expression" dxfId="45" priority="30" stopIfTrue="1">
      <formula>AND(NOT($C12=""),I12="")</formula>
    </cfRule>
    <cfRule type="expression" dxfId="44" priority="31" stopIfTrue="1">
      <formula>BF12="0"</formula>
    </cfRule>
  </conditionalFormatting>
  <conditionalFormatting sqref="J12">
    <cfRule type="expression" dxfId="43" priority="28" stopIfTrue="1">
      <formula>AND(NOT($C12=""),J12="")</formula>
    </cfRule>
    <cfRule type="expression" dxfId="42" priority="29" stopIfTrue="1">
      <formula>BK12="0"</formula>
    </cfRule>
  </conditionalFormatting>
  <conditionalFormatting sqref="K12">
    <cfRule type="expression" dxfId="41" priority="26" stopIfTrue="1">
      <formula>AND(NOT($C12=""),K12="")</formula>
    </cfRule>
    <cfRule type="expression" dxfId="40" priority="27" stopIfTrue="1">
      <formula>BP12="0"</formula>
    </cfRule>
  </conditionalFormatting>
  <conditionalFormatting sqref="L12">
    <cfRule type="expression" dxfId="39" priority="24" stopIfTrue="1">
      <formula>AND(NOT($C12=""),L12="")</formula>
    </cfRule>
    <cfRule type="expression" dxfId="38" priority="25" stopIfTrue="1">
      <formula>BU12="0"</formula>
    </cfRule>
  </conditionalFormatting>
  <conditionalFormatting sqref="N12">
    <cfRule type="expression" dxfId="37" priority="22" stopIfTrue="1">
      <formula>AND(NOT($C12=""),N12="")</formula>
    </cfRule>
    <cfRule type="expression" dxfId="36" priority="23" stopIfTrue="1">
      <formula>CE12="0"</formula>
    </cfRule>
  </conditionalFormatting>
  <conditionalFormatting sqref="M12">
    <cfRule type="expression" dxfId="35" priority="21" stopIfTrue="1">
      <formula>BZ12="0"</formula>
    </cfRule>
  </conditionalFormatting>
  <conditionalFormatting sqref="D12">
    <cfRule type="expression" dxfId="34" priority="19" stopIfTrue="1">
      <formula>AND(NOT($C12=""),D12="")</formula>
    </cfRule>
    <cfRule type="expression" dxfId="33" priority="20" stopIfTrue="1">
      <formula>AG12="0"</formula>
    </cfRule>
  </conditionalFormatting>
  <conditionalFormatting sqref="E12">
    <cfRule type="expression" dxfId="32" priority="17" stopIfTrue="1">
      <formula>AND(NOT($C12=""),E12="")</formula>
    </cfRule>
    <cfRule type="expression" dxfId="31" priority="18" stopIfTrue="1">
      <formula>AL12="0"</formula>
    </cfRule>
  </conditionalFormatting>
  <conditionalFormatting sqref="F12">
    <cfRule type="expression" dxfId="30" priority="15" stopIfTrue="1">
      <formula>AND(NOT($C12=""),F12="")</formula>
    </cfRule>
    <cfRule type="expression" dxfId="29" priority="16" stopIfTrue="1">
      <formula>AQ12="0"</formula>
    </cfRule>
  </conditionalFormatting>
  <conditionalFormatting sqref="G12">
    <cfRule type="expression" dxfId="28" priority="13" stopIfTrue="1">
      <formula>AND(NOT($C12=""),G12="")</formula>
    </cfRule>
    <cfRule type="expression" dxfId="27" priority="14" stopIfTrue="1">
      <formula>AV12="0"</formula>
    </cfRule>
  </conditionalFormatting>
  <conditionalFormatting sqref="H12">
    <cfRule type="expression" dxfId="26" priority="11" stopIfTrue="1">
      <formula>AND(NOT($C12=""),H12="")</formula>
    </cfRule>
    <cfRule type="expression" dxfId="25" priority="12" stopIfTrue="1">
      <formula>BA12="0"</formula>
    </cfRule>
  </conditionalFormatting>
  <conditionalFormatting sqref="I12">
    <cfRule type="expression" dxfId="24" priority="9" stopIfTrue="1">
      <formula>AND(NOT($C12=""),I12="")</formula>
    </cfRule>
    <cfRule type="expression" dxfId="23" priority="10" stopIfTrue="1">
      <formula>BF12="0"</formula>
    </cfRule>
  </conditionalFormatting>
  <conditionalFormatting sqref="J12">
    <cfRule type="expression" dxfId="22" priority="7" stopIfTrue="1">
      <formula>AND(NOT($C12=""),J12="")</formula>
    </cfRule>
    <cfRule type="expression" dxfId="21" priority="8" stopIfTrue="1">
      <formula>BK12="0"</formula>
    </cfRule>
  </conditionalFormatting>
  <conditionalFormatting sqref="K12">
    <cfRule type="expression" dxfId="20" priority="5" stopIfTrue="1">
      <formula>AND(NOT($C12=""),K12="")</formula>
    </cfRule>
    <cfRule type="expression" dxfId="19" priority="6" stopIfTrue="1">
      <formula>BP12="0"</formula>
    </cfRule>
  </conditionalFormatting>
  <conditionalFormatting sqref="L12">
    <cfRule type="expression" dxfId="18" priority="3" stopIfTrue="1">
      <formula>AND(NOT($C12=""),L12="")</formula>
    </cfRule>
    <cfRule type="expression" dxfId="17" priority="4" stopIfTrue="1">
      <formula>BU12="0"</formula>
    </cfRule>
  </conditionalFormatting>
  <conditionalFormatting sqref="N12">
    <cfRule type="expression" dxfId="16" priority="1" stopIfTrue="1">
      <formula>AND(NOT($C12=""),N12="")</formula>
    </cfRule>
    <cfRule type="expression" dxfId="15" priority="2" stopIfTrue="1">
      <formula>CE12="0"</formula>
    </cfRule>
  </conditionalFormatting>
  <dataValidations count="24">
    <dataValidation type="whole" allowBlank="1" showInputMessage="1" showErrorMessage="1" sqref="R65:R69 R84:R93 R73:R82 R47:R61 R11:R25 R29:R43">
      <formula1>0</formula1>
      <formula2>100000</formula2>
    </dataValidation>
    <dataValidation type="list" allowBlank="1" showInputMessage="1" showErrorMessage="1" sqref="C84:C93">
      <formula1>seriya4</formula1>
    </dataValidation>
    <dataValidation type="list" allowBlank="1" showInputMessage="1" showErrorMessage="1" sqref="H11:H25 H65:H69 H73:H82 H47:H61 H29:H43">
      <formula1>decor</formula1>
    </dataValidation>
    <dataValidation type="list" allowBlank="1" showInputMessage="1" showErrorMessage="1" sqref="C73:D82">
      <formula1>seriya3</formula1>
    </dataValidation>
    <dataValidation type="list" allowBlank="1" showInputMessage="1" showErrorMessage="1" sqref="C65:C69">
      <formula1>seriya_FR</formula1>
    </dataValidation>
    <dataValidation type="list" allowBlank="1" showInputMessage="1" showErrorMessage="1" sqref="D11:D25 D47:D61 D65:D69 D29:D43">
      <formula1>models</formula1>
    </dataValidation>
    <dataValidation type="list" allowBlank="1" showInputMessage="1" showErrorMessage="1" sqref="E11:E25 E65:E69 E73:E82 E47:E61 E29:E43">
      <formula1>type</formula1>
    </dataValidation>
    <dataValidation type="list" allowBlank="1" showInputMessage="1" showErrorMessage="1" sqref="I11:I25 I65:I69 I73:I82 I47:I61 I29:I43">
      <formula1>color</formula1>
    </dataValidation>
    <dataValidation type="list" allowBlank="1" showInputMessage="1" showErrorMessage="1" sqref="F11:F25 F47:F61 F73:F82 F29:F43">
      <formula1>type_2</formula1>
    </dataValidation>
    <dataValidation type="list" allowBlank="1" showInputMessage="1" showErrorMessage="1" sqref="G11:G25 G47:G61 G73:G82 G29:G43">
      <formula1>dimentions</formula1>
    </dataValidation>
    <dataValidation type="list" allowBlank="1" showInputMessage="1" showErrorMessage="1" sqref="K65:K69 K11:K25 K29:K43">
      <formula1>glass</formula1>
    </dataValidation>
    <dataValidation type="whole" allowBlank="1" showInputMessage="1" showErrorMessage="1" sqref="F65:F69">
      <formula1>200</formula1>
      <formula2>2070</formula2>
    </dataValidation>
    <dataValidation type="list" allowBlank="1" showInputMessage="1" showErrorMessage="1" sqref="C47:C61">
      <formula1>seriya_DF</formula1>
    </dataValidation>
    <dataValidation type="list" allowBlank="1" showInputMessage="1" showErrorMessage="1" sqref="L11:L25 L47:L61 L29:L43">
      <formula1>furniture</formula1>
    </dataValidation>
    <dataValidation type="list" allowBlank="1" showInputMessage="1" showErrorMessage="1" sqref="N11:N25 N47:N61 N29:N43">
      <formula1>sides</formula1>
    </dataValidation>
    <dataValidation type="list" allowBlank="1" showInputMessage="1" showErrorMessage="1" promptTitle="Выберите Серию" sqref="C11:C25 C29:C43">
      <formula1>seriya_DL</formula1>
    </dataValidation>
    <dataValidation type="list" allowBlank="1" showInputMessage="1" showErrorMessage="1" sqref="J11:J25 J29:J43">
      <formula1>filling</formula1>
    </dataValidation>
    <dataValidation type="list" allowBlank="1" showInputMessage="1" showErrorMessage="1" sqref="M11:M25 M29:M43">
      <formula1>vent</formula1>
    </dataValidation>
    <dataValidation type="list" allowBlank="1" showInputMessage="1" showErrorMessage="1" sqref="N5">
      <formula1>vat_yesno</formula1>
    </dataValidation>
    <dataValidation type="decimal" operator="greaterThanOrEqual" allowBlank="1" showInputMessage="1" showErrorMessage="1" sqref="N6">
      <formula1>0</formula1>
    </dataValidation>
    <dataValidation type="list" allowBlank="1" showInputMessage="1" showErrorMessage="1" sqref="O11:O25">
      <formula1>door_frame</formula1>
    </dataValidation>
    <dataValidation type="list" allowBlank="1" showInputMessage="1" showErrorMessage="1" sqref="P11:P25">
      <formula1>frame_model</formula1>
    </dataValidation>
    <dataValidation type="list" allowBlank="1" showInputMessage="1" showErrorMessage="1" sqref="Q11:Q25">
      <formula1>frame_nalichnik</formula1>
    </dataValidation>
    <dataValidation type="whole" allowBlank="1" showInputMessage="1" showErrorMessage="1" sqref="G65:G69">
      <formula1>200</formula1>
      <formula2>1000</formula2>
    </dataValidation>
  </dataValidations>
  <pageMargins left="0.27559055118110237" right="0.31496062992125984" top="0.35433070866141736" bottom="0.31496062992125984" header="0.35433070866141736" footer="0.31496062992125984"/>
  <pageSetup paperSize="9" scale="85" fitToHeight="1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3"/>
    <pageSetUpPr fitToPage="1"/>
  </sheetPr>
  <dimension ref="B1:AX123"/>
  <sheetViews>
    <sheetView showGridLines="0" zoomScaleNormal="100" workbookViewId="0">
      <pane ySplit="5" topLeftCell="A6" activePane="bottomLeft" state="frozen"/>
      <selection pane="bottomLeft" activeCell="D14" sqref="D14"/>
    </sheetView>
  </sheetViews>
  <sheetFormatPr defaultColWidth="9.109375" defaultRowHeight="10.199999999999999"/>
  <cols>
    <col min="1" max="1" width="0.5546875" style="378" customWidth="1"/>
    <col min="2" max="2" width="2.33203125" style="378" customWidth="1"/>
    <col min="3" max="3" width="35.6640625" style="378" customWidth="1"/>
    <col min="4" max="4" width="90.6640625" style="378" customWidth="1"/>
    <col min="5" max="5" width="4.6640625" style="378" customWidth="1"/>
    <col min="6" max="6" width="8.6640625" style="378" customWidth="1"/>
    <col min="7" max="7" width="4.6640625" style="378" customWidth="1"/>
    <col min="8" max="8" width="10.6640625" style="378" customWidth="1"/>
    <col min="9" max="9" width="2.6640625" style="378" customWidth="1"/>
    <col min="10" max="10" width="5.5546875" style="378" hidden="1" customWidth="1"/>
    <col min="11" max="11" width="3.88671875" style="378" hidden="1" customWidth="1"/>
    <col min="12" max="12" width="10" style="378" hidden="1" customWidth="1"/>
    <col min="13" max="13" width="14" style="378" hidden="1" customWidth="1"/>
    <col min="14" max="14" width="8.44140625" style="378" hidden="1" customWidth="1"/>
    <col min="15" max="15" width="10" style="378" hidden="1" customWidth="1"/>
    <col min="16" max="17" width="3.88671875" style="378" hidden="1" customWidth="1"/>
    <col min="18" max="25" width="10.6640625" style="378" hidden="1" customWidth="1"/>
    <col min="26" max="26" width="3.33203125" style="378" hidden="1" customWidth="1"/>
    <col min="27" max="34" width="10.6640625" style="378" hidden="1" customWidth="1"/>
    <col min="35" max="35" width="9.109375" style="378" hidden="1" customWidth="1"/>
    <col min="36" max="42" width="5.6640625" style="378" hidden="1" customWidth="1"/>
    <col min="43" max="43" width="9.109375" style="378" hidden="1" customWidth="1"/>
    <col min="44" max="44" width="5.5546875" style="378" hidden="1" customWidth="1"/>
    <col min="45" max="46" width="9.109375" style="378" hidden="1" customWidth="1"/>
    <col min="47" max="47" width="9.109375" style="260" hidden="1" customWidth="1"/>
    <col min="48" max="48" width="11.109375" style="378" hidden="1" customWidth="1"/>
    <col min="49" max="50" width="9.109375" style="378" customWidth="1"/>
    <col min="51" max="16384" width="9.109375" style="378"/>
  </cols>
  <sheetData>
    <row r="1" spans="2:50" s="260" customFormat="1">
      <c r="D1" s="261" t="str">
        <f>CONCATENATE("Клієнт: ",form!I4)</f>
        <v xml:space="preserve">Клієнт: </v>
      </c>
      <c r="E1" s="882" t="s">
        <v>5478</v>
      </c>
      <c r="F1" s="882"/>
      <c r="G1" s="884">
        <f>form!T5</f>
        <v>0</v>
      </c>
      <c r="H1" s="884"/>
    </row>
    <row r="2" spans="2:50" s="260" customFormat="1" ht="11.25" customHeight="1">
      <c r="D2" s="262" t="str">
        <f>CONCATENATE("Контактна особа: ",form!I5,", тел: ",form!I6)</f>
        <v xml:space="preserve">Контактна особа: , тел: </v>
      </c>
      <c r="E2" s="883" t="s">
        <v>5479</v>
      </c>
      <c r="F2" s="883"/>
      <c r="G2" s="885">
        <f>form!R5</f>
        <v>0</v>
      </c>
      <c r="H2" s="885"/>
      <c r="L2" s="263"/>
      <c r="M2" s="263"/>
      <c r="N2" s="263"/>
    </row>
    <row r="3" spans="2:50" s="260" customFormat="1">
      <c r="D3" s="264"/>
      <c r="E3" s="883" t="s">
        <v>408</v>
      </c>
      <c r="F3" s="883"/>
      <c r="G3" s="886">
        <f>form!N6</f>
        <v>1</v>
      </c>
      <c r="H3" s="886"/>
      <c r="L3" s="263"/>
      <c r="M3" s="265"/>
      <c r="N3" s="263"/>
    </row>
    <row r="4" spans="2:50" s="260" customFormat="1" ht="9.6">
      <c r="D4" s="266"/>
      <c r="E4" s="267"/>
      <c r="F4" s="268"/>
      <c r="G4" s="268"/>
      <c r="H4" s="268"/>
      <c r="J4" s="269"/>
      <c r="K4" s="269"/>
      <c r="L4" s="269"/>
      <c r="M4" s="269"/>
      <c r="N4" s="269"/>
      <c r="O4" s="269"/>
      <c r="P4" s="269"/>
      <c r="Q4" s="269"/>
      <c r="AK4" s="263"/>
      <c r="AL4" s="263"/>
      <c r="AM4" s="263"/>
      <c r="AN4" s="263"/>
      <c r="AO4" s="263"/>
      <c r="AP4" s="263"/>
      <c r="AQ4" s="263"/>
      <c r="AR4" s="263"/>
      <c r="AS4" s="263"/>
    </row>
    <row r="5" spans="2:50" s="260" customFormat="1" ht="11.1" customHeight="1">
      <c r="B5" s="880" t="s">
        <v>5385</v>
      </c>
      <c r="C5" s="880"/>
      <c r="D5" s="398"/>
      <c r="E5" s="398"/>
      <c r="F5" s="398" t="s">
        <v>158</v>
      </c>
      <c r="G5" s="881">
        <f>form!L2</f>
        <v>0</v>
      </c>
      <c r="H5" s="881"/>
      <c r="J5" s="270"/>
      <c r="K5" s="270"/>
      <c r="L5" s="270"/>
      <c r="M5" s="270"/>
      <c r="N5" s="270"/>
      <c r="O5" s="270"/>
      <c r="P5" s="270"/>
      <c r="Q5" s="270"/>
      <c r="R5" s="399" t="s">
        <v>747</v>
      </c>
      <c r="S5" s="399"/>
      <c r="T5" s="271"/>
      <c r="U5" s="271"/>
      <c r="V5" s="271"/>
      <c r="W5" s="271"/>
      <c r="X5" s="271"/>
      <c r="Y5" s="271"/>
      <c r="AA5" s="399" t="s">
        <v>748</v>
      </c>
      <c r="AB5" s="399"/>
      <c r="AC5" s="271"/>
      <c r="AD5" s="271"/>
      <c r="AE5" s="271"/>
      <c r="AF5" s="271"/>
      <c r="AG5" s="271"/>
      <c r="AH5" s="271"/>
      <c r="AJ5" s="272" t="s">
        <v>542</v>
      </c>
      <c r="AK5" s="272"/>
      <c r="AL5" s="272"/>
      <c r="AM5" s="272"/>
      <c r="AN5" s="272"/>
      <c r="AO5" s="272"/>
      <c r="AP5" s="272"/>
      <c r="AQ5" s="272"/>
      <c r="AR5" s="272"/>
      <c r="AS5" s="272"/>
    </row>
    <row r="6" spans="2:50" s="260" customFormat="1" ht="9.6">
      <c r="J6" s="270"/>
      <c r="K6" s="270"/>
      <c r="L6" s="270"/>
      <c r="M6" s="270"/>
      <c r="N6" s="270"/>
      <c r="O6" s="270"/>
      <c r="P6" s="270"/>
      <c r="Q6" s="270"/>
      <c r="R6" s="270"/>
      <c r="S6" s="270"/>
    </row>
    <row r="7" spans="2:50" s="260" customFormat="1" ht="24.9" customHeight="1">
      <c r="B7" s="609" t="s">
        <v>480</v>
      </c>
      <c r="C7" s="610" t="s">
        <v>5469</v>
      </c>
      <c r="D7" s="610" t="s">
        <v>5470</v>
      </c>
      <c r="E7" s="611" t="s">
        <v>5471</v>
      </c>
      <c r="F7" s="612" t="s">
        <v>5472</v>
      </c>
      <c r="G7" s="612" t="s">
        <v>5403</v>
      </c>
      <c r="H7" s="613" t="s">
        <v>5405</v>
      </c>
      <c r="J7" s="275" t="s">
        <v>541</v>
      </c>
      <c r="L7" s="273" t="s">
        <v>539</v>
      </c>
      <c r="M7" s="273" t="s">
        <v>540</v>
      </c>
      <c r="N7" s="274" t="s">
        <v>543</v>
      </c>
      <c r="O7" s="276" t="s">
        <v>545</v>
      </c>
      <c r="Q7" s="277"/>
      <c r="R7" s="277"/>
      <c r="S7" s="277"/>
      <c r="T7" s="277"/>
      <c r="U7" s="278"/>
      <c r="V7" s="278"/>
      <c r="W7" s="278"/>
      <c r="X7" s="278"/>
      <c r="Y7" s="278"/>
      <c r="AA7" s="279"/>
      <c r="AB7" s="279"/>
      <c r="AC7" s="279"/>
      <c r="AD7" s="280"/>
      <c r="AE7" s="278"/>
      <c r="AF7" s="278"/>
      <c r="AG7" s="281"/>
      <c r="AH7" s="278"/>
      <c r="AJ7" s="277"/>
      <c r="AK7" s="277"/>
      <c r="AL7" s="277"/>
      <c r="AM7" s="277"/>
      <c r="AN7" s="282"/>
      <c r="AO7" s="281"/>
      <c r="AP7" s="282"/>
      <c r="AQ7" s="281"/>
      <c r="AR7" s="282"/>
      <c r="AS7" s="277"/>
      <c r="AU7" s="277"/>
      <c r="AV7" s="277"/>
    </row>
    <row r="8" spans="2:50" s="288" customFormat="1" ht="24.9" customHeight="1">
      <c r="B8" s="608" t="str">
        <f>form!B9</f>
        <v>Розділ № 1: ДВЕРНІ БЛОКИ (тільки 1 стулкові)</v>
      </c>
      <c r="C8" s="283"/>
      <c r="D8" s="284"/>
      <c r="E8" s="285"/>
      <c r="F8" s="286" t="str">
        <f>IF(H8="","","ИТОГО:")</f>
        <v/>
      </c>
      <c r="G8" s="624" t="str">
        <f>IF(J8=0,"",SUM(G9:G53))</f>
        <v/>
      </c>
      <c r="H8" s="287" t="str">
        <f>IF(J8=0,"",SUM(H9:H53))</f>
        <v/>
      </c>
      <c r="J8" s="289">
        <f>SUM(J9:J53)</f>
        <v>0</v>
      </c>
      <c r="L8" s="290"/>
      <c r="M8" s="290"/>
      <c r="N8" s="290"/>
      <c r="O8" s="290"/>
      <c r="Q8" s="291"/>
      <c r="R8" s="292" t="s">
        <v>465</v>
      </c>
      <c r="S8" s="292" t="s">
        <v>464</v>
      </c>
      <c r="T8" s="292" t="s">
        <v>453</v>
      </c>
      <c r="U8" s="292" t="s">
        <v>463</v>
      </c>
      <c r="V8" s="292" t="s">
        <v>234</v>
      </c>
      <c r="W8" s="292" t="s">
        <v>236</v>
      </c>
      <c r="X8" s="292" t="s">
        <v>467</v>
      </c>
      <c r="Y8" s="292" t="s">
        <v>468</v>
      </c>
      <c r="AA8" s="292" t="s">
        <v>465</v>
      </c>
      <c r="AB8" s="292" t="s">
        <v>464</v>
      </c>
      <c r="AC8" s="292" t="s">
        <v>453</v>
      </c>
      <c r="AD8" s="292" t="s">
        <v>463</v>
      </c>
      <c r="AE8" s="292" t="s">
        <v>234</v>
      </c>
      <c r="AF8" s="292" t="s">
        <v>236</v>
      </c>
      <c r="AG8" s="292" t="s">
        <v>467</v>
      </c>
      <c r="AH8" s="292" t="s">
        <v>468</v>
      </c>
      <c r="AJ8" s="292" t="s">
        <v>348</v>
      </c>
      <c r="AK8" s="292" t="s">
        <v>753</v>
      </c>
      <c r="AL8" s="292" t="s">
        <v>466</v>
      </c>
      <c r="AM8" s="293"/>
      <c r="AN8" s="292" t="s">
        <v>544</v>
      </c>
      <c r="AO8" s="292" t="s">
        <v>256</v>
      </c>
      <c r="AP8" s="292" t="s">
        <v>114</v>
      </c>
      <c r="AQ8" s="294" t="s">
        <v>1041</v>
      </c>
      <c r="AR8" s="671" t="s">
        <v>1041</v>
      </c>
      <c r="AS8" s="292" t="s">
        <v>1038</v>
      </c>
      <c r="AU8" s="662" t="s">
        <v>1787</v>
      </c>
      <c r="AV8" s="292" t="s">
        <v>578</v>
      </c>
    </row>
    <row r="9" spans="2:50" s="288" customFormat="1" ht="24.9" customHeight="1">
      <c r="B9" s="390"/>
      <c r="C9" s="604" t="str">
        <f t="shared" ref="C9:C14" si="0">IF(ISNA(L9),"",L9)</f>
        <v/>
      </c>
      <c r="D9" s="606" t="str">
        <f t="shared" ref="D9:D14" si="1">IF(ISNA(M9),"",M9)</f>
        <v/>
      </c>
      <c r="E9" s="484" t="str">
        <f>IF(OR(J9=0,J9=""),"",VLOOKUP(R9,Лист1!$M:$O,3,0))</f>
        <v/>
      </c>
      <c r="F9" s="295" t="str">
        <f t="shared" ref="F9:F14" si="2">IF(ISNA(N9),"",N9)</f>
        <v/>
      </c>
      <c r="G9" s="625" t="str">
        <f t="shared" ref="G9:G14" si="3">IF(J9=0,"",J9)</f>
        <v/>
      </c>
      <c r="H9" s="296" t="str">
        <f t="shared" ref="H9:H14" si="4">IF(ISNA(O9),"",O9)</f>
        <v/>
      </c>
      <c r="J9" s="297">
        <f>form!$R$11</f>
        <v>0</v>
      </c>
      <c r="L9" s="298" t="str">
        <f>IF(G9="","",CONCATENATE(R9,".",S9,".",T9,".",U9,".",V9,".",W9,".",X9,".",Y9))</f>
        <v/>
      </c>
      <c r="M9" s="298" t="str">
        <f>IF(G9="","",CONCATENATE(AA9,", ",AB9,", ",AC9,", ",AD9,", ",AE9,", ",AF9,", ",AG9,", ",AH9))</f>
        <v/>
      </c>
      <c r="N9" s="298" t="str">
        <f t="shared" ref="N9:N32" si="5">IF(G9="","",AS9*(1-$G$1))</f>
        <v/>
      </c>
      <c r="O9" s="298" t="str">
        <f t="shared" ref="O9:O32" si="6">IF(F9="","",G9*F9)</f>
        <v/>
      </c>
      <c r="Q9" s="299" t="s">
        <v>846</v>
      </c>
      <c r="R9" s="300" t="e">
        <f>VLOOKUP(CONCATENATE(form!$C$11,".",form!$D$11),Лист1!$L:$N,2,0)</f>
        <v>#N/A</v>
      </c>
      <c r="S9" s="301" t="e">
        <f>VLOOKUP(CONCATENATE(form!$C$11,".",form!$D$11),Лист1!$Q:$S,2,0)</f>
        <v>#N/A</v>
      </c>
      <c r="T9" s="301" t="e">
        <f>VLOOKUP(CONCATENATE(form!$E$11,".",form!$F$11,".",form!$G$11),Лист1!$U:$W,2,0)</f>
        <v>#N/A</v>
      </c>
      <c r="U9" s="302" t="e">
        <f>VLOOKUP(form!$I$11,Лист1!$Y:$AA,2,0)</f>
        <v>#N/A</v>
      </c>
      <c r="V9" s="302" t="e">
        <f>VLOOKUP(form!$J$11,Лист1!$AC:$AE,2,0)</f>
        <v>#N/A</v>
      </c>
      <c r="W9" s="302" t="e">
        <f>VLOOKUP(form!$K$11,Лист1!$AG:$AI,2,0)</f>
        <v>#N/A</v>
      </c>
      <c r="X9" s="302" t="e">
        <f>VLOOKUP(CONCATENATE(form!$L$11,".",form!$M$11),Лист1!$AK$14:$AM$192,2,0)</f>
        <v>#N/A</v>
      </c>
      <c r="Y9" s="302" t="e">
        <f>VLOOKUP(CONCATENATE(form!$L$11,".",form!$N$11),Лист1!$AO$13:$AQ$127,2,0)</f>
        <v>#N/A</v>
      </c>
      <c r="AA9" s="303" t="e">
        <f>VLOOKUP(CONCATENATE(form!$C$11,".",form!$D$11),Лист1!$L:$N,3,0)</f>
        <v>#N/A</v>
      </c>
      <c r="AB9" s="303" t="e">
        <f>VLOOKUP(CONCATENATE(form!$C$11,".",form!$D$11),Лист1!$Q:$S,3,0)</f>
        <v>#N/A</v>
      </c>
      <c r="AC9" s="303" t="e">
        <f>VLOOKUP(CONCATENATE(form!$E$11,".",form!$F$11,".",form!$G$11),Лист1!$U:$W,3,0)</f>
        <v>#N/A</v>
      </c>
      <c r="AD9" s="303" t="e">
        <f>VLOOKUP(form!$I$11,Лист1!$Y:$AA,3,0)</f>
        <v>#N/A</v>
      </c>
      <c r="AE9" s="303" t="e">
        <f>VLOOKUP(form!$J$11,Лист1!$AC:$AE,3,0)</f>
        <v>#N/A</v>
      </c>
      <c r="AF9" s="304" t="e">
        <f>VLOOKUP(form!$K$11,Лист1!$AG:$AI,3,0)</f>
        <v>#N/A</v>
      </c>
      <c r="AG9" s="303" t="e">
        <f>VLOOKUP(CONCATENATE(form!$L$11,".",form!$M$11),Лист1!$AK$14:$AM$192,3,0)</f>
        <v>#N/A</v>
      </c>
      <c r="AH9" s="303" t="e">
        <f>VLOOKUP(CONCATENATE(form!$L$11,".",form!$N$11),Лист1!$AO$13:$AQ$127,3,0)</f>
        <v>#N/A</v>
      </c>
      <c r="AJ9" s="305" t="e">
        <f>VLOOKUP(CONCATENATE(form!$C$11,".",form!$D$11,".",form!$H$11),Лист1!$DD:$DH,5,0)</f>
        <v>#N/A</v>
      </c>
      <c r="AK9" s="305" t="e">
        <f>VLOOKUP(CONCATENATE(form!$C$11,".",form!$J$11),Лист1!$DJ:$DN,5,0)</f>
        <v>#N/A</v>
      </c>
      <c r="AL9" s="305" t="e">
        <f>VLOOKUP(CONCATENATE(form!$C$11,".",form!$D$11,".",form!$K$11),Лист1!$DP:$DT,5,0)</f>
        <v>#N/A</v>
      </c>
      <c r="AM9" s="306"/>
      <c r="AN9" s="305" t="e">
        <f>VLOOKUP(CONCATENATE(form!$C$11,".",form!$L$11),Лист1!$DV:$DZ,5,0)</f>
        <v>#N/A</v>
      </c>
      <c r="AO9" s="305" t="e">
        <f>VLOOKUP(CONCATENATE(form!$C$11,".",form!$M$11),Лист1!$EB:$EF,5,0)</f>
        <v>#N/A</v>
      </c>
      <c r="AP9" s="659"/>
      <c r="AQ9" s="307" t="str">
        <f>IF(ISNA(AR9),"0",AR9)</f>
        <v>0</v>
      </c>
      <c r="AR9" s="670" t="e">
        <f>VLOOKUP(CONCATENATE(form!$C$11,".",form!$G$11),Лист1!$EH:$EL,5,0)</f>
        <v>#N/A</v>
      </c>
      <c r="AS9" s="308" t="e">
        <f>SUM(AJ9:AQ9)</f>
        <v>#N/A</v>
      </c>
      <c r="AU9" s="663">
        <f>IF(ISNA(AV9),"0",AV9)</f>
        <v>0</v>
      </c>
      <c r="AV9" s="309">
        <f>IF(G9="",0,ROUND(AS9*G9,2))</f>
        <v>0</v>
      </c>
      <c r="AX9" s="309"/>
    </row>
    <row r="10" spans="2:50" s="288" customFormat="1" ht="24.9" customHeight="1">
      <c r="B10" s="391">
        <v>1</v>
      </c>
      <c r="C10" s="604" t="str">
        <f t="shared" si="0"/>
        <v/>
      </c>
      <c r="D10" s="606" t="str">
        <f t="shared" si="1"/>
        <v/>
      </c>
      <c r="E10" s="484" t="str">
        <f>IF(OR(J10=0,J10=""),"",VLOOKUP(R10,Лист1!$M:$O,3,0))</f>
        <v/>
      </c>
      <c r="F10" s="295" t="str">
        <f t="shared" si="2"/>
        <v/>
      </c>
      <c r="G10" s="625" t="str">
        <f>IF(J10=0,"",J10)</f>
        <v/>
      </c>
      <c r="H10" s="296" t="str">
        <f t="shared" si="4"/>
        <v/>
      </c>
      <c r="J10" s="297" t="str">
        <f>form!$DE$11</f>
        <v/>
      </c>
      <c r="L10" s="310" t="str">
        <f>IF(G10="","",CONCATENATE(R10,".",T10,".",S10,".",U10,".",X10,".",Y10))</f>
        <v/>
      </c>
      <c r="M10" s="310" t="str">
        <f>IF(G10="","",CONCATENATE(AA10,", ",AB10,", ",AC10,", ",AD10,", ",AG10,", ",AH10))</f>
        <v/>
      </c>
      <c r="N10" s="310" t="str">
        <f t="shared" si="5"/>
        <v/>
      </c>
      <c r="O10" s="310" t="str">
        <f t="shared" si="6"/>
        <v/>
      </c>
      <c r="Q10" s="311" t="s">
        <v>847</v>
      </c>
      <c r="R10" s="300" t="e">
        <f>VLOOKUP(CONCATENATE(form!$CV$11,".",form!$CW$11),Лист1!$L:$N,2,0)</f>
        <v>#N/A</v>
      </c>
      <c r="S10" s="301" t="e">
        <f>VLOOKUP(CONCATENATE(form!$CV$11,".",form!$CW$11),Лист1!$Q:$S,2,0)</f>
        <v>#N/A</v>
      </c>
      <c r="T10" s="301" t="e">
        <f>VLOOKUP(CONCATENATE(form!$CV$11,".",form!$CX$11,".",form!$CY$11,".",form!$CZ$11),Лист1!$U:$W,2,0)</f>
        <v>#N/A</v>
      </c>
      <c r="U10" s="302" t="e">
        <f>VLOOKUP(form!$DB$11,Лист1!$Y:$AA,2,0)</f>
        <v>#N/A</v>
      </c>
      <c r="V10" s="312"/>
      <c r="W10" s="312"/>
      <c r="X10" s="302" t="e">
        <f>VLOOKUP(form!$DC$11,Лист1!$AK$196:$AM$228,2,0)</f>
        <v>#N/A</v>
      </c>
      <c r="Y10" s="302" t="e">
        <f>VLOOKUP(form!$DD$11,Лист1!$AO$130:$AQ$181,2,0)</f>
        <v>#N/A</v>
      </c>
      <c r="AA10" s="310" t="e">
        <f>VLOOKUP(CONCATENATE(form!$CV$11,".",form!$CW$11),Лист1!$L:$N,3,0)</f>
        <v>#N/A</v>
      </c>
      <c r="AB10" s="310" t="e">
        <f>VLOOKUP(CONCATENATE(form!$CV$11,".",form!$CW$11),Лист1!$Q:$S,3,0)</f>
        <v>#N/A</v>
      </c>
      <c r="AC10" s="310" t="e">
        <f>VLOOKUP(CONCATENATE(form!$CV$11,".",form!$CX$11,".",form!$CY$11,".",form!$CZ$11),Лист1!$U:$W,3,0)</f>
        <v>#N/A</v>
      </c>
      <c r="AD10" s="310" t="e">
        <f>VLOOKUP(form!$DB$11,Лист1!$Y:$AA,3,0)</f>
        <v>#N/A</v>
      </c>
      <c r="AE10" s="313"/>
      <c r="AF10" s="313"/>
      <c r="AG10" s="314" t="e">
        <f>VLOOKUP(form!$DC$11,Лист1!$AK$196:$AM$228,3,0)</f>
        <v>#N/A</v>
      </c>
      <c r="AH10" s="310" t="e">
        <f>VLOOKUP(form!$DD$11,Лист1!$AO$130:$AQ$181,3,0)</f>
        <v>#N/A</v>
      </c>
      <c r="AJ10" s="315" t="e">
        <f>VLOOKUP(CONCATENATE(form!$CV$11,".",form!$CW$11,".",form!$DA$11),Лист1!$DD:$DH,5,0)</f>
        <v>#N/A</v>
      </c>
      <c r="AK10" s="316"/>
      <c r="AL10" s="316"/>
      <c r="AM10" s="316"/>
      <c r="AN10" s="305" t="e">
        <f>VLOOKUP(CONCATENATE(form!$CV$11,".",form!$DC$11),Лист1!$DV:$DZ,5,0)</f>
        <v>#N/A</v>
      </c>
      <c r="AO10" s="316"/>
      <c r="AP10" s="315" t="e">
        <f>VLOOKUP(CONCATENATE(form!$CV$11,".",form!$CW$11,".",form!$DA$11,".",form!$CY$11),Лист1!$EH:$EL,5,0)</f>
        <v>#N/A</v>
      </c>
      <c r="AQ10" s="317"/>
      <c r="AR10" s="317"/>
      <c r="AS10" s="308" t="e">
        <f t="shared" ref="AS10:AS73" si="7">SUM(AJ10:AQ10)</f>
        <v>#N/A</v>
      </c>
      <c r="AU10" s="663">
        <f t="shared" ref="AU10:AU32" si="8">IF(ISNA(AV10),"0",AV10)</f>
        <v>0</v>
      </c>
      <c r="AV10" s="309">
        <f t="shared" ref="AV10:AV32" si="9">IF(G10="",0,ROUND(AS10*G10,2))</f>
        <v>0</v>
      </c>
      <c r="AX10" s="309"/>
    </row>
    <row r="11" spans="2:50" s="288" customFormat="1" ht="24.9" customHeight="1">
      <c r="B11" s="392"/>
      <c r="C11" s="605" t="str">
        <f t="shared" si="0"/>
        <v/>
      </c>
      <c r="D11" s="607" t="str">
        <f t="shared" si="1"/>
        <v/>
      </c>
      <c r="E11" s="485" t="str">
        <f>IF(OR(J11=0,J11=""),"",VLOOKUP(R11,Лист1!$M:$O,3,0))</f>
        <v/>
      </c>
      <c r="F11" s="318" t="str">
        <f t="shared" si="2"/>
        <v/>
      </c>
      <c r="G11" s="626" t="str">
        <f t="shared" si="3"/>
        <v/>
      </c>
      <c r="H11" s="319" t="str">
        <f t="shared" si="4"/>
        <v/>
      </c>
      <c r="J11" s="297" t="str">
        <f>form!$DL$11</f>
        <v/>
      </c>
      <c r="L11" s="320" t="str">
        <f>IF(G11="","",CONCATENATE(R11,".",T11,".",S11,".",U11))</f>
        <v/>
      </c>
      <c r="M11" s="320" t="str">
        <f>IF(G11="","",CONCATENATE(AA11,", ",AC11,", ",AD11))</f>
        <v/>
      </c>
      <c r="N11" s="320" t="str">
        <f t="shared" si="5"/>
        <v/>
      </c>
      <c r="O11" s="320" t="str">
        <f t="shared" si="6"/>
        <v/>
      </c>
      <c r="Q11" s="321" t="s">
        <v>848</v>
      </c>
      <c r="R11" s="322" t="e">
        <f>VLOOKUP(form!$DG$11,Лист1!$L:$N,2,0)</f>
        <v>#N/A</v>
      </c>
      <c r="S11" s="323" t="e">
        <f>VLOOKUP(form!$DG$11,Лист1!$Q:$S,2,0)</f>
        <v>#N/A</v>
      </c>
      <c r="T11" s="323" t="e">
        <f>VLOOKUP(CONCATENATE(form!$DG$11,".",form!$DI$11),Лист1!$U:$W,2,0)</f>
        <v>#N/A</v>
      </c>
      <c r="U11" s="324" t="e">
        <f>VLOOKUP(form!$DK$11,Лист1!$Y:$AA,2,0)</f>
        <v>#N/A</v>
      </c>
      <c r="V11" s="325"/>
      <c r="W11" s="325"/>
      <c r="X11" s="325"/>
      <c r="Y11" s="325"/>
      <c r="AA11" s="320" t="e">
        <f>VLOOKUP(form!$DG$11,Лист1!$L:$N,3,0)</f>
        <v>#N/A</v>
      </c>
      <c r="AB11" s="325"/>
      <c r="AC11" s="320" t="e">
        <f>VLOOKUP(CONCATENATE(form!$DG$11,".",form!$DI$11),Лист1!$U:$W,3,0)</f>
        <v>#N/A</v>
      </c>
      <c r="AD11" s="320" t="e">
        <f>VLOOKUP(form!$DK$11,Лист1!$Y:$AA,3,0)</f>
        <v>#N/A</v>
      </c>
      <c r="AE11" s="325"/>
      <c r="AF11" s="325"/>
      <c r="AG11" s="325"/>
      <c r="AH11" s="325"/>
      <c r="AJ11" s="326" t="e">
        <f>VLOOKUP(CONCATENATE(form!$DG$11,".",form!$DJ$11),Лист1!$DD:$DH,5,0)</f>
        <v>#N/A</v>
      </c>
      <c r="AK11" s="325"/>
      <c r="AL11" s="325"/>
      <c r="AM11" s="325"/>
      <c r="AN11" s="325"/>
      <c r="AO11" s="325"/>
      <c r="AP11" s="326" t="e">
        <f>VLOOKUP(CONCATENATE(form!$DG$11,".",form!$DJ$11,".",form!$DH$11),Лист1!$EH:$EL,5,0)</f>
        <v>#N/A</v>
      </c>
      <c r="AQ11" s="327"/>
      <c r="AR11" s="327"/>
      <c r="AS11" s="328" t="e">
        <f t="shared" si="7"/>
        <v>#N/A</v>
      </c>
      <c r="AU11" s="664">
        <f t="shared" si="8"/>
        <v>0</v>
      </c>
      <c r="AV11" s="329">
        <f t="shared" si="9"/>
        <v>0</v>
      </c>
      <c r="AX11" s="309"/>
    </row>
    <row r="12" spans="2:50" s="288" customFormat="1" ht="24.9" customHeight="1">
      <c r="B12" s="393"/>
      <c r="C12" s="604" t="str">
        <f t="shared" si="0"/>
        <v/>
      </c>
      <c r="D12" s="606" t="str">
        <f t="shared" si="1"/>
        <v/>
      </c>
      <c r="E12" s="484" t="str">
        <f>IF(OR(J12=0,J12=""),"",VLOOKUP(R12,Лист1!$M:$O,3,0))</f>
        <v/>
      </c>
      <c r="F12" s="295" t="str">
        <f t="shared" si="2"/>
        <v/>
      </c>
      <c r="G12" s="625" t="str">
        <f t="shared" si="3"/>
        <v/>
      </c>
      <c r="H12" s="296" t="str">
        <f t="shared" si="4"/>
        <v/>
      </c>
      <c r="J12" s="297">
        <f>form!$R$12</f>
        <v>0</v>
      </c>
      <c r="L12" s="298" t="str">
        <f>IF(G12="","",CONCATENATE(R12,".",S12,".",T12,".",U12,".",V12,".",W12,".",X12,".",Y12))</f>
        <v/>
      </c>
      <c r="M12" s="298" t="str">
        <f>IF(G12="","",CONCATENATE(AA12,", ",AB12,", ",AC12,", ",AD12,", ",AE12,", ",AF12,", ",AG12,", ",AH12))</f>
        <v/>
      </c>
      <c r="N12" s="298" t="str">
        <f t="shared" si="5"/>
        <v/>
      </c>
      <c r="O12" s="298" t="str">
        <f t="shared" si="6"/>
        <v/>
      </c>
      <c r="Q12" s="299" t="s">
        <v>846</v>
      </c>
      <c r="R12" s="300" t="e">
        <f>VLOOKUP(CONCATENATE(form!$C$12,".",form!$D$12),Лист1!$L:$N,2,0)</f>
        <v>#N/A</v>
      </c>
      <c r="S12" s="301" t="e">
        <f>VLOOKUP(CONCATENATE(form!$C$12,".",form!$D$12),Лист1!$Q:$S,2,0)</f>
        <v>#N/A</v>
      </c>
      <c r="T12" s="301" t="e">
        <f>VLOOKUP(CONCATENATE(form!$E$12,".",form!$F$12,".",form!$G$12),Лист1!$U:$W,2,0)</f>
        <v>#N/A</v>
      </c>
      <c r="U12" s="302" t="e">
        <f>VLOOKUP(form!$I$12,Лист1!$Y:$AA,2,0)</f>
        <v>#N/A</v>
      </c>
      <c r="V12" s="302" t="e">
        <f>VLOOKUP(form!$J$12,Лист1!$AC:$AE,2,0)</f>
        <v>#N/A</v>
      </c>
      <c r="W12" s="302" t="e">
        <f>VLOOKUP(form!$K$12,Лист1!$AG:$AI,2,0)</f>
        <v>#N/A</v>
      </c>
      <c r="X12" s="302" t="e">
        <f>VLOOKUP(CONCATENATE(form!$L$12,".",form!$M$12),Лист1!$AK$14:$AM$192,2,0)</f>
        <v>#N/A</v>
      </c>
      <c r="Y12" s="302" t="e">
        <f>VLOOKUP(CONCATENATE(form!$L$12,".",form!$N$12),Лист1!$AO$13:$AQ$127,2,0)</f>
        <v>#N/A</v>
      </c>
      <c r="AA12" s="303" t="e">
        <f>VLOOKUP(CONCATENATE(form!$C$12,".",form!$D$12),Лист1!$L:$N,3,0)</f>
        <v>#N/A</v>
      </c>
      <c r="AB12" s="303" t="e">
        <f>VLOOKUP(CONCATENATE(form!$C$12,".",form!$D$12),Лист1!$Q:$S,3,0)</f>
        <v>#N/A</v>
      </c>
      <c r="AC12" s="303" t="e">
        <f>VLOOKUP(CONCATENATE(form!$E$12,".",form!$F$12,".",form!$G$12),Лист1!$U:$W,3,0)</f>
        <v>#N/A</v>
      </c>
      <c r="AD12" s="303" t="e">
        <f>VLOOKUP(form!$I$12,Лист1!$Y:$AA,3,0)</f>
        <v>#N/A</v>
      </c>
      <c r="AE12" s="303" t="e">
        <f>VLOOKUP(form!$J$12,Лист1!$AC:$AE,3,0)</f>
        <v>#N/A</v>
      </c>
      <c r="AF12" s="304" t="e">
        <f>VLOOKUP(form!$K$12,Лист1!$AG:$AI,3,0)</f>
        <v>#N/A</v>
      </c>
      <c r="AG12" s="303" t="e">
        <f>VLOOKUP(CONCATENATE(form!$L$12,".",form!$M$12),Лист1!$AK$14:$AM$192,3,0)</f>
        <v>#N/A</v>
      </c>
      <c r="AH12" s="303" t="e">
        <f>VLOOKUP(CONCATENATE(form!$L$12,".",form!$N$12),Лист1!$AO$13:$AQ$127,3,0)</f>
        <v>#N/A</v>
      </c>
      <c r="AJ12" s="305" t="e">
        <f>VLOOKUP(CONCATENATE(form!$C$12,".",form!$D$12,".",form!$H$12),Лист1!$DD:$DH,5,0)</f>
        <v>#N/A</v>
      </c>
      <c r="AK12" s="305" t="e">
        <f>VLOOKUP(CONCATENATE(form!$C$12,".",form!$J$12),Лист1!$DJ:$DN,5,0)</f>
        <v>#N/A</v>
      </c>
      <c r="AL12" s="305" t="e">
        <f>VLOOKUP(CONCATENATE(form!$C$12,".",form!$D$12,".",form!$K$12),Лист1!$DP:$DT,5,0)</f>
        <v>#N/A</v>
      </c>
      <c r="AM12" s="306"/>
      <c r="AN12" s="305" t="e">
        <f>VLOOKUP(CONCATENATE(form!$C$12,".",form!$L$12),Лист1!$DV:$DZ,5,0)</f>
        <v>#N/A</v>
      </c>
      <c r="AO12" s="305" t="e">
        <f>VLOOKUP(CONCATENATE(form!$C$12,".",form!$M$12),Лист1!$EB:$EF,5,0)</f>
        <v>#N/A</v>
      </c>
      <c r="AP12" s="659"/>
      <c r="AQ12" s="307" t="str">
        <f>IF(ISNA(AR12),"0",AR12)</f>
        <v>0</v>
      </c>
      <c r="AR12" s="670" t="e">
        <f>VLOOKUP(CONCATENATE(form!$C$12,".",form!$G$12),Лист1!$EH:$EL,5,0)</f>
        <v>#N/A</v>
      </c>
      <c r="AS12" s="308" t="e">
        <f t="shared" si="7"/>
        <v>#N/A</v>
      </c>
      <c r="AU12" s="663">
        <f t="shared" si="8"/>
        <v>0</v>
      </c>
      <c r="AV12" s="309">
        <f t="shared" si="9"/>
        <v>0</v>
      </c>
      <c r="AX12" s="309"/>
    </row>
    <row r="13" spans="2:50" s="288" customFormat="1" ht="24.9" customHeight="1">
      <c r="B13" s="391">
        <v>2</v>
      </c>
      <c r="C13" s="604" t="str">
        <f t="shared" si="0"/>
        <v/>
      </c>
      <c r="D13" s="606" t="str">
        <f t="shared" si="1"/>
        <v/>
      </c>
      <c r="E13" s="484" t="str">
        <f>IF(OR(J13=0,J13=""),"",VLOOKUP(R13,Лист1!$M:$O,3,0))</f>
        <v/>
      </c>
      <c r="F13" s="295" t="str">
        <f t="shared" si="2"/>
        <v/>
      </c>
      <c r="G13" s="625" t="str">
        <f t="shared" si="3"/>
        <v/>
      </c>
      <c r="H13" s="296" t="str">
        <f t="shared" si="4"/>
        <v/>
      </c>
      <c r="J13" s="297" t="str">
        <f>form!$DE$12</f>
        <v/>
      </c>
      <c r="L13" s="310" t="str">
        <f>IF(G13="","",CONCATENATE(R13,".",T13,".",S13,".",U13,".",X13,".",Y13))</f>
        <v/>
      </c>
      <c r="M13" s="310" t="str">
        <f>IF(G13="","",CONCATENATE(AA13,", ",AB13,", ",AC13,", ",AD13,", ",AG13,", ",AH13))</f>
        <v/>
      </c>
      <c r="N13" s="310" t="str">
        <f t="shared" si="5"/>
        <v/>
      </c>
      <c r="O13" s="310" t="str">
        <f t="shared" si="6"/>
        <v/>
      </c>
      <c r="Q13" s="311" t="s">
        <v>847</v>
      </c>
      <c r="R13" s="300" t="e">
        <f>VLOOKUP(CONCATENATE(form!$CV$12,".",form!$CW$12),Лист1!$L:$N,2,0)</f>
        <v>#N/A</v>
      </c>
      <c r="S13" s="301" t="e">
        <f>VLOOKUP(CONCATENATE(form!$CV$12,".",form!$CW$12),Лист1!$Q:$S,2,0)</f>
        <v>#N/A</v>
      </c>
      <c r="T13" s="301" t="e">
        <f>VLOOKUP(CONCATENATE(form!$CV$12,".",form!$CX$12,".",form!$CY$12,".",form!$CZ$12),Лист1!$U:$W,2,0)</f>
        <v>#N/A</v>
      </c>
      <c r="U13" s="302" t="e">
        <f>VLOOKUP(form!$DB$12,Лист1!$Y:$AA,2,0)</f>
        <v>#N/A</v>
      </c>
      <c r="V13" s="312"/>
      <c r="W13" s="312"/>
      <c r="X13" s="302" t="e">
        <f>VLOOKUP(form!$DC$12,Лист1!$AK$196:$AM$228,2,0)</f>
        <v>#N/A</v>
      </c>
      <c r="Y13" s="302" t="e">
        <f>VLOOKUP(form!$DD$12,Лист1!$AO$130:$AQ$181,2,0)</f>
        <v>#N/A</v>
      </c>
      <c r="AA13" s="310" t="e">
        <f>VLOOKUP(CONCATENATE(form!$CV$12,".",form!$CW$12),Лист1!$L:$N,3,0)</f>
        <v>#N/A</v>
      </c>
      <c r="AB13" s="310" t="e">
        <f>VLOOKUP(CONCATENATE(form!$CV$12,".",form!$CW$12),Лист1!$Q:$S,3,0)</f>
        <v>#N/A</v>
      </c>
      <c r="AC13" s="310" t="e">
        <f>VLOOKUP(CONCATENATE(form!$CV$12,".",form!$CX$12,".",form!$CY$12,".",form!$CZ$12),Лист1!$U:$W,3,0)</f>
        <v>#N/A</v>
      </c>
      <c r="AD13" s="310" t="e">
        <f>VLOOKUP(form!$DB$12,Лист1!$Y:$AA,3,0)</f>
        <v>#N/A</v>
      </c>
      <c r="AE13" s="313"/>
      <c r="AF13" s="313"/>
      <c r="AG13" s="314" t="e">
        <f>VLOOKUP(form!$DC$12,Лист1!$AK$196:$AM$228,3,0)</f>
        <v>#N/A</v>
      </c>
      <c r="AH13" s="310" t="e">
        <f>VLOOKUP(form!$DD$12,Лист1!$AO$130:$AQ$181,3,0)</f>
        <v>#N/A</v>
      </c>
      <c r="AJ13" s="315" t="e">
        <f>VLOOKUP(CONCATENATE(form!$CV$12,".",form!$CW$12,".",form!$DA$12),Лист1!$DD:$DH,5,0)</f>
        <v>#N/A</v>
      </c>
      <c r="AK13" s="316"/>
      <c r="AL13" s="316"/>
      <c r="AM13" s="316"/>
      <c r="AN13" s="305" t="e">
        <f>VLOOKUP(CONCATENATE(form!$CV$12,".",form!$DC$12),Лист1!$DV:$DZ,5,0)</f>
        <v>#N/A</v>
      </c>
      <c r="AO13" s="316"/>
      <c r="AP13" s="315" t="e">
        <f>VLOOKUP(CONCATENATE(form!$CV$12,".",form!$CW$12,".",form!$DA$12,".",form!$CY$12),Лист1!$EH:$EL,5,0)</f>
        <v>#N/A</v>
      </c>
      <c r="AQ13" s="317"/>
      <c r="AR13" s="317"/>
      <c r="AS13" s="308" t="e">
        <f t="shared" si="7"/>
        <v>#N/A</v>
      </c>
      <c r="AU13" s="663">
        <f t="shared" si="8"/>
        <v>0</v>
      </c>
      <c r="AV13" s="309">
        <f t="shared" si="9"/>
        <v>0</v>
      </c>
      <c r="AX13" s="309"/>
    </row>
    <row r="14" spans="2:50" s="288" customFormat="1" ht="24.9" customHeight="1">
      <c r="B14" s="392"/>
      <c r="C14" s="605" t="str">
        <f t="shared" si="0"/>
        <v/>
      </c>
      <c r="D14" s="607" t="str">
        <f t="shared" si="1"/>
        <v/>
      </c>
      <c r="E14" s="485" t="str">
        <f>IF(OR(J14=0,J14=""),"",VLOOKUP(R14,Лист1!$M:$O,3,0))</f>
        <v/>
      </c>
      <c r="F14" s="318" t="str">
        <f t="shared" si="2"/>
        <v/>
      </c>
      <c r="G14" s="626" t="str">
        <f t="shared" si="3"/>
        <v/>
      </c>
      <c r="H14" s="319" t="str">
        <f t="shared" si="4"/>
        <v/>
      </c>
      <c r="J14" s="297" t="str">
        <f>form!$DL$12</f>
        <v/>
      </c>
      <c r="L14" s="320" t="str">
        <f>IF(G14="","",CONCATENATE(R14,".",T14,".",S14,".",U14))</f>
        <v/>
      </c>
      <c r="M14" s="320" t="str">
        <f>IF(G14="","",CONCATENATE(AA14,", ",AC14,", ",AD14))</f>
        <v/>
      </c>
      <c r="N14" s="320" t="str">
        <f t="shared" si="5"/>
        <v/>
      </c>
      <c r="O14" s="320" t="str">
        <f t="shared" si="6"/>
        <v/>
      </c>
      <c r="Q14" s="321" t="s">
        <v>848</v>
      </c>
      <c r="R14" s="322" t="e">
        <f>VLOOKUP(form!$DG$12,Лист1!$L:$N,2,0)</f>
        <v>#N/A</v>
      </c>
      <c r="S14" s="323" t="e">
        <f>VLOOKUP(form!$DG$12,Лист1!$Q:$S,2,0)</f>
        <v>#N/A</v>
      </c>
      <c r="T14" s="323" t="e">
        <f>VLOOKUP(CONCATENATE(form!$DG$12,".",form!$DI$12),Лист1!$U:$W,2,0)</f>
        <v>#N/A</v>
      </c>
      <c r="U14" s="324" t="e">
        <f>VLOOKUP(form!$DK$12,Лист1!$Y:$AA,2,0)</f>
        <v>#N/A</v>
      </c>
      <c r="V14" s="325"/>
      <c r="W14" s="325"/>
      <c r="X14" s="325"/>
      <c r="Y14" s="325"/>
      <c r="AA14" s="320" t="e">
        <f>VLOOKUP(form!$DG$12,Лист1!$L:$N,3,0)</f>
        <v>#N/A</v>
      </c>
      <c r="AB14" s="325"/>
      <c r="AC14" s="320" t="e">
        <f>VLOOKUP(CONCATENATE(form!$DG$12,".",form!$DI$12),Лист1!$U:$W,3,0)</f>
        <v>#N/A</v>
      </c>
      <c r="AD14" s="320" t="e">
        <f>VLOOKUP(form!$DK$12,Лист1!$Y:$AA,3,0)</f>
        <v>#N/A</v>
      </c>
      <c r="AE14" s="325"/>
      <c r="AF14" s="325"/>
      <c r="AG14" s="325"/>
      <c r="AH14" s="325"/>
      <c r="AJ14" s="326" t="e">
        <f>VLOOKUP(CONCATENATE(form!$DG$12,".",form!$DJ$12),Лист1!$DD:$DH,5,0)</f>
        <v>#N/A</v>
      </c>
      <c r="AK14" s="325"/>
      <c r="AL14" s="325"/>
      <c r="AM14" s="325"/>
      <c r="AN14" s="325"/>
      <c r="AO14" s="325"/>
      <c r="AP14" s="326" t="e">
        <f>VLOOKUP(CONCATENATE(form!$DG$12,".",form!$DJ$12,".",form!$DH$12),Лист1!$EH:$EL,5,0)</f>
        <v>#N/A</v>
      </c>
      <c r="AQ14" s="327"/>
      <c r="AR14" s="327"/>
      <c r="AS14" s="328" t="e">
        <f t="shared" si="7"/>
        <v>#N/A</v>
      </c>
      <c r="AU14" s="664">
        <f t="shared" si="8"/>
        <v>0</v>
      </c>
      <c r="AV14" s="329">
        <f t="shared" si="9"/>
        <v>0</v>
      </c>
      <c r="AX14" s="309"/>
    </row>
    <row r="15" spans="2:50" s="288" customFormat="1" ht="24.9" customHeight="1">
      <c r="B15" s="393"/>
      <c r="C15" s="604" t="str">
        <f t="shared" ref="C15:C53" si="10">IF(ISNA(L15),"",L15)</f>
        <v/>
      </c>
      <c r="D15" s="606" t="str">
        <f t="shared" ref="D15:D53" si="11">IF(ISNA(M15),"",M15)</f>
        <v/>
      </c>
      <c r="E15" s="484" t="str">
        <f>IF(OR(J15=0,J15=""),"",VLOOKUP(R15,Лист1!$M:$O,3,0))</f>
        <v/>
      </c>
      <c r="F15" s="295" t="str">
        <f t="shared" ref="F15:F53" si="12">IF(ISNA(N15),"",N15)</f>
        <v/>
      </c>
      <c r="G15" s="625" t="str">
        <f t="shared" ref="G15:G53" si="13">IF(J15=0,"",J15)</f>
        <v/>
      </c>
      <c r="H15" s="296" t="str">
        <f t="shared" ref="H15:H53" si="14">IF(ISNA(O15),"",O15)</f>
        <v/>
      </c>
      <c r="J15" s="297">
        <f>form!$R$13</f>
        <v>0</v>
      </c>
      <c r="L15" s="298" t="str">
        <f>IF(G15="","",CONCATENATE(R15,".",S15,".",T15,".",U15,".",V15,".",W15,".",X15,".",Y15))</f>
        <v/>
      </c>
      <c r="M15" s="298" t="str">
        <f>IF(G15="","",CONCATENATE(AA15,", ",AB15,", ",AC15,", ",AD15,", ",AE15,", ",AF15,", ",AG15,", ",AH15))</f>
        <v/>
      </c>
      <c r="N15" s="298" t="str">
        <f t="shared" si="5"/>
        <v/>
      </c>
      <c r="O15" s="298" t="str">
        <f t="shared" si="6"/>
        <v/>
      </c>
      <c r="Q15" s="299" t="s">
        <v>846</v>
      </c>
      <c r="R15" s="300" t="e">
        <f>VLOOKUP(CONCATENATE(form!$C$13,".",form!$D$13),Лист1!$L:$N,2,0)</f>
        <v>#N/A</v>
      </c>
      <c r="S15" s="301" t="e">
        <f>VLOOKUP(CONCATENATE(form!$C$13,".",form!$D$13),Лист1!$Q:$S,2,0)</f>
        <v>#N/A</v>
      </c>
      <c r="T15" s="301" t="e">
        <f>VLOOKUP(CONCATENATE(form!$E$13,".",form!$F$13,".",form!$G$13),Лист1!$U:$W,2,0)</f>
        <v>#N/A</v>
      </c>
      <c r="U15" s="302" t="e">
        <f>VLOOKUP(form!$I$13,Лист1!$Y:$AA,2,0)</f>
        <v>#N/A</v>
      </c>
      <c r="V15" s="302" t="e">
        <f>VLOOKUP(form!$J$13,Лист1!$AC:$AE,2,0)</f>
        <v>#N/A</v>
      </c>
      <c r="W15" s="302" t="e">
        <f>VLOOKUP(form!$K$13,Лист1!$AG:$AI,2,0)</f>
        <v>#N/A</v>
      </c>
      <c r="X15" s="302" t="e">
        <f>VLOOKUP(CONCATENATE(form!$L$13,".",form!$M$13),Лист1!$AK$14:$AM$192,2,0)</f>
        <v>#N/A</v>
      </c>
      <c r="Y15" s="302" t="e">
        <f>VLOOKUP(CONCATENATE(form!$L$13,".",form!$N$13),Лист1!$AO$13:$AQ$127,2,0)</f>
        <v>#N/A</v>
      </c>
      <c r="AA15" s="303" t="e">
        <f>VLOOKUP(CONCATENATE(form!$C$13,".",form!$D$13),Лист1!$L:$N,3,0)</f>
        <v>#N/A</v>
      </c>
      <c r="AB15" s="303" t="e">
        <f>VLOOKUP(CONCATENATE(form!$C$13,".",form!$D$13),Лист1!$Q:$S,3,0)</f>
        <v>#N/A</v>
      </c>
      <c r="AC15" s="303" t="e">
        <f>VLOOKUP(CONCATENATE(form!$E$13,".",form!$F$13,".",form!$G$13),Лист1!$U:$W,3,0)</f>
        <v>#N/A</v>
      </c>
      <c r="AD15" s="303" t="e">
        <f>VLOOKUP(form!$I$13,Лист1!$Y:$AA,3,0)</f>
        <v>#N/A</v>
      </c>
      <c r="AE15" s="303" t="e">
        <f>VLOOKUP(form!$J$13,Лист1!$AC:$AE,3,0)</f>
        <v>#N/A</v>
      </c>
      <c r="AF15" s="304" t="e">
        <f>VLOOKUP(form!$K$13,Лист1!$AG:$AI,3,0)</f>
        <v>#N/A</v>
      </c>
      <c r="AG15" s="303" t="e">
        <f>VLOOKUP(CONCATENATE(form!$L$13,".",form!$M$13),Лист1!$AK$14:$AM$192,3,0)</f>
        <v>#N/A</v>
      </c>
      <c r="AH15" s="303" t="e">
        <f>VLOOKUP(CONCATENATE(form!$L$13,".",form!$N$13),Лист1!$AO$13:$AQ$127,3,0)</f>
        <v>#N/A</v>
      </c>
      <c r="AJ15" s="305" t="e">
        <f>VLOOKUP(CONCATENATE(form!$C$13,".",form!$D$13,".",form!$H$13),Лист1!$DD:$DH,5,0)</f>
        <v>#N/A</v>
      </c>
      <c r="AK15" s="305" t="e">
        <f>VLOOKUP(CONCATENATE(form!$C$13,".",form!$J$13),Лист1!$DJ:$DN,5,0)</f>
        <v>#N/A</v>
      </c>
      <c r="AL15" s="305" t="e">
        <f>VLOOKUP(CONCATENATE(form!$C$13,".",form!$D$13,".",form!$K$13),Лист1!$DP:$DT,5,0)</f>
        <v>#N/A</v>
      </c>
      <c r="AM15" s="306"/>
      <c r="AN15" s="305" t="e">
        <f>VLOOKUP(CONCATENATE(form!$C$13,".",form!$L$13),Лист1!$DV:$DZ,5,0)</f>
        <v>#N/A</v>
      </c>
      <c r="AO15" s="305" t="e">
        <f>VLOOKUP(CONCATENATE(form!$C$13,".",form!$M$13),Лист1!$EB:$EF,5,0)</f>
        <v>#N/A</v>
      </c>
      <c r="AP15" s="659"/>
      <c r="AQ15" s="307" t="str">
        <f>IF(ISNA(AR15),"0",AR15)</f>
        <v>0</v>
      </c>
      <c r="AR15" s="670" t="e">
        <f>VLOOKUP(CONCATENATE(form!$C$13,".",form!$G$13),Лист1!$EH:$EL,5,0)</f>
        <v>#N/A</v>
      </c>
      <c r="AS15" s="308" t="e">
        <f t="shared" si="7"/>
        <v>#N/A</v>
      </c>
      <c r="AU15" s="663">
        <f t="shared" si="8"/>
        <v>0</v>
      </c>
      <c r="AV15" s="309">
        <f t="shared" si="9"/>
        <v>0</v>
      </c>
      <c r="AX15" s="309"/>
    </row>
    <row r="16" spans="2:50" s="288" customFormat="1" ht="24.9" customHeight="1">
      <c r="B16" s="391">
        <v>3</v>
      </c>
      <c r="C16" s="604" t="str">
        <f t="shared" si="10"/>
        <v/>
      </c>
      <c r="D16" s="606" t="str">
        <f t="shared" si="11"/>
        <v/>
      </c>
      <c r="E16" s="484" t="str">
        <f>IF(OR(J16=0,J16=""),"",VLOOKUP(R16,Лист1!$M:$O,3,0))</f>
        <v/>
      </c>
      <c r="F16" s="295" t="str">
        <f t="shared" si="12"/>
        <v/>
      </c>
      <c r="G16" s="625" t="str">
        <f t="shared" si="13"/>
        <v/>
      </c>
      <c r="H16" s="296" t="str">
        <f t="shared" si="14"/>
        <v/>
      </c>
      <c r="J16" s="297" t="str">
        <f>form!$DE$13</f>
        <v/>
      </c>
      <c r="L16" s="310" t="str">
        <f>IF(G16="","",CONCATENATE(R16,".",T16,".",S16,".",U16,".",X16,".",Y16))</f>
        <v/>
      </c>
      <c r="M16" s="310" t="str">
        <f>IF(G16="","",CONCATENATE(AA16,", ",AB16,", ",AC16,", ",AD16,", ",AG16,", ",AH16))</f>
        <v/>
      </c>
      <c r="N16" s="310" t="str">
        <f t="shared" si="5"/>
        <v/>
      </c>
      <c r="O16" s="310" t="str">
        <f t="shared" si="6"/>
        <v/>
      </c>
      <c r="Q16" s="311" t="s">
        <v>847</v>
      </c>
      <c r="R16" s="300" t="e">
        <f>VLOOKUP(CONCATENATE(form!$CV$13,".",form!$CW$13),Лист1!$L:$N,2,0)</f>
        <v>#N/A</v>
      </c>
      <c r="S16" s="301" t="e">
        <f>VLOOKUP(CONCATENATE(form!$CV$13,".",form!$CW$13),Лист1!$Q:$S,2,0)</f>
        <v>#N/A</v>
      </c>
      <c r="T16" s="301" t="e">
        <f>VLOOKUP(CONCATENATE(form!$CV$13,".",form!$CX$13,".",form!$CY$13,".",form!$CZ$13),Лист1!$U:$W,2,0)</f>
        <v>#N/A</v>
      </c>
      <c r="U16" s="302" t="e">
        <f>VLOOKUP(form!$DB$13,Лист1!$Y:$AA,2,0)</f>
        <v>#N/A</v>
      </c>
      <c r="V16" s="312"/>
      <c r="W16" s="312"/>
      <c r="X16" s="302" t="e">
        <f>VLOOKUP(form!$DC$13,Лист1!$AK$196:$AM$228,2,0)</f>
        <v>#N/A</v>
      </c>
      <c r="Y16" s="302" t="e">
        <f>VLOOKUP(form!$DD$13,Лист1!$AO$130:$AQ$181,2,0)</f>
        <v>#N/A</v>
      </c>
      <c r="AA16" s="310" t="e">
        <f>VLOOKUP(CONCATENATE(form!$CV$13,".",form!$CW$13),Лист1!$L:$N,3,0)</f>
        <v>#N/A</v>
      </c>
      <c r="AB16" s="310" t="e">
        <f>VLOOKUP(CONCATENATE(form!$CV$13,".",form!$CW$13),Лист1!$Q:$S,3,0)</f>
        <v>#N/A</v>
      </c>
      <c r="AC16" s="310" t="e">
        <f>VLOOKUP(CONCATENATE(form!$CV$13,".",form!$CX$13,".",form!$CY$13,".",form!$CZ$13),Лист1!$U:$W,3,0)</f>
        <v>#N/A</v>
      </c>
      <c r="AD16" s="310" t="e">
        <f>VLOOKUP(form!$DB$13,Лист1!$Y:$AA,3,0)</f>
        <v>#N/A</v>
      </c>
      <c r="AE16" s="313"/>
      <c r="AF16" s="313"/>
      <c r="AG16" s="314" t="e">
        <f>VLOOKUP(form!$DC$13,Лист1!$AK$196:$AM$228,3,0)</f>
        <v>#N/A</v>
      </c>
      <c r="AH16" s="310" t="e">
        <f>VLOOKUP(form!$DD$13,Лист1!$AO$130:$AQ$181,3,0)</f>
        <v>#N/A</v>
      </c>
      <c r="AJ16" s="315" t="e">
        <f>VLOOKUP(CONCATENATE(form!$CV$13,".",form!$CW$13,".",form!$DA$13),Лист1!$DD:$DH,5,0)</f>
        <v>#N/A</v>
      </c>
      <c r="AK16" s="316"/>
      <c r="AL16" s="316"/>
      <c r="AM16" s="316"/>
      <c r="AN16" s="305" t="e">
        <f>VLOOKUP(CONCATENATE(form!$CV$13,".",form!$DC$13),Лист1!$DV:$DZ,5,0)</f>
        <v>#N/A</v>
      </c>
      <c r="AO16" s="316"/>
      <c r="AP16" s="315" t="e">
        <f>VLOOKUP(CONCATENATE(form!$CV$13,".",form!$CW$13,".",form!$DA$13,".",form!$CY$13),Лист1!$EH:$EL,5,0)</f>
        <v>#N/A</v>
      </c>
      <c r="AQ16" s="317"/>
      <c r="AR16" s="317"/>
      <c r="AS16" s="308" t="e">
        <f t="shared" si="7"/>
        <v>#N/A</v>
      </c>
      <c r="AU16" s="663">
        <f t="shared" si="8"/>
        <v>0</v>
      </c>
      <c r="AV16" s="309">
        <f t="shared" si="9"/>
        <v>0</v>
      </c>
      <c r="AX16" s="309"/>
    </row>
    <row r="17" spans="2:50" s="288" customFormat="1" ht="24.9" customHeight="1">
      <c r="B17" s="392"/>
      <c r="C17" s="605" t="str">
        <f t="shared" si="10"/>
        <v/>
      </c>
      <c r="D17" s="607" t="str">
        <f t="shared" si="11"/>
        <v/>
      </c>
      <c r="E17" s="485" t="str">
        <f>IF(OR(J17=0,J17=""),"",VLOOKUP(R17,Лист1!$M:$O,3,0))</f>
        <v/>
      </c>
      <c r="F17" s="318" t="str">
        <f t="shared" si="12"/>
        <v/>
      </c>
      <c r="G17" s="626" t="str">
        <f t="shared" si="13"/>
        <v/>
      </c>
      <c r="H17" s="319" t="str">
        <f t="shared" si="14"/>
        <v/>
      </c>
      <c r="J17" s="297" t="str">
        <f>form!$DL$13</f>
        <v/>
      </c>
      <c r="L17" s="320" t="str">
        <f>IF(G17="","",CONCATENATE(R17,".",T17,".",S17,".",U17))</f>
        <v/>
      </c>
      <c r="M17" s="320" t="str">
        <f>IF(G17="","",CONCATENATE(AA17,", ",AC17,", ",AD17))</f>
        <v/>
      </c>
      <c r="N17" s="320" t="str">
        <f t="shared" si="5"/>
        <v/>
      </c>
      <c r="O17" s="320" t="str">
        <f t="shared" si="6"/>
        <v/>
      </c>
      <c r="Q17" s="321" t="s">
        <v>848</v>
      </c>
      <c r="R17" s="322" t="e">
        <f>VLOOKUP(form!$DG$13,Лист1!$L:$N,2,0)</f>
        <v>#N/A</v>
      </c>
      <c r="S17" s="323" t="e">
        <f>VLOOKUP(form!$DG$13,Лист1!$Q:$S,2,0)</f>
        <v>#N/A</v>
      </c>
      <c r="T17" s="323" t="e">
        <f>VLOOKUP(CONCATENATE(form!$DG$13,".",form!$DI$13),Лист1!$U:$W,2,0)</f>
        <v>#N/A</v>
      </c>
      <c r="U17" s="324" t="e">
        <f>VLOOKUP(form!$DK$13,Лист1!$Y:$AA,2,0)</f>
        <v>#N/A</v>
      </c>
      <c r="V17" s="325"/>
      <c r="W17" s="325"/>
      <c r="X17" s="325"/>
      <c r="Y17" s="325"/>
      <c r="AA17" s="320" t="e">
        <f>VLOOKUP(form!$DG$13,Лист1!$L:$N,3,0)</f>
        <v>#N/A</v>
      </c>
      <c r="AB17" s="325"/>
      <c r="AC17" s="320" t="e">
        <f>VLOOKUP(CONCATENATE(form!$DG$13,".",form!$DI$13),Лист1!$U:$W,3,0)</f>
        <v>#N/A</v>
      </c>
      <c r="AD17" s="320" t="e">
        <f>VLOOKUP(form!$DK$13,Лист1!$Y:$AA,3,0)</f>
        <v>#N/A</v>
      </c>
      <c r="AE17" s="325"/>
      <c r="AF17" s="325"/>
      <c r="AG17" s="325"/>
      <c r="AH17" s="325"/>
      <c r="AJ17" s="326" t="e">
        <f>VLOOKUP(CONCATENATE(form!$DG$13,".",form!$DJ$13),Лист1!$DD:$DH,5,0)</f>
        <v>#N/A</v>
      </c>
      <c r="AK17" s="325"/>
      <c r="AL17" s="325"/>
      <c r="AM17" s="325"/>
      <c r="AN17" s="325"/>
      <c r="AO17" s="325"/>
      <c r="AP17" s="326" t="e">
        <f>VLOOKUP(CONCATENATE(form!$DG$13,".",form!$DJ$13,".",form!$DH$13),Лист1!$EH:$EL,5,0)</f>
        <v>#N/A</v>
      </c>
      <c r="AQ17" s="327"/>
      <c r="AR17" s="327"/>
      <c r="AS17" s="328" t="e">
        <f t="shared" si="7"/>
        <v>#N/A</v>
      </c>
      <c r="AU17" s="664">
        <f t="shared" si="8"/>
        <v>0</v>
      </c>
      <c r="AV17" s="329">
        <f t="shared" si="9"/>
        <v>0</v>
      </c>
      <c r="AX17" s="309"/>
    </row>
    <row r="18" spans="2:50" s="288" customFormat="1" ht="24.9" customHeight="1">
      <c r="B18" s="393"/>
      <c r="C18" s="604" t="str">
        <f t="shared" si="10"/>
        <v/>
      </c>
      <c r="D18" s="606" t="str">
        <f t="shared" si="11"/>
        <v/>
      </c>
      <c r="E18" s="484" t="str">
        <f>IF(OR(J18=0,J18=""),"",VLOOKUP(R18,Лист1!$M:$O,3,0))</f>
        <v/>
      </c>
      <c r="F18" s="295" t="str">
        <f t="shared" si="12"/>
        <v/>
      </c>
      <c r="G18" s="625" t="str">
        <f t="shared" si="13"/>
        <v/>
      </c>
      <c r="H18" s="296" t="str">
        <f t="shared" si="14"/>
        <v/>
      </c>
      <c r="J18" s="297">
        <f>form!$R$14</f>
        <v>0</v>
      </c>
      <c r="L18" s="298" t="str">
        <f>IF(G18="","",CONCATENATE(R18,".",S18,".",T18,".",U18,".",V18,".",W18,".",X18,".",Y18))</f>
        <v/>
      </c>
      <c r="M18" s="298" t="str">
        <f>IF(G18="","",CONCATENATE(AA18,", ",AB18,", ",AC18,", ",AD18,", ",AE18,", ",AF18,", ",AG18,", ",AH18))</f>
        <v/>
      </c>
      <c r="N18" s="298" t="str">
        <f t="shared" si="5"/>
        <v/>
      </c>
      <c r="O18" s="298" t="str">
        <f t="shared" si="6"/>
        <v/>
      </c>
      <c r="Q18" s="299" t="s">
        <v>846</v>
      </c>
      <c r="R18" s="300" t="e">
        <f>VLOOKUP(CONCATENATE(form!$C$14,".",form!$D$14),Лист1!$L:$N,2,0)</f>
        <v>#N/A</v>
      </c>
      <c r="S18" s="301" t="e">
        <f>VLOOKUP(CONCATENATE(form!$C$14,".",form!$D$14),Лист1!$Q:$S,2,0)</f>
        <v>#N/A</v>
      </c>
      <c r="T18" s="301" t="e">
        <f>VLOOKUP(CONCATENATE(form!$E$14,".",form!$F$14,".",form!$G$14),Лист1!$U:$W,2,0)</f>
        <v>#N/A</v>
      </c>
      <c r="U18" s="302" t="e">
        <f>VLOOKUP(form!$I$14,Лист1!$Y:$AA,2,0)</f>
        <v>#N/A</v>
      </c>
      <c r="V18" s="302" t="e">
        <f>VLOOKUP(form!$J$14,Лист1!$AC:$AE,2,0)</f>
        <v>#N/A</v>
      </c>
      <c r="W18" s="302" t="e">
        <f>VLOOKUP(form!$K$14,Лист1!$AG:$AI,2,0)</f>
        <v>#N/A</v>
      </c>
      <c r="X18" s="302" t="e">
        <f>VLOOKUP(CONCATENATE(form!$L$14,".",form!$M$14),Лист1!$AK$14:$AM$192,2,0)</f>
        <v>#N/A</v>
      </c>
      <c r="Y18" s="302" t="e">
        <f>VLOOKUP(CONCATENATE(form!$L$14,".",form!$N$14),Лист1!$AO$13:$AQ$127,2,0)</f>
        <v>#N/A</v>
      </c>
      <c r="AA18" s="303" t="e">
        <f>VLOOKUP(CONCATENATE(form!$C$14,".",form!$D$14),Лист1!$L:$N,3,0)</f>
        <v>#N/A</v>
      </c>
      <c r="AB18" s="303" t="e">
        <f>VLOOKUP(CONCATENATE(form!$C$14,".",form!$D$14),Лист1!$Q:$S,3,0)</f>
        <v>#N/A</v>
      </c>
      <c r="AC18" s="303" t="e">
        <f>VLOOKUP(CONCATENATE(form!$E$14,".",form!$F$14,".",form!$G$14),Лист1!$U:$W,3,0)</f>
        <v>#N/A</v>
      </c>
      <c r="AD18" s="303" t="e">
        <f>VLOOKUP(form!$I$14,Лист1!$Y:$AA,3,0)</f>
        <v>#N/A</v>
      </c>
      <c r="AE18" s="303" t="e">
        <f>VLOOKUP(form!$J$14,Лист1!$AC:$AE,3,0)</f>
        <v>#N/A</v>
      </c>
      <c r="AF18" s="304" t="e">
        <f>VLOOKUP(form!$K$14,Лист1!$AG:$AI,3,0)</f>
        <v>#N/A</v>
      </c>
      <c r="AG18" s="303" t="e">
        <f>VLOOKUP(CONCATENATE(form!$L$14,".",form!$M$14),Лист1!$AK$14:$AM$192,3,0)</f>
        <v>#N/A</v>
      </c>
      <c r="AH18" s="303" t="e">
        <f>VLOOKUP(CONCATENATE(form!$L$14,".",form!$N$14),Лист1!$AO$13:$AQ$127,3,0)</f>
        <v>#N/A</v>
      </c>
      <c r="AJ18" s="305" t="e">
        <f>VLOOKUP(CONCATENATE(form!$C$14,".",form!$D$14,".",form!$H$14),Лист1!$DD:$DH,5,0)</f>
        <v>#N/A</v>
      </c>
      <c r="AK18" s="305" t="e">
        <f>VLOOKUP(CONCATENATE(form!$C$14,".",form!$J$14),Лист1!$DJ:$DN,5,0)</f>
        <v>#N/A</v>
      </c>
      <c r="AL18" s="305" t="e">
        <f>VLOOKUP(CONCATENATE(form!$C$14,".",form!$D$14,".",form!$K$14),Лист1!$DP:$DT,5,0)</f>
        <v>#N/A</v>
      </c>
      <c r="AM18" s="306"/>
      <c r="AN18" s="305" t="e">
        <f>VLOOKUP(CONCATENATE(form!$C$14,".",form!$L$14),Лист1!$DV:$DZ,5,0)</f>
        <v>#N/A</v>
      </c>
      <c r="AO18" s="305" t="e">
        <f>VLOOKUP(CONCATENATE(form!$C$14,".",form!$M$14),Лист1!$EB:$EF,5,0)</f>
        <v>#N/A</v>
      </c>
      <c r="AP18" s="659"/>
      <c r="AQ18" s="307" t="str">
        <f>IF(ISNA(AR18),"0",AR18)</f>
        <v>0</v>
      </c>
      <c r="AR18" s="670" t="e">
        <f>VLOOKUP(CONCATENATE(form!$C$14,".",form!$G$14),Лист1!$EH:$EL,5,0)</f>
        <v>#N/A</v>
      </c>
      <c r="AS18" s="308" t="e">
        <f t="shared" si="7"/>
        <v>#N/A</v>
      </c>
      <c r="AU18" s="663">
        <f t="shared" si="8"/>
        <v>0</v>
      </c>
      <c r="AV18" s="309">
        <f t="shared" si="9"/>
        <v>0</v>
      </c>
      <c r="AX18" s="309"/>
    </row>
    <row r="19" spans="2:50" s="288" customFormat="1" ht="24.9" customHeight="1">
      <c r="B19" s="391">
        <v>4</v>
      </c>
      <c r="C19" s="604" t="str">
        <f t="shared" si="10"/>
        <v/>
      </c>
      <c r="D19" s="606" t="str">
        <f t="shared" si="11"/>
        <v/>
      </c>
      <c r="E19" s="484" t="str">
        <f>IF(OR(J19=0,J19=""),"",VLOOKUP(R19,Лист1!$M:$O,3,0))</f>
        <v/>
      </c>
      <c r="F19" s="295" t="str">
        <f t="shared" si="12"/>
        <v/>
      </c>
      <c r="G19" s="625" t="str">
        <f t="shared" si="13"/>
        <v/>
      </c>
      <c r="H19" s="296" t="str">
        <f t="shared" si="14"/>
        <v/>
      </c>
      <c r="J19" s="297" t="str">
        <f>form!$DE$14</f>
        <v/>
      </c>
      <c r="L19" s="310" t="str">
        <f>IF(G19="","",CONCATENATE(R19,".",T19,".",S19,".",U19,".",X19,".",Y19))</f>
        <v/>
      </c>
      <c r="M19" s="310" t="str">
        <f>IF(G19="","",CONCATENATE(AA19,", ",AB19,", ",AC19,", ",AD19,", ",AG19,", ",AH19))</f>
        <v/>
      </c>
      <c r="N19" s="310" t="str">
        <f t="shared" si="5"/>
        <v/>
      </c>
      <c r="O19" s="310" t="str">
        <f t="shared" si="6"/>
        <v/>
      </c>
      <c r="Q19" s="311" t="s">
        <v>847</v>
      </c>
      <c r="R19" s="300" t="e">
        <f>VLOOKUP(CONCATENATE(form!$CV$14,".",form!$CW$14),Лист1!$L:$N,2,0)</f>
        <v>#N/A</v>
      </c>
      <c r="S19" s="301" t="e">
        <f>VLOOKUP(CONCATENATE(form!$CV$14,".",form!$CW$14),Лист1!$Q:$S,2,0)</f>
        <v>#N/A</v>
      </c>
      <c r="T19" s="301" t="e">
        <f>VLOOKUP(CONCATENATE(form!$CV$14,".",form!$CX$14,".",form!$CY$14,".",form!$CZ$14),Лист1!$U:$W,2,0)</f>
        <v>#N/A</v>
      </c>
      <c r="U19" s="302" t="e">
        <f>VLOOKUP(form!$DB$14,Лист1!$Y:$AA,2,0)</f>
        <v>#N/A</v>
      </c>
      <c r="V19" s="312"/>
      <c r="W19" s="312"/>
      <c r="X19" s="302" t="e">
        <f>VLOOKUP(form!$DC$14,Лист1!$AK$196:$AM$228,2,0)</f>
        <v>#N/A</v>
      </c>
      <c r="Y19" s="302" t="e">
        <f>VLOOKUP(form!$DD$14,Лист1!$AO$130:$AQ$181,2,0)</f>
        <v>#N/A</v>
      </c>
      <c r="AA19" s="310" t="e">
        <f>VLOOKUP(CONCATENATE(form!$CV$14,".",form!$CW$14),Лист1!$L:$N,3,0)</f>
        <v>#N/A</v>
      </c>
      <c r="AB19" s="310" t="e">
        <f>VLOOKUP(CONCATENATE(form!$CV$14,".",form!$CW$14),Лист1!$Q:$S,3,0)</f>
        <v>#N/A</v>
      </c>
      <c r="AC19" s="310" t="e">
        <f>VLOOKUP(CONCATENATE(form!$CV$14,".",form!$CX$14,".",form!$CY$14,".",form!$CZ$14),Лист1!$U:$W,3,0)</f>
        <v>#N/A</v>
      </c>
      <c r="AD19" s="310" t="e">
        <f>VLOOKUP(form!$DB$14,Лист1!$Y:$AA,3,0)</f>
        <v>#N/A</v>
      </c>
      <c r="AE19" s="313"/>
      <c r="AF19" s="313"/>
      <c r="AG19" s="314" t="e">
        <f>VLOOKUP(form!$DC$14,Лист1!$AK$196:$AM$228,3,0)</f>
        <v>#N/A</v>
      </c>
      <c r="AH19" s="310" t="e">
        <f>VLOOKUP(form!$DD$14,Лист1!$AO$130:$AQ$181,3,0)</f>
        <v>#N/A</v>
      </c>
      <c r="AJ19" s="315" t="e">
        <f>VLOOKUP(CONCATENATE(form!$CV$14,".",form!$CW$14,".",form!$DA$14),Лист1!$DD:$DH,5,0)</f>
        <v>#N/A</v>
      </c>
      <c r="AK19" s="316"/>
      <c r="AL19" s="316"/>
      <c r="AM19" s="316"/>
      <c r="AN19" s="305" t="e">
        <f>VLOOKUP(CONCATENATE(form!$CV$14,".",form!$DC$14),Лист1!$DV:$DZ,5,0)</f>
        <v>#N/A</v>
      </c>
      <c r="AO19" s="316"/>
      <c r="AP19" s="315" t="e">
        <f>VLOOKUP(CONCATENATE(form!$CV$14,".",form!$CW$14,".",form!$DA$14,".",form!$CY$14),Лист1!$EH:$EL,5,0)</f>
        <v>#N/A</v>
      </c>
      <c r="AQ19" s="317"/>
      <c r="AR19" s="317"/>
      <c r="AS19" s="308" t="e">
        <f t="shared" si="7"/>
        <v>#N/A</v>
      </c>
      <c r="AU19" s="663">
        <f t="shared" si="8"/>
        <v>0</v>
      </c>
      <c r="AV19" s="309">
        <f t="shared" si="9"/>
        <v>0</v>
      </c>
      <c r="AX19" s="309"/>
    </row>
    <row r="20" spans="2:50" s="288" customFormat="1" ht="24.9" customHeight="1">
      <c r="B20" s="392"/>
      <c r="C20" s="605" t="str">
        <f t="shared" si="10"/>
        <v/>
      </c>
      <c r="D20" s="607" t="str">
        <f t="shared" si="11"/>
        <v/>
      </c>
      <c r="E20" s="485" t="str">
        <f>IF(OR(J20=0,J20=""),"",VLOOKUP(R20,Лист1!$M:$O,3,0))</f>
        <v/>
      </c>
      <c r="F20" s="318" t="str">
        <f t="shared" si="12"/>
        <v/>
      </c>
      <c r="G20" s="626" t="str">
        <f t="shared" si="13"/>
        <v/>
      </c>
      <c r="H20" s="319" t="str">
        <f t="shared" si="14"/>
        <v/>
      </c>
      <c r="J20" s="297" t="str">
        <f>form!$DL$14</f>
        <v/>
      </c>
      <c r="L20" s="320" t="str">
        <f>IF(G20="","",CONCATENATE(R20,".",T20,".",S20,".",U20))</f>
        <v/>
      </c>
      <c r="M20" s="320" t="str">
        <f>IF(G20="","",CONCATENATE(AA20,", ",AC20,", ",AD20))</f>
        <v/>
      </c>
      <c r="N20" s="320" t="str">
        <f t="shared" si="5"/>
        <v/>
      </c>
      <c r="O20" s="320" t="str">
        <f t="shared" si="6"/>
        <v/>
      </c>
      <c r="Q20" s="321" t="s">
        <v>848</v>
      </c>
      <c r="R20" s="322" t="e">
        <f>VLOOKUP(form!$DG$14,Лист1!$L:$N,2,0)</f>
        <v>#N/A</v>
      </c>
      <c r="S20" s="323" t="e">
        <f>VLOOKUP(form!$DG$14,Лист1!$Q:$S,2,0)</f>
        <v>#N/A</v>
      </c>
      <c r="T20" s="323" t="e">
        <f>VLOOKUP(CONCATENATE(form!$DG$14,".",form!$DI$14),Лист1!$U:$W,2,0)</f>
        <v>#N/A</v>
      </c>
      <c r="U20" s="324" t="e">
        <f>VLOOKUP(form!$DK$14,Лист1!$Y:$AA,2,0)</f>
        <v>#N/A</v>
      </c>
      <c r="V20" s="325"/>
      <c r="W20" s="325"/>
      <c r="X20" s="325"/>
      <c r="Y20" s="325"/>
      <c r="AA20" s="320" t="e">
        <f>VLOOKUP(form!$DG$14,Лист1!$L:$N,3,0)</f>
        <v>#N/A</v>
      </c>
      <c r="AB20" s="325"/>
      <c r="AC20" s="320" t="e">
        <f>VLOOKUP(CONCATENATE(form!$DG$14,".",form!$DI$14),Лист1!$U:$W,3,0)</f>
        <v>#N/A</v>
      </c>
      <c r="AD20" s="320" t="e">
        <f>VLOOKUP(form!$DK$14,Лист1!$Y:$AA,3,0)</f>
        <v>#N/A</v>
      </c>
      <c r="AE20" s="325"/>
      <c r="AF20" s="325"/>
      <c r="AG20" s="325"/>
      <c r="AH20" s="325"/>
      <c r="AJ20" s="326" t="e">
        <f>VLOOKUP(CONCATENATE(form!$DG$14,".",form!$DJ$14),Лист1!$DD:$DH,5,0)</f>
        <v>#N/A</v>
      </c>
      <c r="AK20" s="325"/>
      <c r="AL20" s="325"/>
      <c r="AM20" s="325"/>
      <c r="AN20" s="325"/>
      <c r="AO20" s="325"/>
      <c r="AP20" s="326" t="e">
        <f>VLOOKUP(CONCATENATE(form!$DG$14,".",form!$DJ$14,".",form!$DH$14),Лист1!$EH:$EL,5,0)</f>
        <v>#N/A</v>
      </c>
      <c r="AQ20" s="327"/>
      <c r="AR20" s="327"/>
      <c r="AS20" s="328" t="e">
        <f t="shared" si="7"/>
        <v>#N/A</v>
      </c>
      <c r="AU20" s="664">
        <f t="shared" si="8"/>
        <v>0</v>
      </c>
      <c r="AV20" s="329">
        <f t="shared" si="9"/>
        <v>0</v>
      </c>
      <c r="AX20" s="309"/>
    </row>
    <row r="21" spans="2:50" s="288" customFormat="1" ht="24.9" customHeight="1">
      <c r="B21" s="393"/>
      <c r="C21" s="604" t="str">
        <f t="shared" si="10"/>
        <v/>
      </c>
      <c r="D21" s="606" t="str">
        <f t="shared" si="11"/>
        <v/>
      </c>
      <c r="E21" s="484" t="str">
        <f>IF(OR(J21=0,J21=""),"",VLOOKUP(R21,Лист1!$M:$O,3,0))</f>
        <v/>
      </c>
      <c r="F21" s="295" t="str">
        <f t="shared" si="12"/>
        <v/>
      </c>
      <c r="G21" s="625" t="str">
        <f t="shared" si="13"/>
        <v/>
      </c>
      <c r="H21" s="296" t="str">
        <f t="shared" si="14"/>
        <v/>
      </c>
      <c r="J21" s="297">
        <f>form!$R$15</f>
        <v>0</v>
      </c>
      <c r="L21" s="298" t="str">
        <f>IF(G21="","",CONCATENATE(R21,".",S21,".",T21,".",U21,".",V21,".",W21,".",X21,".",Y21))</f>
        <v/>
      </c>
      <c r="M21" s="298" t="str">
        <f>IF(G21="","",CONCATENATE(AA21,", ",AB21,", ",AC21,", ",AD21,", ",AE21,", ",AF21,", ",AG21,", ",AH21))</f>
        <v/>
      </c>
      <c r="N21" s="298" t="str">
        <f t="shared" si="5"/>
        <v/>
      </c>
      <c r="O21" s="298" t="str">
        <f t="shared" si="6"/>
        <v/>
      </c>
      <c r="Q21" s="299" t="s">
        <v>846</v>
      </c>
      <c r="R21" s="300" t="e">
        <f>VLOOKUP(CONCATENATE(form!$C$15,".",form!$D$15),Лист1!$L:$N,2,0)</f>
        <v>#N/A</v>
      </c>
      <c r="S21" s="301" t="e">
        <f>VLOOKUP(CONCATENATE(form!$C$15,".",form!$D$15),Лист1!$Q:$S,2,0)</f>
        <v>#N/A</v>
      </c>
      <c r="T21" s="301" t="e">
        <f>VLOOKUP(CONCATENATE(form!$E$15,".",form!$F$15,".",form!$G$15),Лист1!$U:$W,2,0)</f>
        <v>#N/A</v>
      </c>
      <c r="U21" s="302" t="e">
        <f>VLOOKUP(form!$I$15,Лист1!$Y:$AA,2,0)</f>
        <v>#N/A</v>
      </c>
      <c r="V21" s="302" t="e">
        <f>VLOOKUP(form!$J$15,Лист1!$AC:$AE,2,0)</f>
        <v>#N/A</v>
      </c>
      <c r="W21" s="302" t="e">
        <f>VLOOKUP(form!$K$15,Лист1!$AG:$AI,2,0)</f>
        <v>#N/A</v>
      </c>
      <c r="X21" s="302" t="e">
        <f>VLOOKUP(CONCATENATE(form!$L$15,".",form!$M$15),Лист1!$AK$14:$AM$192,2,0)</f>
        <v>#N/A</v>
      </c>
      <c r="Y21" s="302" t="e">
        <f>VLOOKUP(CONCATENATE(form!$L$15,".",form!$N$15),Лист1!$AO$13:$AQ$127,2,0)</f>
        <v>#N/A</v>
      </c>
      <c r="AA21" s="303" t="e">
        <f>VLOOKUP(CONCATENATE(form!$C$15,".",form!$D$15),Лист1!$L:$N,3,0)</f>
        <v>#N/A</v>
      </c>
      <c r="AB21" s="303" t="e">
        <f>VLOOKUP(CONCATENATE(form!$C$15,".",form!$D$15),Лист1!$Q:$S,3,0)</f>
        <v>#N/A</v>
      </c>
      <c r="AC21" s="303" t="e">
        <f>VLOOKUP(CONCATENATE(form!$E$15,".",form!$F$15,".",form!$G$15),Лист1!$U:$W,3,0)</f>
        <v>#N/A</v>
      </c>
      <c r="AD21" s="303" t="e">
        <f>VLOOKUP(form!$I$15,Лист1!$Y:$AA,3,0)</f>
        <v>#N/A</v>
      </c>
      <c r="AE21" s="303" t="e">
        <f>VLOOKUP(form!$J$15,Лист1!$AC:$AE,3,0)</f>
        <v>#N/A</v>
      </c>
      <c r="AF21" s="304" t="e">
        <f>VLOOKUP(form!$K$15,Лист1!$AG:$AI,3,0)</f>
        <v>#N/A</v>
      </c>
      <c r="AG21" s="303" t="e">
        <f>VLOOKUP(CONCATENATE(form!$L$15,".",form!$M$15),Лист1!$AK$14:$AM$192,3,0)</f>
        <v>#N/A</v>
      </c>
      <c r="AH21" s="303" t="e">
        <f>VLOOKUP(CONCATENATE(form!$L$15,".",form!$N$15),Лист1!$AO$13:$AQ$127,3,0)</f>
        <v>#N/A</v>
      </c>
      <c r="AJ21" s="305" t="e">
        <f>VLOOKUP(CONCATENATE(form!$C$15,".",form!$D$15,".",form!$H$15),Лист1!$DD:$DH,5,0)</f>
        <v>#N/A</v>
      </c>
      <c r="AK21" s="305" t="e">
        <f>VLOOKUP(CONCATENATE(form!$C$15,".",form!$J$15),Лист1!$DJ:$DN,5,0)</f>
        <v>#N/A</v>
      </c>
      <c r="AL21" s="305" t="e">
        <f>VLOOKUP(CONCATENATE(form!$C$15,".",form!$D$15,".",form!$K$15),Лист1!$DP:$DT,5,0)</f>
        <v>#N/A</v>
      </c>
      <c r="AM21" s="306"/>
      <c r="AN21" s="305" t="e">
        <f>VLOOKUP(CONCATENATE(form!$C$15,".",form!$L$15),Лист1!$DV:$DZ,5,0)</f>
        <v>#N/A</v>
      </c>
      <c r="AO21" s="305" t="e">
        <f>VLOOKUP(CONCATENATE(form!$C$15,".",form!$M$15),Лист1!$EB:$EF,5,0)</f>
        <v>#N/A</v>
      </c>
      <c r="AP21" s="659"/>
      <c r="AQ21" s="307" t="str">
        <f>IF(ISNA(AR21),"0",AR21)</f>
        <v>0</v>
      </c>
      <c r="AR21" s="670" t="e">
        <f>VLOOKUP(CONCATENATE(form!$C$15,".",form!$G$15),Лист1!$EH:$EL,5,0)</f>
        <v>#N/A</v>
      </c>
      <c r="AS21" s="308" t="e">
        <f t="shared" si="7"/>
        <v>#N/A</v>
      </c>
      <c r="AU21" s="663">
        <f t="shared" si="8"/>
        <v>0</v>
      </c>
      <c r="AV21" s="309">
        <f t="shared" si="9"/>
        <v>0</v>
      </c>
      <c r="AX21" s="309"/>
    </row>
    <row r="22" spans="2:50" s="288" customFormat="1" ht="24.9" customHeight="1">
      <c r="B22" s="391">
        <v>5</v>
      </c>
      <c r="C22" s="604" t="str">
        <f t="shared" si="10"/>
        <v/>
      </c>
      <c r="D22" s="606" t="str">
        <f t="shared" si="11"/>
        <v/>
      </c>
      <c r="E22" s="484" t="str">
        <f>IF(OR(J22=0,J22=""),"",VLOOKUP(R22,Лист1!$M:$O,3,0))</f>
        <v/>
      </c>
      <c r="F22" s="295" t="str">
        <f t="shared" si="12"/>
        <v/>
      </c>
      <c r="G22" s="625" t="str">
        <f t="shared" si="13"/>
        <v/>
      </c>
      <c r="H22" s="296" t="str">
        <f t="shared" si="14"/>
        <v/>
      </c>
      <c r="J22" s="297" t="str">
        <f>form!$DE$15</f>
        <v/>
      </c>
      <c r="L22" s="310" t="str">
        <f>IF(G22="","",CONCATENATE(R22,".",T22,".",S22,".",U22,".",X22,".",Y22))</f>
        <v/>
      </c>
      <c r="M22" s="310" t="str">
        <f>IF(G22="","",CONCATENATE(AA22,", ",AB22,", ",AC22,", ",AD22,", ",AG22,", ",AH22))</f>
        <v/>
      </c>
      <c r="N22" s="310" t="str">
        <f t="shared" si="5"/>
        <v/>
      </c>
      <c r="O22" s="310" t="str">
        <f t="shared" si="6"/>
        <v/>
      </c>
      <c r="Q22" s="311" t="s">
        <v>847</v>
      </c>
      <c r="R22" s="300" t="e">
        <f>VLOOKUP(CONCATENATE(form!$CV$15,".",form!$CW$15),Лист1!$L:$N,2,0)</f>
        <v>#N/A</v>
      </c>
      <c r="S22" s="301" t="e">
        <f>VLOOKUP(CONCATENATE(form!$CV$15,".",form!$CW$15),Лист1!$Q:$S,2,0)</f>
        <v>#N/A</v>
      </c>
      <c r="T22" s="301" t="e">
        <f>VLOOKUP(CONCATENATE(form!$CV$15,".",form!$CX$15,".",form!$CY$15,".",form!$CZ$15),Лист1!$U:$W,2,0)</f>
        <v>#N/A</v>
      </c>
      <c r="U22" s="302" t="e">
        <f>VLOOKUP(form!$DB$15,Лист1!$Y:$AA,2,0)</f>
        <v>#N/A</v>
      </c>
      <c r="V22" s="312"/>
      <c r="W22" s="312"/>
      <c r="X22" s="302" t="e">
        <f>VLOOKUP(form!$DC$15,Лист1!$AK$196:$AM$228,2,0)</f>
        <v>#N/A</v>
      </c>
      <c r="Y22" s="302" t="e">
        <f>VLOOKUP(form!$DD$15,Лист1!$AO$130:$AQ$181,2,0)</f>
        <v>#N/A</v>
      </c>
      <c r="AA22" s="310" t="e">
        <f>VLOOKUP(CONCATENATE(form!$CV$15,".",form!$CW$15),Лист1!$L:$N,3,0)</f>
        <v>#N/A</v>
      </c>
      <c r="AB22" s="310" t="e">
        <f>VLOOKUP(CONCATENATE(form!$CV$15,".",form!$CW$15),Лист1!$Q:$S,3,0)</f>
        <v>#N/A</v>
      </c>
      <c r="AC22" s="310" t="e">
        <f>VLOOKUP(CONCATENATE(form!$CV$15,".",form!$CX$15,".",form!$CY$15,".",form!$CZ$15),Лист1!$U:$W,3,0)</f>
        <v>#N/A</v>
      </c>
      <c r="AD22" s="310" t="e">
        <f>VLOOKUP(form!$DB$15,Лист1!$Y:$AA,3,0)</f>
        <v>#N/A</v>
      </c>
      <c r="AE22" s="313"/>
      <c r="AF22" s="313"/>
      <c r="AG22" s="314" t="e">
        <f>VLOOKUP(form!$DC$15,Лист1!$AK$196:$AM$228,3,0)</f>
        <v>#N/A</v>
      </c>
      <c r="AH22" s="310" t="e">
        <f>VLOOKUP(form!$DD$15,Лист1!$AO$130:$AQ$181,3,0)</f>
        <v>#N/A</v>
      </c>
      <c r="AJ22" s="315" t="e">
        <f>VLOOKUP(CONCATENATE(form!$CV$15,".",form!$CW$15,".",form!$DA$15),Лист1!$DD:$DH,5,0)</f>
        <v>#N/A</v>
      </c>
      <c r="AK22" s="316"/>
      <c r="AL22" s="316"/>
      <c r="AM22" s="316"/>
      <c r="AN22" s="305" t="e">
        <f>VLOOKUP(CONCATENATE(form!$CV$15,".",form!$DC$15),Лист1!$DV:$DZ,5,0)</f>
        <v>#N/A</v>
      </c>
      <c r="AO22" s="316"/>
      <c r="AP22" s="315" t="e">
        <f>VLOOKUP(CONCATENATE(form!$CV$15,".",form!$CW$15,".",form!$DA$15,".",form!$CY$15),Лист1!$EH:$EL,5,0)</f>
        <v>#N/A</v>
      </c>
      <c r="AQ22" s="317"/>
      <c r="AR22" s="317"/>
      <c r="AS22" s="308" t="e">
        <f t="shared" si="7"/>
        <v>#N/A</v>
      </c>
      <c r="AU22" s="663">
        <f t="shared" si="8"/>
        <v>0</v>
      </c>
      <c r="AV22" s="309">
        <f t="shared" si="9"/>
        <v>0</v>
      </c>
      <c r="AX22" s="309"/>
    </row>
    <row r="23" spans="2:50" s="288" customFormat="1" ht="24.9" customHeight="1">
      <c r="B23" s="392"/>
      <c r="C23" s="605" t="str">
        <f t="shared" si="10"/>
        <v/>
      </c>
      <c r="D23" s="607" t="str">
        <f t="shared" si="11"/>
        <v/>
      </c>
      <c r="E23" s="485" t="str">
        <f>IF(OR(J23=0,J23=""),"",VLOOKUP(R23,Лист1!$M:$O,3,0))</f>
        <v/>
      </c>
      <c r="F23" s="318" t="str">
        <f t="shared" si="12"/>
        <v/>
      </c>
      <c r="G23" s="626" t="str">
        <f t="shared" si="13"/>
        <v/>
      </c>
      <c r="H23" s="319" t="str">
        <f t="shared" si="14"/>
        <v/>
      </c>
      <c r="J23" s="297" t="str">
        <f>form!$DL$15</f>
        <v/>
      </c>
      <c r="L23" s="320" t="str">
        <f>IF(G23="","",CONCATENATE(R23,".",T23,".",S23,".",U23))</f>
        <v/>
      </c>
      <c r="M23" s="320" t="str">
        <f>IF(G23="","",CONCATENATE(AA23,", ",AC23,", ",AD23))</f>
        <v/>
      </c>
      <c r="N23" s="320" t="str">
        <f t="shared" si="5"/>
        <v/>
      </c>
      <c r="O23" s="320" t="str">
        <f t="shared" si="6"/>
        <v/>
      </c>
      <c r="Q23" s="321" t="s">
        <v>848</v>
      </c>
      <c r="R23" s="322" t="e">
        <f>VLOOKUP(form!$DG$15,Лист1!$L:$N,2,0)</f>
        <v>#N/A</v>
      </c>
      <c r="S23" s="323" t="e">
        <f>VLOOKUP(form!$DG$15,Лист1!$Q:$S,2,0)</f>
        <v>#N/A</v>
      </c>
      <c r="T23" s="323" t="e">
        <f>VLOOKUP(CONCATENATE(form!$DG$15,".",form!$DI$15),Лист1!$U:$W,2,0)</f>
        <v>#N/A</v>
      </c>
      <c r="U23" s="324" t="e">
        <f>VLOOKUP(form!$DK$15,Лист1!$Y:$AA,2,0)</f>
        <v>#N/A</v>
      </c>
      <c r="V23" s="325"/>
      <c r="W23" s="325"/>
      <c r="X23" s="325"/>
      <c r="Y23" s="325"/>
      <c r="AA23" s="320" t="e">
        <f>VLOOKUP(form!$DG$15,Лист1!$L:$N,3,0)</f>
        <v>#N/A</v>
      </c>
      <c r="AB23" s="325"/>
      <c r="AC23" s="320" t="e">
        <f>VLOOKUP(CONCATENATE(form!$DG$15,".",form!$DI$15),Лист1!$U:$W,3,0)</f>
        <v>#N/A</v>
      </c>
      <c r="AD23" s="320" t="e">
        <f>VLOOKUP(form!$DK$15,Лист1!$Y:$AA,3,0)</f>
        <v>#N/A</v>
      </c>
      <c r="AE23" s="325"/>
      <c r="AF23" s="325"/>
      <c r="AG23" s="325"/>
      <c r="AH23" s="325"/>
      <c r="AJ23" s="326" t="e">
        <f>VLOOKUP(CONCATENATE(form!$DG$15,".",form!$DJ$15),Лист1!$DD:$DH,5,0)</f>
        <v>#N/A</v>
      </c>
      <c r="AK23" s="325"/>
      <c r="AL23" s="325"/>
      <c r="AM23" s="325"/>
      <c r="AN23" s="325"/>
      <c r="AO23" s="325"/>
      <c r="AP23" s="326" t="e">
        <f>VLOOKUP(CONCATENATE(form!$DG$15,".",form!$DJ$15,".",form!$DH$15),Лист1!$EH:$EL,5,0)</f>
        <v>#N/A</v>
      </c>
      <c r="AQ23" s="327"/>
      <c r="AR23" s="327"/>
      <c r="AS23" s="328" t="e">
        <f t="shared" si="7"/>
        <v>#N/A</v>
      </c>
      <c r="AU23" s="664">
        <f t="shared" si="8"/>
        <v>0</v>
      </c>
      <c r="AV23" s="329">
        <f t="shared" si="9"/>
        <v>0</v>
      </c>
      <c r="AX23" s="309"/>
    </row>
    <row r="24" spans="2:50" s="288" customFormat="1" ht="24.9" customHeight="1">
      <c r="B24" s="393"/>
      <c r="C24" s="604" t="str">
        <f t="shared" si="10"/>
        <v/>
      </c>
      <c r="D24" s="606" t="str">
        <f t="shared" si="11"/>
        <v/>
      </c>
      <c r="E24" s="484" t="str">
        <f>IF(OR(J24=0,J24=""),"",VLOOKUP(R24,Лист1!$M:$O,3,0))</f>
        <v/>
      </c>
      <c r="F24" s="295" t="str">
        <f t="shared" si="12"/>
        <v/>
      </c>
      <c r="G24" s="625" t="str">
        <f t="shared" si="13"/>
        <v/>
      </c>
      <c r="H24" s="296" t="str">
        <f t="shared" si="14"/>
        <v/>
      </c>
      <c r="J24" s="297">
        <f>form!$R$16</f>
        <v>0</v>
      </c>
      <c r="L24" s="298" t="str">
        <f>IF(G24="","",CONCATENATE(R24,".",S24,".",T24,".",U24,".",V24,".",W24,".",X24,".",Y24))</f>
        <v/>
      </c>
      <c r="M24" s="298" t="str">
        <f>IF(G24="","",CONCATENATE(AA24,", ",AB24,", ",AC24,", ",AD24,", ",AE24,", ",AF24,", ",AG24,", ",AH24))</f>
        <v/>
      </c>
      <c r="N24" s="298" t="str">
        <f t="shared" si="5"/>
        <v/>
      </c>
      <c r="O24" s="298" t="str">
        <f t="shared" si="6"/>
        <v/>
      </c>
      <c r="Q24" s="299" t="s">
        <v>846</v>
      </c>
      <c r="R24" s="300" t="e">
        <f>VLOOKUP(CONCATENATE(form!$C$16,".",form!$D$16),Лист1!$L:$N,2,0)</f>
        <v>#N/A</v>
      </c>
      <c r="S24" s="301" t="e">
        <f>VLOOKUP(CONCATENATE(form!$C$16,".",form!$D$16),Лист1!$Q:$S,2,0)</f>
        <v>#N/A</v>
      </c>
      <c r="T24" s="301" t="e">
        <f>VLOOKUP(CONCATENATE(form!$E$16,".",form!$F$16,".",form!$G$16),Лист1!$U:$W,2,0)</f>
        <v>#N/A</v>
      </c>
      <c r="U24" s="302" t="e">
        <f>VLOOKUP(form!$I$16,Лист1!$Y:$AA,2,0)</f>
        <v>#N/A</v>
      </c>
      <c r="V24" s="302" t="e">
        <f>VLOOKUP(form!$J$16,Лист1!$AC:$AE,2,0)</f>
        <v>#N/A</v>
      </c>
      <c r="W24" s="302" t="e">
        <f>VLOOKUP(form!$K$16,Лист1!$AG:$AI,2,0)</f>
        <v>#N/A</v>
      </c>
      <c r="X24" s="302" t="e">
        <f>VLOOKUP(CONCATENATE(form!$L$16,".",form!$M$16),Лист1!$AK$14:$AM$192,2,0)</f>
        <v>#N/A</v>
      </c>
      <c r="Y24" s="302" t="e">
        <f>VLOOKUP(CONCATENATE(form!$L$16,".",form!$N$16),Лист1!$AO$13:$AQ$127,2,0)</f>
        <v>#N/A</v>
      </c>
      <c r="AA24" s="303" t="e">
        <f>VLOOKUP(CONCATENATE(form!$C$16,".",form!$D$16),Лист1!$L:$N,3,0)</f>
        <v>#N/A</v>
      </c>
      <c r="AB24" s="303" t="e">
        <f>VLOOKUP(CONCATENATE(form!$C$16,".",form!$D$16),Лист1!$Q:$S,3,0)</f>
        <v>#N/A</v>
      </c>
      <c r="AC24" s="303" t="e">
        <f>VLOOKUP(CONCATENATE(form!$E$16,".",form!$F$16,".",form!$G$16),Лист1!$U:$W,3,0)</f>
        <v>#N/A</v>
      </c>
      <c r="AD24" s="303" t="e">
        <f>VLOOKUP(form!$I$16,Лист1!$Y:$AA,3,0)</f>
        <v>#N/A</v>
      </c>
      <c r="AE24" s="303" t="e">
        <f>VLOOKUP(form!$J$16,Лист1!$AC:$AE,3,0)</f>
        <v>#N/A</v>
      </c>
      <c r="AF24" s="304" t="e">
        <f>VLOOKUP(form!$K$16,Лист1!$AG:$AI,3,0)</f>
        <v>#N/A</v>
      </c>
      <c r="AG24" s="303" t="e">
        <f>VLOOKUP(CONCATENATE(form!$L$16,".",form!$M$16),Лист1!$AK$14:$AM$192,3,0)</f>
        <v>#N/A</v>
      </c>
      <c r="AH24" s="303" t="e">
        <f>VLOOKUP(CONCATENATE(form!$L$16,".",form!$N$16),Лист1!$AO$13:$AQ$127,3,0)</f>
        <v>#N/A</v>
      </c>
      <c r="AJ24" s="305" t="e">
        <f>VLOOKUP(CONCATENATE(form!$C$16,".",form!$D$16,".",form!$H$16),Лист1!$DD:$DH,5,0)</f>
        <v>#N/A</v>
      </c>
      <c r="AK24" s="305" t="e">
        <f>VLOOKUP(CONCATENATE(form!$C$16,".",form!$J$16),Лист1!$DJ:$DN,5,0)</f>
        <v>#N/A</v>
      </c>
      <c r="AL24" s="305" t="e">
        <f>VLOOKUP(CONCATENATE(form!$C$16,".",form!$D$16,".",form!$K$16),Лист1!$DP:$DT,5,0)</f>
        <v>#N/A</v>
      </c>
      <c r="AM24" s="306"/>
      <c r="AN24" s="305" t="e">
        <f>VLOOKUP(CONCATENATE(form!$C$16,".",form!$L$16),Лист1!$DV:$DZ,5,0)</f>
        <v>#N/A</v>
      </c>
      <c r="AO24" s="305" t="e">
        <f>VLOOKUP(CONCATENATE(form!$C$16,".",form!$M$16),Лист1!$EB:$EF,5,0)</f>
        <v>#N/A</v>
      </c>
      <c r="AP24" s="659"/>
      <c r="AQ24" s="307" t="str">
        <f>IF(ISNA(AR24),"0",AR24)</f>
        <v>0</v>
      </c>
      <c r="AR24" s="670" t="e">
        <f>VLOOKUP(CONCATENATE(form!$C$16,".",form!$G$16),Лист1!$EH:$EL,5,0)</f>
        <v>#N/A</v>
      </c>
      <c r="AS24" s="308" t="e">
        <f t="shared" si="7"/>
        <v>#N/A</v>
      </c>
      <c r="AU24" s="663">
        <f t="shared" si="8"/>
        <v>0</v>
      </c>
      <c r="AV24" s="309">
        <f t="shared" si="9"/>
        <v>0</v>
      </c>
      <c r="AX24" s="309"/>
    </row>
    <row r="25" spans="2:50" s="288" customFormat="1" ht="24.9" customHeight="1">
      <c r="B25" s="391">
        <v>6</v>
      </c>
      <c r="C25" s="604" t="str">
        <f t="shared" si="10"/>
        <v/>
      </c>
      <c r="D25" s="606" t="str">
        <f t="shared" si="11"/>
        <v/>
      </c>
      <c r="E25" s="484" t="str">
        <f>IF(OR(J25=0,J25=""),"",VLOOKUP(R25,Лист1!$M:$O,3,0))</f>
        <v/>
      </c>
      <c r="F25" s="295" t="str">
        <f t="shared" si="12"/>
        <v/>
      </c>
      <c r="G25" s="625" t="str">
        <f t="shared" si="13"/>
        <v/>
      </c>
      <c r="H25" s="296" t="str">
        <f t="shared" si="14"/>
        <v/>
      </c>
      <c r="J25" s="297" t="str">
        <f>form!$DE$16</f>
        <v/>
      </c>
      <c r="L25" s="310" t="str">
        <f>IF(G25="","",CONCATENATE(R25,".",T25,".",S25,".",U25,".",X25,".",Y25))</f>
        <v/>
      </c>
      <c r="M25" s="310" t="str">
        <f>IF(G25="","",CONCATENATE(AA25,", ",AB25,", ",AC25,", ",AD25,", ",AG25,", ",AH25))</f>
        <v/>
      </c>
      <c r="N25" s="310" t="str">
        <f t="shared" si="5"/>
        <v/>
      </c>
      <c r="O25" s="310" t="str">
        <f t="shared" si="6"/>
        <v/>
      </c>
      <c r="Q25" s="311" t="s">
        <v>847</v>
      </c>
      <c r="R25" s="300" t="e">
        <f>VLOOKUP(CONCATENATE(form!$CV$16,".",form!$CW$16),Лист1!$L:$N,2,0)</f>
        <v>#N/A</v>
      </c>
      <c r="S25" s="301" t="e">
        <f>VLOOKUP(CONCATENATE(form!$CV$16,".",form!$CW$16),Лист1!$Q:$S,2,0)</f>
        <v>#N/A</v>
      </c>
      <c r="T25" s="301" t="e">
        <f>VLOOKUP(CONCATENATE(form!$CV$16,".",form!$CX$16,".",form!$CY$16,".",form!$CZ$16),Лист1!$U:$W,2,0)</f>
        <v>#N/A</v>
      </c>
      <c r="U25" s="302" t="e">
        <f>VLOOKUP(form!$DB$16,Лист1!$Y:$AA,2,0)</f>
        <v>#N/A</v>
      </c>
      <c r="V25" s="312"/>
      <c r="W25" s="312"/>
      <c r="X25" s="302" t="e">
        <f>VLOOKUP(form!$DC$16,Лист1!$AK$196:$AM$228,2,0)</f>
        <v>#N/A</v>
      </c>
      <c r="Y25" s="302" t="e">
        <f>VLOOKUP(form!$DD$16,Лист1!$AO$130:$AQ$181,2,0)</f>
        <v>#N/A</v>
      </c>
      <c r="AA25" s="310" t="e">
        <f>VLOOKUP(CONCATENATE(form!$CV$16,".",form!$CW$16),Лист1!$L:$N,3,0)</f>
        <v>#N/A</v>
      </c>
      <c r="AB25" s="310" t="e">
        <f>VLOOKUP(CONCATENATE(form!$CV$16,".",form!$CW$16),Лист1!$Q:$S,3,0)</f>
        <v>#N/A</v>
      </c>
      <c r="AC25" s="310" t="e">
        <f>VLOOKUP(CONCATENATE(form!$CV$16,".",form!$CX$16,".",form!$CY$16,".",form!$CZ$16),Лист1!$U:$W,3,0)</f>
        <v>#N/A</v>
      </c>
      <c r="AD25" s="310" t="e">
        <f>VLOOKUP(form!$DB$16,Лист1!$Y:$AA,3,0)</f>
        <v>#N/A</v>
      </c>
      <c r="AE25" s="313"/>
      <c r="AF25" s="313"/>
      <c r="AG25" s="314" t="e">
        <f>VLOOKUP(form!$DC$16,Лист1!$AK$196:$AM$228,3,0)</f>
        <v>#N/A</v>
      </c>
      <c r="AH25" s="310" t="e">
        <f>VLOOKUP(form!$DD$16,Лист1!$AO$130:$AQ$181,3,0)</f>
        <v>#N/A</v>
      </c>
      <c r="AJ25" s="315" t="e">
        <f>VLOOKUP(CONCATENATE(form!$CV$16,".",form!$CW$16,".",form!$DA$16),Лист1!$DD:$DH,5,0)</f>
        <v>#N/A</v>
      </c>
      <c r="AK25" s="316"/>
      <c r="AL25" s="316"/>
      <c r="AM25" s="316"/>
      <c r="AN25" s="305" t="e">
        <f>VLOOKUP(CONCATENATE(form!$CV$16,".",form!$DC$16),Лист1!$DV:$DZ,5,0)</f>
        <v>#N/A</v>
      </c>
      <c r="AO25" s="316"/>
      <c r="AP25" s="315" t="e">
        <f>VLOOKUP(CONCATENATE(form!$CV$16,".",form!$CW$16,".",form!$DA$16,".",form!$CY$16),Лист1!$EH:$EL,5,0)</f>
        <v>#N/A</v>
      </c>
      <c r="AQ25" s="317"/>
      <c r="AR25" s="317"/>
      <c r="AS25" s="308" t="e">
        <f t="shared" si="7"/>
        <v>#N/A</v>
      </c>
      <c r="AU25" s="663">
        <f t="shared" si="8"/>
        <v>0</v>
      </c>
      <c r="AV25" s="309">
        <f t="shared" si="9"/>
        <v>0</v>
      </c>
      <c r="AX25" s="309"/>
    </row>
    <row r="26" spans="2:50" s="288" customFormat="1" ht="24.9" customHeight="1">
      <c r="B26" s="392"/>
      <c r="C26" s="605" t="str">
        <f t="shared" si="10"/>
        <v/>
      </c>
      <c r="D26" s="607" t="str">
        <f t="shared" si="11"/>
        <v/>
      </c>
      <c r="E26" s="485" t="str">
        <f>IF(OR(J26=0,J26=""),"",VLOOKUP(R26,Лист1!$M:$O,3,0))</f>
        <v/>
      </c>
      <c r="F26" s="318" t="str">
        <f t="shared" si="12"/>
        <v/>
      </c>
      <c r="G26" s="626" t="str">
        <f t="shared" si="13"/>
        <v/>
      </c>
      <c r="H26" s="319" t="str">
        <f t="shared" si="14"/>
        <v/>
      </c>
      <c r="J26" s="297" t="str">
        <f>form!$DL$16</f>
        <v/>
      </c>
      <c r="L26" s="320" t="str">
        <f>IF(G26="","",CONCATENATE(R26,".",T26,".",S26,".",U26))</f>
        <v/>
      </c>
      <c r="M26" s="320" t="str">
        <f>IF(G26="","",CONCATENATE(AA26,", ",AC26,", ",AD26))</f>
        <v/>
      </c>
      <c r="N26" s="320" t="str">
        <f t="shared" si="5"/>
        <v/>
      </c>
      <c r="O26" s="320" t="str">
        <f t="shared" si="6"/>
        <v/>
      </c>
      <c r="Q26" s="321" t="s">
        <v>848</v>
      </c>
      <c r="R26" s="322" t="e">
        <f>VLOOKUP(form!$DG$16,Лист1!$L:$N,2,0)</f>
        <v>#N/A</v>
      </c>
      <c r="S26" s="323" t="e">
        <f>VLOOKUP(form!$DG$16,Лист1!$Q:$S,2,0)</f>
        <v>#N/A</v>
      </c>
      <c r="T26" s="323" t="e">
        <f>VLOOKUP(CONCATENATE(form!$DG$16,".",form!$DI$16),Лист1!$U:$W,2,0)</f>
        <v>#N/A</v>
      </c>
      <c r="U26" s="324" t="e">
        <f>VLOOKUP(form!$DK$16,Лист1!$Y:$AA,2,0)</f>
        <v>#N/A</v>
      </c>
      <c r="V26" s="325"/>
      <c r="W26" s="325"/>
      <c r="X26" s="325"/>
      <c r="Y26" s="325"/>
      <c r="AA26" s="320" t="e">
        <f>VLOOKUP(form!$DG$16,Лист1!$L:$N,3,0)</f>
        <v>#N/A</v>
      </c>
      <c r="AB26" s="325"/>
      <c r="AC26" s="320" t="e">
        <f>VLOOKUP(CONCATENATE(form!$DG$16,".",form!$DI$16),Лист1!$U:$W,3,0)</f>
        <v>#N/A</v>
      </c>
      <c r="AD26" s="320" t="e">
        <f>VLOOKUP(form!$DK$16,Лист1!$Y:$AA,3,0)</f>
        <v>#N/A</v>
      </c>
      <c r="AE26" s="325"/>
      <c r="AF26" s="325"/>
      <c r="AG26" s="325"/>
      <c r="AH26" s="325"/>
      <c r="AJ26" s="326" t="e">
        <f>VLOOKUP(CONCATENATE(form!$DG$16,".",form!$DJ$16),Лист1!$DD:$DH,5,0)</f>
        <v>#N/A</v>
      </c>
      <c r="AK26" s="325"/>
      <c r="AL26" s="325"/>
      <c r="AM26" s="325"/>
      <c r="AN26" s="325"/>
      <c r="AO26" s="325"/>
      <c r="AP26" s="326" t="e">
        <f>VLOOKUP(CONCATENATE(form!$DG$16,".",form!$DJ$16,".",form!$DH$16),Лист1!$EH:$EL,5,0)</f>
        <v>#N/A</v>
      </c>
      <c r="AQ26" s="327"/>
      <c r="AR26" s="327"/>
      <c r="AS26" s="328" t="e">
        <f t="shared" si="7"/>
        <v>#N/A</v>
      </c>
      <c r="AU26" s="664">
        <f t="shared" si="8"/>
        <v>0</v>
      </c>
      <c r="AV26" s="329">
        <f t="shared" si="9"/>
        <v>0</v>
      </c>
      <c r="AX26" s="309"/>
    </row>
    <row r="27" spans="2:50" s="288" customFormat="1" ht="24.9" customHeight="1">
      <c r="B27" s="393"/>
      <c r="C27" s="604" t="str">
        <f t="shared" si="10"/>
        <v/>
      </c>
      <c r="D27" s="606" t="str">
        <f t="shared" si="11"/>
        <v/>
      </c>
      <c r="E27" s="484" t="str">
        <f>IF(OR(J27=0,J27=""),"",VLOOKUP(R27,Лист1!$M:$O,3,0))</f>
        <v/>
      </c>
      <c r="F27" s="295" t="str">
        <f t="shared" si="12"/>
        <v/>
      </c>
      <c r="G27" s="625" t="str">
        <f t="shared" si="13"/>
        <v/>
      </c>
      <c r="H27" s="296" t="str">
        <f t="shared" si="14"/>
        <v/>
      </c>
      <c r="J27" s="297">
        <f>form!$R$17</f>
        <v>0</v>
      </c>
      <c r="L27" s="298" t="str">
        <f>IF(G27="","",CONCATENATE(R27,".",S27,".",T27,".",U27,".",V27,".",W27,".",X27,".",Y27))</f>
        <v/>
      </c>
      <c r="M27" s="298" t="str">
        <f>IF(G27="","",CONCATENATE(AA27,", ",AB27,", ",AC27,", ",AD27,", ",AE27,", ",AF27,", ",AG27,", ",AH27))</f>
        <v/>
      </c>
      <c r="N27" s="298" t="str">
        <f t="shared" si="5"/>
        <v/>
      </c>
      <c r="O27" s="298" t="str">
        <f t="shared" si="6"/>
        <v/>
      </c>
      <c r="Q27" s="299" t="s">
        <v>846</v>
      </c>
      <c r="R27" s="300" t="e">
        <f>VLOOKUP(CONCATENATE(form!$C$17,".",form!$D$17),Лист1!$L:$N,2,0)</f>
        <v>#N/A</v>
      </c>
      <c r="S27" s="301" t="e">
        <f>VLOOKUP(CONCATENATE(form!$C$17,".",form!$D$17),Лист1!$Q:$S,2,0)</f>
        <v>#N/A</v>
      </c>
      <c r="T27" s="301" t="e">
        <f>VLOOKUP(CONCATENATE(form!$E$17,".",form!$F$17,".",form!$G$17),Лист1!$U:$W,2,0)</f>
        <v>#N/A</v>
      </c>
      <c r="U27" s="302" t="e">
        <f>VLOOKUP(form!$I$17,Лист1!$Y:$AA,2,0)</f>
        <v>#N/A</v>
      </c>
      <c r="V27" s="302" t="e">
        <f>VLOOKUP(form!$J$17,Лист1!$AC:$AE,2,0)</f>
        <v>#N/A</v>
      </c>
      <c r="W27" s="302" t="e">
        <f>VLOOKUP(form!$K$17,Лист1!$AG:$AI,2,0)</f>
        <v>#N/A</v>
      </c>
      <c r="X27" s="302" t="e">
        <f>VLOOKUP(CONCATENATE(form!$L$17,".",form!$M$17),Лист1!$AK$14:$AM$192,2,0)</f>
        <v>#N/A</v>
      </c>
      <c r="Y27" s="302" t="e">
        <f>VLOOKUP(CONCATENATE(form!$L$17,".",form!$N$17),Лист1!$AO$13:$AQ$127,2,0)</f>
        <v>#N/A</v>
      </c>
      <c r="AA27" s="303" t="e">
        <f>VLOOKUP(CONCATENATE(form!$C$17,".",form!$D$17),Лист1!$L:$N,3,0)</f>
        <v>#N/A</v>
      </c>
      <c r="AB27" s="303" t="e">
        <f>VLOOKUP(CONCATENATE(form!$C$17,".",form!$D$17),Лист1!$Q:$S,3,0)</f>
        <v>#N/A</v>
      </c>
      <c r="AC27" s="303" t="e">
        <f>VLOOKUP(CONCATENATE(form!$E$17,".",form!$F$17,".",form!$G$17),Лист1!$U:$W,3,0)</f>
        <v>#N/A</v>
      </c>
      <c r="AD27" s="303" t="e">
        <f>VLOOKUP(form!$I$17,Лист1!$Y:$AA,3,0)</f>
        <v>#N/A</v>
      </c>
      <c r="AE27" s="303" t="e">
        <f>VLOOKUP(form!$J$17,Лист1!$AC:$AE,3,0)</f>
        <v>#N/A</v>
      </c>
      <c r="AF27" s="304" t="e">
        <f>VLOOKUP(form!$K$17,Лист1!$AG:$AI,3,0)</f>
        <v>#N/A</v>
      </c>
      <c r="AG27" s="303" t="e">
        <f>VLOOKUP(CONCATENATE(form!$L$17,".",form!$M$17),Лист1!$AK$14:$AM$192,3,0)</f>
        <v>#N/A</v>
      </c>
      <c r="AH27" s="303" t="e">
        <f>VLOOKUP(CONCATENATE(form!$L$17,".",form!$N$17),Лист1!$AO$13:$AQ$127,3,0)</f>
        <v>#N/A</v>
      </c>
      <c r="AJ27" s="305" t="e">
        <f>VLOOKUP(CONCATENATE(form!$C$17,".",form!$D$17,".",form!$H$17),Лист1!$DD:$DH,5,0)</f>
        <v>#N/A</v>
      </c>
      <c r="AK27" s="305" t="e">
        <f>VLOOKUP(CONCATENATE(form!$C$17,".",form!$J$17),Лист1!$DJ:$DN,5,0)</f>
        <v>#N/A</v>
      </c>
      <c r="AL27" s="305" t="e">
        <f>VLOOKUP(CONCATENATE(form!$C$17,".",form!$D$17,".",form!$K$17),Лист1!$DP:$DT,5,0)</f>
        <v>#N/A</v>
      </c>
      <c r="AM27" s="306"/>
      <c r="AN27" s="305" t="e">
        <f>VLOOKUP(CONCATENATE(form!$C$17,".",form!$L$17),Лист1!$DV:$DZ,5,0)</f>
        <v>#N/A</v>
      </c>
      <c r="AO27" s="305" t="e">
        <f>VLOOKUP(CONCATENATE(form!$C$17,".",form!$M$17),Лист1!$EB:$EF,5,0)</f>
        <v>#N/A</v>
      </c>
      <c r="AP27" s="659"/>
      <c r="AQ27" s="307" t="str">
        <f>IF(ISNA(AR27),"0",AR27)</f>
        <v>0</v>
      </c>
      <c r="AR27" s="670" t="e">
        <f>VLOOKUP(CONCATENATE(form!$C$17,".",form!$G$17),Лист1!$EH:$EL,5,0)</f>
        <v>#N/A</v>
      </c>
      <c r="AS27" s="308" t="e">
        <f t="shared" si="7"/>
        <v>#N/A</v>
      </c>
      <c r="AU27" s="663">
        <f t="shared" si="8"/>
        <v>0</v>
      </c>
      <c r="AV27" s="309">
        <f t="shared" si="9"/>
        <v>0</v>
      </c>
      <c r="AX27" s="309"/>
    </row>
    <row r="28" spans="2:50" s="288" customFormat="1" ht="24.9" customHeight="1">
      <c r="B28" s="391">
        <v>7</v>
      </c>
      <c r="C28" s="604" t="str">
        <f t="shared" si="10"/>
        <v/>
      </c>
      <c r="D28" s="606" t="str">
        <f t="shared" si="11"/>
        <v/>
      </c>
      <c r="E28" s="484" t="str">
        <f>IF(OR(J28=0,J28=""),"",VLOOKUP(R28,Лист1!$M:$O,3,0))</f>
        <v/>
      </c>
      <c r="F28" s="295" t="str">
        <f t="shared" si="12"/>
        <v/>
      </c>
      <c r="G28" s="625" t="str">
        <f t="shared" si="13"/>
        <v/>
      </c>
      <c r="H28" s="296" t="str">
        <f t="shared" si="14"/>
        <v/>
      </c>
      <c r="J28" s="297" t="str">
        <f>form!$DE$17</f>
        <v/>
      </c>
      <c r="L28" s="310" t="str">
        <f>IF(G28="","",CONCATENATE(R28,".",T28,".",S28,".",U28,".",X28,".",Y28))</f>
        <v/>
      </c>
      <c r="M28" s="310" t="str">
        <f>IF(G28="","",CONCATENATE(AA28,", ",AB28,", ",AC28,", ",AD28,", ",AG28,", ",AH28))</f>
        <v/>
      </c>
      <c r="N28" s="310" t="str">
        <f t="shared" si="5"/>
        <v/>
      </c>
      <c r="O28" s="310" t="str">
        <f t="shared" si="6"/>
        <v/>
      </c>
      <c r="Q28" s="311" t="s">
        <v>847</v>
      </c>
      <c r="R28" s="300" t="e">
        <f>VLOOKUP(CONCATENATE(form!$CV$17,".",form!$CW$17),Лист1!$L:$N,2,0)</f>
        <v>#N/A</v>
      </c>
      <c r="S28" s="301" t="e">
        <f>VLOOKUP(CONCATENATE(form!$CV$17,".",form!$CW$17),Лист1!$Q:$S,2,0)</f>
        <v>#N/A</v>
      </c>
      <c r="T28" s="301" t="e">
        <f>VLOOKUP(CONCATENATE(form!$CV$17,".",form!$CX$17,".",form!$CY$17,".",form!$CZ$17),Лист1!$U:$W,2,0)</f>
        <v>#N/A</v>
      </c>
      <c r="U28" s="302" t="e">
        <f>VLOOKUP(form!$DB$17,Лист1!$Y:$AA,2,0)</f>
        <v>#N/A</v>
      </c>
      <c r="V28" s="312"/>
      <c r="W28" s="312"/>
      <c r="X28" s="302" t="e">
        <f>VLOOKUP(form!$DC$17,Лист1!$AK$196:$AM$228,2,0)</f>
        <v>#N/A</v>
      </c>
      <c r="Y28" s="302" t="e">
        <f>VLOOKUP(form!$DD$17,Лист1!$AO$130:$AQ$181,2,0)</f>
        <v>#N/A</v>
      </c>
      <c r="AA28" s="310" t="e">
        <f>VLOOKUP(CONCATENATE(form!$CV$17,".",form!$CW$17),Лист1!$L:$N,3,0)</f>
        <v>#N/A</v>
      </c>
      <c r="AB28" s="310" t="e">
        <f>VLOOKUP(CONCATENATE(form!$CV$17,".",form!$CW$17),Лист1!$Q:$S,3,0)</f>
        <v>#N/A</v>
      </c>
      <c r="AC28" s="310" t="e">
        <f>VLOOKUP(CONCATENATE(form!$CV$17,".",form!$CX$17,".",form!$CY$17,".",form!$CZ$17),Лист1!$U:$W,3,0)</f>
        <v>#N/A</v>
      </c>
      <c r="AD28" s="310" t="e">
        <f>VLOOKUP(form!$DB$17,Лист1!$Y:$AA,3,0)</f>
        <v>#N/A</v>
      </c>
      <c r="AE28" s="313"/>
      <c r="AF28" s="313"/>
      <c r="AG28" s="314" t="e">
        <f>VLOOKUP(form!$DC$17,Лист1!$AK$196:$AM$228,3,0)</f>
        <v>#N/A</v>
      </c>
      <c r="AH28" s="310" t="e">
        <f>VLOOKUP(form!$DD$17,Лист1!$AO$130:$AQ$181,3,0)</f>
        <v>#N/A</v>
      </c>
      <c r="AJ28" s="315" t="e">
        <f>VLOOKUP(CONCATENATE(form!$CV$17,".",form!$CW$17,".",form!$DA$17),Лист1!$DD:$DH,5,0)</f>
        <v>#N/A</v>
      </c>
      <c r="AK28" s="316"/>
      <c r="AL28" s="316"/>
      <c r="AM28" s="316"/>
      <c r="AN28" s="305" t="e">
        <f>VLOOKUP(CONCATENATE(form!$CV$17,".",form!$DC$17),Лист1!$DV:$DZ,5,0)</f>
        <v>#N/A</v>
      </c>
      <c r="AO28" s="316"/>
      <c r="AP28" s="315" t="e">
        <f>VLOOKUP(CONCATENATE(form!$CV$17,".",form!$CW$17,".",form!$DA$17,".",form!$CY$17),Лист1!$EH:$EL,5,0)</f>
        <v>#N/A</v>
      </c>
      <c r="AQ28" s="317"/>
      <c r="AR28" s="317"/>
      <c r="AS28" s="308" t="e">
        <f t="shared" si="7"/>
        <v>#N/A</v>
      </c>
      <c r="AU28" s="663">
        <f t="shared" si="8"/>
        <v>0</v>
      </c>
      <c r="AV28" s="309">
        <f t="shared" si="9"/>
        <v>0</v>
      </c>
      <c r="AX28" s="309"/>
    </row>
    <row r="29" spans="2:50" s="288" customFormat="1" ht="24.9" customHeight="1">
      <c r="B29" s="392"/>
      <c r="C29" s="605" t="str">
        <f t="shared" si="10"/>
        <v/>
      </c>
      <c r="D29" s="607" t="str">
        <f t="shared" si="11"/>
        <v/>
      </c>
      <c r="E29" s="485" t="str">
        <f>IF(OR(J29=0,J29=""),"",VLOOKUP(R29,Лист1!$M:$O,3,0))</f>
        <v/>
      </c>
      <c r="F29" s="318" t="str">
        <f t="shared" si="12"/>
        <v/>
      </c>
      <c r="G29" s="626" t="str">
        <f t="shared" si="13"/>
        <v/>
      </c>
      <c r="H29" s="319" t="str">
        <f t="shared" si="14"/>
        <v/>
      </c>
      <c r="J29" s="297" t="str">
        <f>form!$DL$17</f>
        <v/>
      </c>
      <c r="L29" s="320" t="str">
        <f>IF(G29="","",CONCATENATE(R29,".",T29,".",S29,".",U29))</f>
        <v/>
      </c>
      <c r="M29" s="320" t="str">
        <f>IF(G29="","",CONCATENATE(AA29,", ",AC29,", ",AD29))</f>
        <v/>
      </c>
      <c r="N29" s="320" t="str">
        <f t="shared" si="5"/>
        <v/>
      </c>
      <c r="O29" s="320" t="str">
        <f t="shared" si="6"/>
        <v/>
      </c>
      <c r="Q29" s="321" t="s">
        <v>848</v>
      </c>
      <c r="R29" s="322" t="e">
        <f>VLOOKUP(form!$DG$17,Лист1!$L:$N,2,0)</f>
        <v>#N/A</v>
      </c>
      <c r="S29" s="323" t="e">
        <f>VLOOKUP(form!$DG$17,Лист1!$Q:$S,2,0)</f>
        <v>#N/A</v>
      </c>
      <c r="T29" s="323" t="e">
        <f>VLOOKUP(CONCATENATE(form!$DG$17,".",form!$DI$17),Лист1!$U:$W,2,0)</f>
        <v>#N/A</v>
      </c>
      <c r="U29" s="324" t="e">
        <f>VLOOKUP(form!$DK$17,Лист1!$Y:$AA,2,0)</f>
        <v>#N/A</v>
      </c>
      <c r="V29" s="325"/>
      <c r="W29" s="325"/>
      <c r="X29" s="325"/>
      <c r="Y29" s="325"/>
      <c r="AA29" s="320" t="e">
        <f>VLOOKUP(form!$DG$17,Лист1!$L:$N,3,0)</f>
        <v>#N/A</v>
      </c>
      <c r="AB29" s="325"/>
      <c r="AC29" s="320" t="e">
        <f>VLOOKUP(CONCATENATE(form!$DG$17,".",form!$DI$17),Лист1!$U:$W,3,0)</f>
        <v>#N/A</v>
      </c>
      <c r="AD29" s="320" t="e">
        <f>VLOOKUP(form!$DK$17,Лист1!$Y:$AA,3,0)</f>
        <v>#N/A</v>
      </c>
      <c r="AE29" s="325"/>
      <c r="AF29" s="325"/>
      <c r="AG29" s="325"/>
      <c r="AH29" s="325"/>
      <c r="AJ29" s="326" t="e">
        <f>VLOOKUP(CONCATENATE(form!$DG$17,".",form!$DJ$17),Лист1!$DD:$DH,5,0)</f>
        <v>#N/A</v>
      </c>
      <c r="AK29" s="325"/>
      <c r="AL29" s="325"/>
      <c r="AM29" s="325"/>
      <c r="AN29" s="325"/>
      <c r="AO29" s="325"/>
      <c r="AP29" s="326" t="e">
        <f>VLOOKUP(CONCATENATE(form!$DG$17,".",form!$DJ$17,".",form!$DH$17),Лист1!$EH:$EL,5,0)</f>
        <v>#N/A</v>
      </c>
      <c r="AQ29" s="327"/>
      <c r="AR29" s="327"/>
      <c r="AS29" s="328" t="e">
        <f t="shared" si="7"/>
        <v>#N/A</v>
      </c>
      <c r="AU29" s="664">
        <f t="shared" si="8"/>
        <v>0</v>
      </c>
      <c r="AV29" s="329">
        <f t="shared" si="9"/>
        <v>0</v>
      </c>
      <c r="AX29" s="309"/>
    </row>
    <row r="30" spans="2:50" s="288" customFormat="1" ht="24.9" customHeight="1">
      <c r="B30" s="393"/>
      <c r="C30" s="604" t="str">
        <f t="shared" si="10"/>
        <v/>
      </c>
      <c r="D30" s="606" t="str">
        <f t="shared" si="11"/>
        <v/>
      </c>
      <c r="E30" s="484" t="str">
        <f>IF(OR(J30=0,J30=""),"",VLOOKUP(R30,Лист1!$M:$O,3,0))</f>
        <v/>
      </c>
      <c r="F30" s="295" t="str">
        <f t="shared" si="12"/>
        <v/>
      </c>
      <c r="G30" s="625" t="str">
        <f t="shared" si="13"/>
        <v/>
      </c>
      <c r="H30" s="296" t="str">
        <f t="shared" si="14"/>
        <v/>
      </c>
      <c r="J30" s="297">
        <f>form!$R$18</f>
        <v>0</v>
      </c>
      <c r="L30" s="298" t="str">
        <f>IF(G30="","",CONCATENATE(R30,".",S30,".",T30,".",U30,".",V30,".",W30,".",X30,".",Y30))</f>
        <v/>
      </c>
      <c r="M30" s="298" t="str">
        <f>IF(G30="","",CONCATENATE(AA30,", ",AB30,", ",AC30,", ",AD30,", ",AE30,", ",AF30,", ",AG30,", ",AH30))</f>
        <v/>
      </c>
      <c r="N30" s="298" t="str">
        <f t="shared" si="5"/>
        <v/>
      </c>
      <c r="O30" s="298" t="str">
        <f t="shared" si="6"/>
        <v/>
      </c>
      <c r="Q30" s="299" t="s">
        <v>846</v>
      </c>
      <c r="R30" s="300" t="e">
        <f>VLOOKUP(CONCATENATE(form!$C$18,".",form!$D$18),Лист1!$L:$N,2,0)</f>
        <v>#N/A</v>
      </c>
      <c r="S30" s="301" t="e">
        <f>VLOOKUP(CONCATENATE(form!$C$18,".",form!$D$18),Лист1!$Q:$S,2,0)</f>
        <v>#N/A</v>
      </c>
      <c r="T30" s="301" t="e">
        <f>VLOOKUP(CONCATENATE(form!$E$18,".",form!$F$18,".",form!$G$18),Лист1!$U:$W,2,0)</f>
        <v>#N/A</v>
      </c>
      <c r="U30" s="302" t="e">
        <f>VLOOKUP(form!$I$18,Лист1!$Y:$AA,2,0)</f>
        <v>#N/A</v>
      </c>
      <c r="V30" s="302" t="e">
        <f>VLOOKUP(form!$J$18,Лист1!$AC:$AE,2,0)</f>
        <v>#N/A</v>
      </c>
      <c r="W30" s="302" t="e">
        <f>VLOOKUP(form!$K$18,Лист1!$AG:$AI,2,0)</f>
        <v>#N/A</v>
      </c>
      <c r="X30" s="302" t="e">
        <f>VLOOKUP(CONCATENATE(form!$L$18,".",form!$M$18),Лист1!$AK$14:$AM$192,2,0)</f>
        <v>#N/A</v>
      </c>
      <c r="Y30" s="302" t="e">
        <f>VLOOKUP(CONCATENATE(form!$L$18,".",form!$N$18),Лист1!$AO$13:$AQ$127,2,0)</f>
        <v>#N/A</v>
      </c>
      <c r="AA30" s="303" t="e">
        <f>VLOOKUP(CONCATENATE(form!$C$18,".",form!$D$18),Лист1!$L:$N,3,0)</f>
        <v>#N/A</v>
      </c>
      <c r="AB30" s="303" t="e">
        <f>VLOOKUP(CONCATENATE(form!$C$18,".",form!$D$18),Лист1!$Q:$S,3,0)</f>
        <v>#N/A</v>
      </c>
      <c r="AC30" s="303" t="e">
        <f>VLOOKUP(CONCATENATE(form!$E$18,".",form!$F$18,".",form!$G$18),Лист1!$U:$W,3,0)</f>
        <v>#N/A</v>
      </c>
      <c r="AD30" s="303" t="e">
        <f>VLOOKUP(form!$I$18,Лист1!$Y:$AA,3,0)</f>
        <v>#N/A</v>
      </c>
      <c r="AE30" s="303" t="e">
        <f>VLOOKUP(form!$J$18,Лист1!$AC:$AE,3,0)</f>
        <v>#N/A</v>
      </c>
      <c r="AF30" s="304" t="e">
        <f>VLOOKUP(form!$K$18,Лист1!$AG:$AI,3,0)</f>
        <v>#N/A</v>
      </c>
      <c r="AG30" s="303" t="e">
        <f>VLOOKUP(CONCATENATE(form!$L$18,".",form!$M$18),Лист1!$AK$14:$AM$192,3,0)</f>
        <v>#N/A</v>
      </c>
      <c r="AH30" s="303" t="e">
        <f>VLOOKUP(CONCATENATE(form!$L$18,".",form!$N$18),Лист1!$AO$13:$AQ$127,3,0)</f>
        <v>#N/A</v>
      </c>
      <c r="AJ30" s="305" t="e">
        <f>VLOOKUP(CONCATENATE(form!$C$18,".",form!$D$18,".",form!$H$18),Лист1!$DD:$DH,5,0)</f>
        <v>#N/A</v>
      </c>
      <c r="AK30" s="305" t="e">
        <f>VLOOKUP(CONCATENATE(form!$C$18,".",form!$J$18),Лист1!$DJ:$DN,5,0)</f>
        <v>#N/A</v>
      </c>
      <c r="AL30" s="305" t="e">
        <f>VLOOKUP(CONCATENATE(form!$C$18,".",form!$D$18,".",form!$K$18),Лист1!$DP:$DT,5,0)</f>
        <v>#N/A</v>
      </c>
      <c r="AM30" s="306"/>
      <c r="AN30" s="305" t="e">
        <f>VLOOKUP(CONCATENATE(form!$C$18,".",form!$L$18),Лист1!$DV:$DZ,5,0)</f>
        <v>#N/A</v>
      </c>
      <c r="AO30" s="305" t="e">
        <f>VLOOKUP(CONCATENATE(form!$C$18,".",form!$M$18),Лист1!$EB:$EF,5,0)</f>
        <v>#N/A</v>
      </c>
      <c r="AP30" s="659"/>
      <c r="AQ30" s="307" t="str">
        <f>IF(ISNA(AR30),"0",AR30)</f>
        <v>0</v>
      </c>
      <c r="AR30" s="670" t="e">
        <f>VLOOKUP(CONCATENATE(form!$C$18,".",form!$G$18),Лист1!$EH:$EL,5,0)</f>
        <v>#N/A</v>
      </c>
      <c r="AS30" s="308" t="e">
        <f t="shared" si="7"/>
        <v>#N/A</v>
      </c>
      <c r="AU30" s="663">
        <f t="shared" si="8"/>
        <v>0</v>
      </c>
      <c r="AV30" s="309">
        <f t="shared" si="9"/>
        <v>0</v>
      </c>
      <c r="AX30" s="309"/>
    </row>
    <row r="31" spans="2:50" s="288" customFormat="1" ht="24.9" customHeight="1">
      <c r="B31" s="391">
        <v>8</v>
      </c>
      <c r="C31" s="604" t="str">
        <f t="shared" si="10"/>
        <v/>
      </c>
      <c r="D31" s="606" t="str">
        <f t="shared" si="11"/>
        <v/>
      </c>
      <c r="E31" s="484" t="str">
        <f>IF(OR(J31=0,J31=""),"",VLOOKUP(R31,Лист1!$M:$O,3,0))</f>
        <v/>
      </c>
      <c r="F31" s="295" t="str">
        <f t="shared" si="12"/>
        <v/>
      </c>
      <c r="G31" s="625" t="str">
        <f t="shared" si="13"/>
        <v/>
      </c>
      <c r="H31" s="296" t="str">
        <f t="shared" si="14"/>
        <v/>
      </c>
      <c r="J31" s="297" t="str">
        <f>form!$DE$18</f>
        <v/>
      </c>
      <c r="L31" s="310" t="str">
        <f>IF(G31="","",CONCATENATE(R31,".",T31,".",S31,".",U31,".",X31,".",Y31))</f>
        <v/>
      </c>
      <c r="M31" s="310" t="str">
        <f>IF(G31="","",CONCATENATE(AA31,", ",AB31,", ",AC31,", ",AD31,", ",AG31,", ",AH31))</f>
        <v/>
      </c>
      <c r="N31" s="310" t="str">
        <f t="shared" si="5"/>
        <v/>
      </c>
      <c r="O31" s="310" t="str">
        <f t="shared" si="6"/>
        <v/>
      </c>
      <c r="Q31" s="311" t="s">
        <v>847</v>
      </c>
      <c r="R31" s="300" t="e">
        <f>VLOOKUP(CONCATENATE(form!$CV$18,".",form!$CW$18),Лист1!$L:$N,2,0)</f>
        <v>#N/A</v>
      </c>
      <c r="S31" s="301" t="e">
        <f>VLOOKUP(CONCATENATE(form!$CV$18,".",form!$CW$18),Лист1!$Q:$S,2,0)</f>
        <v>#N/A</v>
      </c>
      <c r="T31" s="301" t="e">
        <f>VLOOKUP(CONCATENATE(form!$CV$18,".",form!$CX$18,".",form!$CY$18,".",form!$CZ$18),Лист1!$U:$W,2,0)</f>
        <v>#N/A</v>
      </c>
      <c r="U31" s="302" t="e">
        <f>VLOOKUP(form!$DB$18,Лист1!$Y:$AA,2,0)</f>
        <v>#N/A</v>
      </c>
      <c r="V31" s="312"/>
      <c r="W31" s="312"/>
      <c r="X31" s="302" t="e">
        <f>VLOOKUP(form!$DC$18,Лист1!$AK$196:$AM$228,2,0)</f>
        <v>#N/A</v>
      </c>
      <c r="Y31" s="302" t="e">
        <f>VLOOKUP(form!$DD$18,Лист1!$AO$130:$AQ$181,2,0)</f>
        <v>#N/A</v>
      </c>
      <c r="AA31" s="310" t="e">
        <f>VLOOKUP(CONCATENATE(form!$CV$18,".",form!$CW$18),Лист1!$L:$N,3,0)</f>
        <v>#N/A</v>
      </c>
      <c r="AB31" s="310" t="e">
        <f>VLOOKUP(CONCATENATE(form!$CV$18,".",form!$CW$18),Лист1!$Q:$S,3,0)</f>
        <v>#N/A</v>
      </c>
      <c r="AC31" s="310" t="e">
        <f>VLOOKUP(CONCATENATE(form!$CV$18,".",form!$CX$18,".",form!$CY$18,".",form!$CZ$18),Лист1!$U:$W,3,0)</f>
        <v>#N/A</v>
      </c>
      <c r="AD31" s="310" t="e">
        <f>VLOOKUP(form!$DB$18,Лист1!$Y:$AA,3,0)</f>
        <v>#N/A</v>
      </c>
      <c r="AE31" s="313"/>
      <c r="AF31" s="313"/>
      <c r="AG31" s="314" t="e">
        <f>VLOOKUP(form!$DC$18,Лист1!$AK$196:$AM$228,3,0)</f>
        <v>#N/A</v>
      </c>
      <c r="AH31" s="310" t="e">
        <f>VLOOKUP(form!$DD$18,Лист1!$AO$130:$AQ$181,3,0)</f>
        <v>#N/A</v>
      </c>
      <c r="AJ31" s="315" t="e">
        <f>VLOOKUP(CONCATENATE(form!$CV$18,".",form!$CW$18,".",form!$DA$18),Лист1!$DD:$DH,5,0)</f>
        <v>#N/A</v>
      </c>
      <c r="AK31" s="316"/>
      <c r="AL31" s="316"/>
      <c r="AM31" s="316"/>
      <c r="AN31" s="305" t="e">
        <f>VLOOKUP(CONCATENATE(form!$CV$18,".",form!$DC$18),Лист1!$DV:$DZ,5,0)</f>
        <v>#N/A</v>
      </c>
      <c r="AO31" s="316"/>
      <c r="AP31" s="315" t="e">
        <f>VLOOKUP(CONCATENATE(form!$CV$18,".",form!$CW$18,".",form!$DA$18,".",form!$CY$18),Лист1!$EH:$EL,5,0)</f>
        <v>#N/A</v>
      </c>
      <c r="AQ31" s="317"/>
      <c r="AR31" s="317"/>
      <c r="AS31" s="308" t="e">
        <f t="shared" si="7"/>
        <v>#N/A</v>
      </c>
      <c r="AU31" s="663">
        <f t="shared" si="8"/>
        <v>0</v>
      </c>
      <c r="AV31" s="309">
        <f t="shared" si="9"/>
        <v>0</v>
      </c>
      <c r="AX31" s="309"/>
    </row>
    <row r="32" spans="2:50" s="288" customFormat="1" ht="24.9" customHeight="1">
      <c r="B32" s="392"/>
      <c r="C32" s="605" t="str">
        <f t="shared" si="10"/>
        <v/>
      </c>
      <c r="D32" s="607" t="str">
        <f t="shared" si="11"/>
        <v/>
      </c>
      <c r="E32" s="485" t="str">
        <f>IF(OR(J32=0,J32=""),"",VLOOKUP(R32,Лист1!$M:$O,3,0))</f>
        <v/>
      </c>
      <c r="F32" s="318" t="str">
        <f t="shared" si="12"/>
        <v/>
      </c>
      <c r="G32" s="626" t="str">
        <f t="shared" si="13"/>
        <v/>
      </c>
      <c r="H32" s="319" t="str">
        <f t="shared" si="14"/>
        <v/>
      </c>
      <c r="J32" s="297" t="str">
        <f>form!$DL$18</f>
        <v/>
      </c>
      <c r="L32" s="320" t="str">
        <f>IF(G32="","",CONCATENATE(R32,".",T32,".",S32,".",U32))</f>
        <v/>
      </c>
      <c r="M32" s="320" t="str">
        <f>IF(G32="","",CONCATENATE(AA32,", ",AC32,", ",AD32))</f>
        <v/>
      </c>
      <c r="N32" s="320" t="str">
        <f t="shared" si="5"/>
        <v/>
      </c>
      <c r="O32" s="320" t="str">
        <f t="shared" si="6"/>
        <v/>
      </c>
      <c r="Q32" s="321" t="s">
        <v>848</v>
      </c>
      <c r="R32" s="322" t="e">
        <f>VLOOKUP(form!$DG$18,Лист1!$L:$N,2,0)</f>
        <v>#N/A</v>
      </c>
      <c r="S32" s="323" t="e">
        <f>VLOOKUP(form!$DG$18,Лист1!$Q:$S,2,0)</f>
        <v>#N/A</v>
      </c>
      <c r="T32" s="323" t="e">
        <f>VLOOKUP(CONCATENATE(form!$DG$18,".",form!$DI$18),Лист1!$U:$W,2,0)</f>
        <v>#N/A</v>
      </c>
      <c r="U32" s="324" t="e">
        <f>VLOOKUP(form!$DK$18,Лист1!$Y:$AA,2,0)</f>
        <v>#N/A</v>
      </c>
      <c r="V32" s="325"/>
      <c r="W32" s="325"/>
      <c r="X32" s="325"/>
      <c r="Y32" s="325"/>
      <c r="AA32" s="320" t="e">
        <f>VLOOKUP(form!$DG$18,Лист1!$L:$N,3,0)</f>
        <v>#N/A</v>
      </c>
      <c r="AB32" s="325"/>
      <c r="AC32" s="320" t="e">
        <f>VLOOKUP(CONCATENATE(form!$DG$18,".",form!$DI$18),Лист1!$U:$W,3,0)</f>
        <v>#N/A</v>
      </c>
      <c r="AD32" s="320" t="e">
        <f>VLOOKUP(form!$DK$18,Лист1!$Y:$AA,3,0)</f>
        <v>#N/A</v>
      </c>
      <c r="AE32" s="325"/>
      <c r="AF32" s="325"/>
      <c r="AG32" s="325"/>
      <c r="AH32" s="325"/>
      <c r="AJ32" s="326" t="e">
        <f>VLOOKUP(CONCATENATE(form!$DG$18,".",form!$DJ$18),Лист1!$DD:$DH,5,0)</f>
        <v>#N/A</v>
      </c>
      <c r="AK32" s="325"/>
      <c r="AL32" s="325"/>
      <c r="AM32" s="325"/>
      <c r="AN32" s="325"/>
      <c r="AO32" s="325"/>
      <c r="AP32" s="326" t="e">
        <f>VLOOKUP(CONCATENATE(form!$DG$18,".",form!$DJ$18,".",form!$DH$18),Лист1!$EH:$EL,5,0)</f>
        <v>#N/A</v>
      </c>
      <c r="AQ32" s="327"/>
      <c r="AR32" s="327"/>
      <c r="AS32" s="328" t="e">
        <f t="shared" si="7"/>
        <v>#N/A</v>
      </c>
      <c r="AU32" s="664">
        <f t="shared" si="8"/>
        <v>0</v>
      </c>
      <c r="AV32" s="329">
        <f t="shared" si="9"/>
        <v>0</v>
      </c>
      <c r="AX32" s="309"/>
    </row>
    <row r="33" spans="2:50" s="288" customFormat="1" ht="24.9" customHeight="1">
      <c r="B33" s="393"/>
      <c r="C33" s="604" t="str">
        <f t="shared" si="10"/>
        <v/>
      </c>
      <c r="D33" s="606" t="str">
        <f t="shared" si="11"/>
        <v/>
      </c>
      <c r="E33" s="484" t="str">
        <f>IF(OR(J33=0,J33=""),"",VLOOKUP(R33,Лист1!$M:$O,3,0))</f>
        <v/>
      </c>
      <c r="F33" s="295" t="str">
        <f t="shared" si="12"/>
        <v/>
      </c>
      <c r="G33" s="625" t="str">
        <f t="shared" si="13"/>
        <v/>
      </c>
      <c r="H33" s="296" t="str">
        <f t="shared" si="14"/>
        <v/>
      </c>
      <c r="J33" s="297">
        <f>form!$R$19</f>
        <v>0</v>
      </c>
      <c r="L33" s="298" t="str">
        <f>IF(G33="","",CONCATENATE(R33,".",S33,".",T33,".",U33,".",V33,".",W33,".",X33,".",Y33))</f>
        <v/>
      </c>
      <c r="M33" s="298" t="str">
        <f>IF(G33="","",CONCATENATE(AA33,", ",AB33,", ",AC33,", ",AD33,", ",AE33,", ",AF33,", ",AG33,", ",AH33))</f>
        <v/>
      </c>
      <c r="N33" s="298" t="str">
        <f t="shared" ref="N33:N53" si="15">IF(G33="","",AS33*(1-$G$1))</f>
        <v/>
      </c>
      <c r="O33" s="298" t="str">
        <f t="shared" ref="O33:O53" si="16">IF(F33="","",G33*F33)</f>
        <v/>
      </c>
      <c r="Q33" s="299" t="s">
        <v>846</v>
      </c>
      <c r="R33" s="300" t="e">
        <f>VLOOKUP(CONCATENATE(form!$C$19,".",form!$D$19),Лист1!$L:$N,2,0)</f>
        <v>#N/A</v>
      </c>
      <c r="S33" s="301" t="e">
        <f>VLOOKUP(CONCATENATE(form!$C$19,".",form!$D$19),Лист1!$Q:$S,2,0)</f>
        <v>#N/A</v>
      </c>
      <c r="T33" s="301" t="e">
        <f>VLOOKUP(CONCATENATE(form!$E$19,".",form!$F$19,".",form!$G$19),Лист1!$U:$W,2,0)</f>
        <v>#N/A</v>
      </c>
      <c r="U33" s="302" t="e">
        <f>VLOOKUP(form!$I$19,Лист1!$Y:$AA,2,0)</f>
        <v>#N/A</v>
      </c>
      <c r="V33" s="302" t="e">
        <f>VLOOKUP(form!$J$19,Лист1!$AC:$AE,2,0)</f>
        <v>#N/A</v>
      </c>
      <c r="W33" s="302" t="e">
        <f>VLOOKUP(form!$K$19,Лист1!$AG:$AI,2,0)</f>
        <v>#N/A</v>
      </c>
      <c r="X33" s="302" t="e">
        <f>VLOOKUP(CONCATENATE(form!$L$19,".",form!$M$19),Лист1!$AK$14:$AM$192,2,0)</f>
        <v>#N/A</v>
      </c>
      <c r="Y33" s="302" t="e">
        <f>VLOOKUP(CONCATENATE(form!$L$19,".",form!$N$19),Лист1!$AO$13:$AQ$127,2,0)</f>
        <v>#N/A</v>
      </c>
      <c r="AA33" s="303" t="e">
        <f>VLOOKUP(CONCATENATE(form!$C$19,".",form!$D$19),Лист1!$L:$N,3,0)</f>
        <v>#N/A</v>
      </c>
      <c r="AB33" s="303" t="e">
        <f>VLOOKUP(CONCATENATE(form!$C$19,".",form!$D$19),Лист1!$Q:$S,3,0)</f>
        <v>#N/A</v>
      </c>
      <c r="AC33" s="303" t="e">
        <f>VLOOKUP(CONCATENATE(form!$E$19,".",form!$F$19,".",form!$G$19),Лист1!$U:$W,3,0)</f>
        <v>#N/A</v>
      </c>
      <c r="AD33" s="303" t="e">
        <f>VLOOKUP(form!$I$19,Лист1!$Y:$AA,3,0)</f>
        <v>#N/A</v>
      </c>
      <c r="AE33" s="303" t="e">
        <f>VLOOKUP(form!$J$19,Лист1!$AC:$AE,3,0)</f>
        <v>#N/A</v>
      </c>
      <c r="AF33" s="304" t="e">
        <f>VLOOKUP(form!$K$19,Лист1!$AG:$AI,3,0)</f>
        <v>#N/A</v>
      </c>
      <c r="AG33" s="303" t="e">
        <f>VLOOKUP(CONCATENATE(form!$L$19,".",form!$M$19),Лист1!$AK$14:$AM$192,3,0)</f>
        <v>#N/A</v>
      </c>
      <c r="AH33" s="303" t="e">
        <f>VLOOKUP(CONCATENATE(form!$L$19,".",form!$N$19),Лист1!$AO$13:$AQ$127,3,0)</f>
        <v>#N/A</v>
      </c>
      <c r="AJ33" s="305" t="e">
        <f>VLOOKUP(CONCATENATE(form!$C$19,".",form!$D$19,".",form!$H$19),Лист1!$DD:$DH,5,0)</f>
        <v>#N/A</v>
      </c>
      <c r="AK33" s="305" t="e">
        <f>VLOOKUP(CONCATENATE(form!$C$19,".",form!$J$19),Лист1!$DJ:$DN,5,0)</f>
        <v>#N/A</v>
      </c>
      <c r="AL33" s="305" t="e">
        <f>VLOOKUP(CONCATENATE(form!$C$19,".",form!$D$19,".",form!$K$19),Лист1!$DP:$DT,5,0)</f>
        <v>#N/A</v>
      </c>
      <c r="AM33" s="306"/>
      <c r="AN33" s="305" t="e">
        <f>VLOOKUP(CONCATENATE(form!$C$19,".",form!$L$19),Лист1!$DV:$DZ,5,0)</f>
        <v>#N/A</v>
      </c>
      <c r="AO33" s="305" t="e">
        <f>VLOOKUP(CONCATENATE(form!$C$19,".",form!$M$19),Лист1!$EB:$EF,5,0)</f>
        <v>#N/A</v>
      </c>
      <c r="AP33" s="659"/>
      <c r="AQ33" s="307" t="str">
        <f>IF(ISNA(AR33),"0",AR33)</f>
        <v>0</v>
      </c>
      <c r="AR33" s="670" t="e">
        <f>VLOOKUP(CONCATENATE(form!$C$19,".",form!$G$19),Лист1!$EH:$EL,5,0)</f>
        <v>#N/A</v>
      </c>
      <c r="AS33" s="308" t="e">
        <f t="shared" si="7"/>
        <v>#N/A</v>
      </c>
      <c r="AU33" s="663">
        <f t="shared" ref="AU33:AU53" si="17">IF(ISNA(AV33),"0",AV33)</f>
        <v>0</v>
      </c>
      <c r="AV33" s="309">
        <f t="shared" ref="AV33:AV53" si="18">IF(G33="",0,ROUND(AS33*G33,2))</f>
        <v>0</v>
      </c>
      <c r="AX33" s="309"/>
    </row>
    <row r="34" spans="2:50" s="288" customFormat="1" ht="24.9" customHeight="1">
      <c r="B34" s="391">
        <v>9</v>
      </c>
      <c r="C34" s="604" t="str">
        <f t="shared" si="10"/>
        <v/>
      </c>
      <c r="D34" s="606" t="str">
        <f t="shared" si="11"/>
        <v/>
      </c>
      <c r="E34" s="484" t="str">
        <f>IF(OR(J34=0,J34=""),"",VLOOKUP(R34,Лист1!$M:$O,3,0))</f>
        <v/>
      </c>
      <c r="F34" s="295" t="str">
        <f t="shared" si="12"/>
        <v/>
      </c>
      <c r="G34" s="625" t="str">
        <f t="shared" si="13"/>
        <v/>
      </c>
      <c r="H34" s="296" t="str">
        <f t="shared" si="14"/>
        <v/>
      </c>
      <c r="J34" s="297" t="str">
        <f>form!$DE$19</f>
        <v/>
      </c>
      <c r="L34" s="310" t="str">
        <f>IF(G34="","",CONCATENATE(R34,".",T34,".",S34,".",U34,".",X34,".",Y34))</f>
        <v/>
      </c>
      <c r="M34" s="310" t="str">
        <f>IF(G34="","",CONCATENATE(AA34,", ",AB34,", ",AC34,", ",AD34,", ",AG34,", ",AH34))</f>
        <v/>
      </c>
      <c r="N34" s="310" t="str">
        <f t="shared" si="15"/>
        <v/>
      </c>
      <c r="O34" s="310" t="str">
        <f t="shared" si="16"/>
        <v/>
      </c>
      <c r="Q34" s="311" t="s">
        <v>847</v>
      </c>
      <c r="R34" s="300" t="e">
        <f>VLOOKUP(CONCATENATE(form!$CV$19,".",form!$CW$19),Лист1!$L:$N,2,0)</f>
        <v>#N/A</v>
      </c>
      <c r="S34" s="301" t="e">
        <f>VLOOKUP(CONCATENATE(form!$CV$19,".",form!$CW$19),Лист1!$Q:$S,2,0)</f>
        <v>#N/A</v>
      </c>
      <c r="T34" s="301" t="e">
        <f>VLOOKUP(CONCATENATE(form!$CV$19,".",form!$CX$19,".",form!$CY$19,".",form!$CZ$19),Лист1!$U:$W,2,0)</f>
        <v>#N/A</v>
      </c>
      <c r="U34" s="302" t="e">
        <f>VLOOKUP(form!$DB$19,Лист1!$Y:$AA,2,0)</f>
        <v>#N/A</v>
      </c>
      <c r="V34" s="312"/>
      <c r="W34" s="312"/>
      <c r="X34" s="302" t="e">
        <f>VLOOKUP(form!$DC$19,Лист1!$AK$196:$AM$228,2,0)</f>
        <v>#N/A</v>
      </c>
      <c r="Y34" s="302" t="e">
        <f>VLOOKUP(form!$DD$19,Лист1!$AO$130:$AQ$181,2,0)</f>
        <v>#N/A</v>
      </c>
      <c r="AA34" s="310" t="e">
        <f>VLOOKUP(CONCATENATE(form!$CV$19,".",form!$CW$19),Лист1!$L:$N,3,0)</f>
        <v>#N/A</v>
      </c>
      <c r="AB34" s="310" t="e">
        <f>VLOOKUP(CONCATENATE(form!$CV$19,".",form!$CW$19),Лист1!$Q:$S,3,0)</f>
        <v>#N/A</v>
      </c>
      <c r="AC34" s="310" t="e">
        <f>VLOOKUP(CONCATENATE(form!$CV$19,".",form!$CX$19,".",form!$CY$19,".",form!$CZ$19),Лист1!$U:$W,3,0)</f>
        <v>#N/A</v>
      </c>
      <c r="AD34" s="310" t="e">
        <f>VLOOKUP(form!$DB$19,Лист1!$Y:$AA,3,0)</f>
        <v>#N/A</v>
      </c>
      <c r="AE34" s="313"/>
      <c r="AF34" s="313"/>
      <c r="AG34" s="314" t="e">
        <f>VLOOKUP(form!$DC$19,Лист1!$AK$196:$AM$228,3,0)</f>
        <v>#N/A</v>
      </c>
      <c r="AH34" s="310" t="e">
        <f>VLOOKUP(form!$DD$19,Лист1!$AO$130:$AQ$181,3,0)</f>
        <v>#N/A</v>
      </c>
      <c r="AJ34" s="315" t="e">
        <f>VLOOKUP(CONCATENATE(form!$CV$19,".",form!$CW$19,".",form!$DA$19),Лист1!$DD:$DH,5,0)</f>
        <v>#N/A</v>
      </c>
      <c r="AK34" s="316"/>
      <c r="AL34" s="316"/>
      <c r="AM34" s="316"/>
      <c r="AN34" s="305" t="e">
        <f>VLOOKUP(CONCATENATE(form!$CV$19,".",form!$DC$19),Лист1!$DV:$DZ,5,0)</f>
        <v>#N/A</v>
      </c>
      <c r="AO34" s="316"/>
      <c r="AP34" s="315" t="e">
        <f>VLOOKUP(CONCATENATE(form!$CV$19,".",form!$CW$19,".",form!$DA$19,".",form!$CY$19),Лист1!$EH:$EL,5,0)</f>
        <v>#N/A</v>
      </c>
      <c r="AQ34" s="317"/>
      <c r="AR34" s="317"/>
      <c r="AS34" s="308" t="e">
        <f t="shared" si="7"/>
        <v>#N/A</v>
      </c>
      <c r="AU34" s="663">
        <f t="shared" si="17"/>
        <v>0</v>
      </c>
      <c r="AV34" s="309">
        <f t="shared" si="18"/>
        <v>0</v>
      </c>
      <c r="AX34" s="309"/>
    </row>
    <row r="35" spans="2:50" s="288" customFormat="1" ht="24.9" customHeight="1">
      <c r="B35" s="392"/>
      <c r="C35" s="605" t="str">
        <f t="shared" si="10"/>
        <v/>
      </c>
      <c r="D35" s="607" t="str">
        <f t="shared" si="11"/>
        <v/>
      </c>
      <c r="E35" s="485" t="str">
        <f>IF(OR(J35=0,J35=""),"",VLOOKUP(R35,Лист1!$M:$O,3,0))</f>
        <v/>
      </c>
      <c r="F35" s="318" t="str">
        <f t="shared" si="12"/>
        <v/>
      </c>
      <c r="G35" s="626" t="str">
        <f t="shared" si="13"/>
        <v/>
      </c>
      <c r="H35" s="319" t="str">
        <f t="shared" si="14"/>
        <v/>
      </c>
      <c r="J35" s="297" t="str">
        <f>form!$DL$19</f>
        <v/>
      </c>
      <c r="L35" s="320" t="str">
        <f>IF(G35="","",CONCATENATE(R35,".",T35,".",S35,".",U35))</f>
        <v/>
      </c>
      <c r="M35" s="320" t="str">
        <f>IF(G35="","",CONCATENATE(AA35,", ",AC35,", ",AD35))</f>
        <v/>
      </c>
      <c r="N35" s="320" t="str">
        <f t="shared" si="15"/>
        <v/>
      </c>
      <c r="O35" s="320" t="str">
        <f t="shared" si="16"/>
        <v/>
      </c>
      <c r="Q35" s="321" t="s">
        <v>848</v>
      </c>
      <c r="R35" s="322" t="e">
        <f>VLOOKUP(form!$DG$19,Лист1!$L:$N,2,0)</f>
        <v>#N/A</v>
      </c>
      <c r="S35" s="323" t="e">
        <f>VLOOKUP(form!$DG$19,Лист1!$Q:$S,2,0)</f>
        <v>#N/A</v>
      </c>
      <c r="T35" s="323" t="e">
        <f>VLOOKUP(CONCATENATE(form!$DG$19,".",form!$DI$19),Лист1!$U:$W,2,0)</f>
        <v>#N/A</v>
      </c>
      <c r="U35" s="324" t="e">
        <f>VLOOKUP(form!$DK$19,Лист1!$Y:$AA,2,0)</f>
        <v>#N/A</v>
      </c>
      <c r="V35" s="325"/>
      <c r="W35" s="325"/>
      <c r="X35" s="325"/>
      <c r="Y35" s="325"/>
      <c r="AA35" s="320" t="e">
        <f>VLOOKUP(form!$DG$19,Лист1!$L:$N,3,0)</f>
        <v>#N/A</v>
      </c>
      <c r="AB35" s="325"/>
      <c r="AC35" s="320" t="e">
        <f>VLOOKUP(CONCATENATE(form!$DG$19,".",form!$DI$19),Лист1!$U:$W,3,0)</f>
        <v>#N/A</v>
      </c>
      <c r="AD35" s="320" t="e">
        <f>VLOOKUP(form!$DK$19,Лист1!$Y:$AA,3,0)</f>
        <v>#N/A</v>
      </c>
      <c r="AE35" s="325"/>
      <c r="AF35" s="325"/>
      <c r="AG35" s="325"/>
      <c r="AH35" s="325"/>
      <c r="AJ35" s="326" t="e">
        <f>VLOOKUP(CONCATENATE(form!$DG$19,".",form!$DJ$19),Лист1!$DD:$DH,5,0)</f>
        <v>#N/A</v>
      </c>
      <c r="AK35" s="325"/>
      <c r="AL35" s="325"/>
      <c r="AM35" s="325"/>
      <c r="AN35" s="325"/>
      <c r="AO35" s="325"/>
      <c r="AP35" s="326" t="e">
        <f>VLOOKUP(CONCATENATE(form!$DG$19,".",form!$DJ$19,".",form!$DH$19),Лист1!$EH:$EL,5,0)</f>
        <v>#N/A</v>
      </c>
      <c r="AQ35" s="327"/>
      <c r="AR35" s="327"/>
      <c r="AS35" s="328" t="e">
        <f t="shared" si="7"/>
        <v>#N/A</v>
      </c>
      <c r="AU35" s="664">
        <f t="shared" si="17"/>
        <v>0</v>
      </c>
      <c r="AV35" s="329">
        <f t="shared" si="18"/>
        <v>0</v>
      </c>
      <c r="AX35" s="309"/>
    </row>
    <row r="36" spans="2:50" s="288" customFormat="1" ht="24.9" customHeight="1">
      <c r="B36" s="393"/>
      <c r="C36" s="604" t="str">
        <f t="shared" si="10"/>
        <v/>
      </c>
      <c r="D36" s="606" t="str">
        <f t="shared" si="11"/>
        <v/>
      </c>
      <c r="E36" s="484" t="str">
        <f>IF(OR(J36=0,J36=""),"",VLOOKUP(R36,Лист1!$M:$O,3,0))</f>
        <v/>
      </c>
      <c r="F36" s="295" t="str">
        <f t="shared" si="12"/>
        <v/>
      </c>
      <c r="G36" s="625" t="str">
        <f t="shared" si="13"/>
        <v/>
      </c>
      <c r="H36" s="296" t="str">
        <f t="shared" si="14"/>
        <v/>
      </c>
      <c r="J36" s="297">
        <f>form!$R$20</f>
        <v>0</v>
      </c>
      <c r="L36" s="298" t="str">
        <f>IF(G36="","",CONCATENATE(R36,".",S36,".",T36,".",U36,".",V36,".",W36,".",X36,".",Y36))</f>
        <v/>
      </c>
      <c r="M36" s="298" t="str">
        <f>IF(G36="","",CONCATENATE(AA36,", ",AB36,", ",AC36,", ",AD36,", ",AE36,", ",AF36,", ",AG36,", ",AH36))</f>
        <v/>
      </c>
      <c r="N36" s="298" t="str">
        <f t="shared" si="15"/>
        <v/>
      </c>
      <c r="O36" s="298" t="str">
        <f t="shared" si="16"/>
        <v/>
      </c>
      <c r="Q36" s="299" t="s">
        <v>846</v>
      </c>
      <c r="R36" s="300" t="e">
        <f>VLOOKUP(CONCATENATE(form!$C$20,".",form!$D$20),Лист1!$L:$N,2,0)</f>
        <v>#N/A</v>
      </c>
      <c r="S36" s="301" t="e">
        <f>VLOOKUP(CONCATENATE(form!$C$20,".",form!$D$20),Лист1!$Q:$S,2,0)</f>
        <v>#N/A</v>
      </c>
      <c r="T36" s="301" t="e">
        <f>VLOOKUP(CONCATENATE(form!$E$20,".",form!$F$20,".",form!$G$20),Лист1!$U:$W,2,0)</f>
        <v>#N/A</v>
      </c>
      <c r="U36" s="302" t="e">
        <f>VLOOKUP(form!$I$20,Лист1!$Y:$AA,2,0)</f>
        <v>#N/A</v>
      </c>
      <c r="V36" s="302" t="e">
        <f>VLOOKUP(form!$J$20,Лист1!$AC:$AE,2,0)</f>
        <v>#N/A</v>
      </c>
      <c r="W36" s="302" t="e">
        <f>VLOOKUP(form!$K$20,Лист1!$AG:$AI,2,0)</f>
        <v>#N/A</v>
      </c>
      <c r="X36" s="302" t="e">
        <f>VLOOKUP(CONCATENATE(form!$L$20,".",form!$M$20),Лист1!$AK$14:$AM$192,2,0)</f>
        <v>#N/A</v>
      </c>
      <c r="Y36" s="302" t="e">
        <f>VLOOKUP(CONCATENATE(form!$L$20,".",form!$N$20),Лист1!$AO$13:$AQ$127,2,0)</f>
        <v>#N/A</v>
      </c>
      <c r="AA36" s="303" t="e">
        <f>VLOOKUP(CONCATENATE(form!$C$20,".",form!$D$20),Лист1!$L:$N,3,0)</f>
        <v>#N/A</v>
      </c>
      <c r="AB36" s="303" t="e">
        <f>VLOOKUP(CONCATENATE(form!$C$20,".",form!$D$20),Лист1!$Q:$S,3,0)</f>
        <v>#N/A</v>
      </c>
      <c r="AC36" s="303" t="e">
        <f>VLOOKUP(CONCATENATE(form!$E$20,".",form!$F$20,".",form!$G$20),Лист1!$U:$W,3,0)</f>
        <v>#N/A</v>
      </c>
      <c r="AD36" s="303" t="e">
        <f>VLOOKUP(form!$I$20,Лист1!$Y:$AA,3,0)</f>
        <v>#N/A</v>
      </c>
      <c r="AE36" s="303" t="e">
        <f>VLOOKUP(form!$J$20,Лист1!$AC:$AE,3,0)</f>
        <v>#N/A</v>
      </c>
      <c r="AF36" s="304" t="e">
        <f>VLOOKUP(form!$K$20,Лист1!$AG:$AI,3,0)</f>
        <v>#N/A</v>
      </c>
      <c r="AG36" s="303" t="e">
        <f>VLOOKUP(CONCATENATE(form!$L$20,".",form!$M$20),Лист1!$AK$14:$AM$192,3,0)</f>
        <v>#N/A</v>
      </c>
      <c r="AH36" s="303" t="e">
        <f>VLOOKUP(CONCATENATE(form!$L$20,".",form!$N$20),Лист1!$AO$13:$AQ$127,3,0)</f>
        <v>#N/A</v>
      </c>
      <c r="AJ36" s="305" t="e">
        <f>VLOOKUP(CONCATENATE(form!$C$20,".",form!$D$20,".",form!$H$20),Лист1!$DD:$DH,5,0)</f>
        <v>#N/A</v>
      </c>
      <c r="AK36" s="305" t="e">
        <f>VLOOKUP(CONCATENATE(form!$C$20,".",form!$J$20),Лист1!$DJ:$DN,5,0)</f>
        <v>#N/A</v>
      </c>
      <c r="AL36" s="305" t="e">
        <f>VLOOKUP(CONCATENATE(form!$C$20,".",form!$D$20,".",form!$K$20),Лист1!$DP:$DT,5,0)</f>
        <v>#N/A</v>
      </c>
      <c r="AM36" s="306"/>
      <c r="AN36" s="305" t="e">
        <f>VLOOKUP(CONCATENATE(form!$C$20,".",form!$L$20),Лист1!$DV:$DZ,5,0)</f>
        <v>#N/A</v>
      </c>
      <c r="AO36" s="305" t="e">
        <f>VLOOKUP(CONCATENATE(form!$C$20,".",form!$M$20),Лист1!$EB:$EF,5,0)</f>
        <v>#N/A</v>
      </c>
      <c r="AP36" s="659"/>
      <c r="AQ36" s="307" t="str">
        <f>IF(ISNA(AR36),"0",AR36)</f>
        <v>0</v>
      </c>
      <c r="AR36" s="670" t="e">
        <f>VLOOKUP(CONCATENATE(form!$C$20,".",form!$G$20),Лист1!$EH:$EL,5,0)</f>
        <v>#N/A</v>
      </c>
      <c r="AS36" s="308" t="e">
        <f t="shared" si="7"/>
        <v>#N/A</v>
      </c>
      <c r="AU36" s="663">
        <f t="shared" si="17"/>
        <v>0</v>
      </c>
      <c r="AV36" s="309">
        <f t="shared" si="18"/>
        <v>0</v>
      </c>
      <c r="AX36" s="309"/>
    </row>
    <row r="37" spans="2:50" s="288" customFormat="1" ht="24.9" customHeight="1">
      <c r="B37" s="391">
        <v>10</v>
      </c>
      <c r="C37" s="604" t="str">
        <f t="shared" si="10"/>
        <v/>
      </c>
      <c r="D37" s="606" t="str">
        <f t="shared" si="11"/>
        <v/>
      </c>
      <c r="E37" s="484" t="str">
        <f>IF(OR(J37=0,J37=""),"",VLOOKUP(R37,Лист1!$M:$O,3,0))</f>
        <v/>
      </c>
      <c r="F37" s="295" t="str">
        <f t="shared" si="12"/>
        <v/>
      </c>
      <c r="G37" s="625" t="str">
        <f t="shared" si="13"/>
        <v/>
      </c>
      <c r="H37" s="296" t="str">
        <f t="shared" si="14"/>
        <v/>
      </c>
      <c r="J37" s="297" t="str">
        <f>form!$DE$20</f>
        <v/>
      </c>
      <c r="L37" s="310" t="str">
        <f>IF(G37="","",CONCATENATE(R37,".",T37,".",S37,".",U37,".",X37,".",Y37))</f>
        <v/>
      </c>
      <c r="M37" s="310" t="str">
        <f>IF(G37="","",CONCATENATE(AA37,", ",AB37,", ",AC37,", ",AD37,", ",AG37,", ",AH37))</f>
        <v/>
      </c>
      <c r="N37" s="310" t="str">
        <f t="shared" si="15"/>
        <v/>
      </c>
      <c r="O37" s="310" t="str">
        <f t="shared" si="16"/>
        <v/>
      </c>
      <c r="Q37" s="311" t="s">
        <v>847</v>
      </c>
      <c r="R37" s="300" t="e">
        <f>VLOOKUP(CONCATENATE(form!$CV$20,".",form!$CW$20),Лист1!$L:$N,2,0)</f>
        <v>#N/A</v>
      </c>
      <c r="S37" s="301" t="e">
        <f>VLOOKUP(CONCATENATE(form!$CV$20,".",form!$CW$20),Лист1!$Q:$S,2,0)</f>
        <v>#N/A</v>
      </c>
      <c r="T37" s="301" t="e">
        <f>VLOOKUP(CONCATENATE(form!$CV$20,".",form!$CX$20,".",form!$CY$20,".",form!$CZ$20),Лист1!$U:$W,2,0)</f>
        <v>#N/A</v>
      </c>
      <c r="U37" s="302" t="e">
        <f>VLOOKUP(form!$DB$20,Лист1!$Y:$AA,2,0)</f>
        <v>#N/A</v>
      </c>
      <c r="V37" s="312"/>
      <c r="W37" s="312"/>
      <c r="X37" s="302" t="e">
        <f>VLOOKUP(form!$DC$20,Лист1!$AK$196:$AM$228,2,0)</f>
        <v>#N/A</v>
      </c>
      <c r="Y37" s="302" t="e">
        <f>VLOOKUP(form!$DD$20,Лист1!$AO$130:$AQ$181,2,0)</f>
        <v>#N/A</v>
      </c>
      <c r="AA37" s="310" t="e">
        <f>VLOOKUP(CONCATENATE(form!$CV$20,".",form!$CW$20),Лист1!$L:$N,3,0)</f>
        <v>#N/A</v>
      </c>
      <c r="AB37" s="310" t="e">
        <f>VLOOKUP(CONCATENATE(form!$CV$20,".",form!$CW$20),Лист1!$Q:$S,3,0)</f>
        <v>#N/A</v>
      </c>
      <c r="AC37" s="310" t="e">
        <f>VLOOKUP(CONCATENATE(form!$CV$20,".",form!$CX$20,".",form!$CY$20,".",form!$CZ$20),Лист1!$U:$W,3,0)</f>
        <v>#N/A</v>
      </c>
      <c r="AD37" s="310" t="e">
        <f>VLOOKUP(form!$DB$20,Лист1!$Y:$AA,3,0)</f>
        <v>#N/A</v>
      </c>
      <c r="AE37" s="313"/>
      <c r="AF37" s="313"/>
      <c r="AG37" s="314" t="e">
        <f>VLOOKUP(form!$DC$20,Лист1!$AK$196:$AM$228,3,0)</f>
        <v>#N/A</v>
      </c>
      <c r="AH37" s="310" t="e">
        <f>VLOOKUP(form!$DD$20,Лист1!$AO$130:$AQ$181,3,0)</f>
        <v>#N/A</v>
      </c>
      <c r="AJ37" s="315" t="e">
        <f>VLOOKUP(CONCATENATE(form!$CV$20,".",form!$CW$20,".",form!$DA$20),Лист1!$DD:$DH,5,0)</f>
        <v>#N/A</v>
      </c>
      <c r="AK37" s="316"/>
      <c r="AL37" s="316"/>
      <c r="AM37" s="316"/>
      <c r="AN37" s="305" t="e">
        <f>VLOOKUP(CONCATENATE(form!$CV$20,".",form!$DC$20),Лист1!$DV:$DZ,5,0)</f>
        <v>#N/A</v>
      </c>
      <c r="AO37" s="316"/>
      <c r="AP37" s="315" t="e">
        <f>VLOOKUP(CONCATENATE(form!$CV$20,".",form!$CW$20,".",form!$DA$20,".",form!$CY$20),Лист1!$EH:$EL,5,0)</f>
        <v>#N/A</v>
      </c>
      <c r="AQ37" s="317"/>
      <c r="AR37" s="317"/>
      <c r="AS37" s="308" t="e">
        <f t="shared" si="7"/>
        <v>#N/A</v>
      </c>
      <c r="AU37" s="663">
        <f t="shared" si="17"/>
        <v>0</v>
      </c>
      <c r="AV37" s="309">
        <f t="shared" si="18"/>
        <v>0</v>
      </c>
      <c r="AX37" s="309"/>
    </row>
    <row r="38" spans="2:50" s="288" customFormat="1" ht="24.9" customHeight="1">
      <c r="B38" s="392"/>
      <c r="C38" s="605" t="str">
        <f t="shared" si="10"/>
        <v/>
      </c>
      <c r="D38" s="607" t="str">
        <f t="shared" si="11"/>
        <v/>
      </c>
      <c r="E38" s="485" t="str">
        <f>IF(OR(J38=0,J38=""),"",VLOOKUP(R38,Лист1!$M:$O,3,0))</f>
        <v/>
      </c>
      <c r="F38" s="318" t="str">
        <f t="shared" si="12"/>
        <v/>
      </c>
      <c r="G38" s="626" t="str">
        <f t="shared" si="13"/>
        <v/>
      </c>
      <c r="H38" s="319" t="str">
        <f t="shared" si="14"/>
        <v/>
      </c>
      <c r="J38" s="297" t="str">
        <f>form!$DL$20</f>
        <v/>
      </c>
      <c r="L38" s="320" t="str">
        <f>IF(G38="","",CONCATENATE(R38,".",T38,".",S38,".",U38))</f>
        <v/>
      </c>
      <c r="M38" s="320" t="str">
        <f>IF(G38="","",CONCATENATE(AA38,", ",AC38,", ",AD38))</f>
        <v/>
      </c>
      <c r="N38" s="320" t="str">
        <f t="shared" si="15"/>
        <v/>
      </c>
      <c r="O38" s="320" t="str">
        <f t="shared" si="16"/>
        <v/>
      </c>
      <c r="Q38" s="321" t="s">
        <v>848</v>
      </c>
      <c r="R38" s="322" t="e">
        <f>VLOOKUP(form!$DG$20,Лист1!$L:$N,2,0)</f>
        <v>#N/A</v>
      </c>
      <c r="S38" s="323" t="e">
        <f>VLOOKUP(form!$DG$20,Лист1!$Q:$S,2,0)</f>
        <v>#N/A</v>
      </c>
      <c r="T38" s="323" t="e">
        <f>VLOOKUP(CONCATENATE(form!$DG$20,".",form!$DI$20),Лист1!$U:$W,2,0)</f>
        <v>#N/A</v>
      </c>
      <c r="U38" s="324" t="e">
        <f>VLOOKUP(form!$DK$20,Лист1!$Y:$AA,2,0)</f>
        <v>#N/A</v>
      </c>
      <c r="V38" s="325"/>
      <c r="W38" s="325"/>
      <c r="X38" s="325"/>
      <c r="Y38" s="325"/>
      <c r="AA38" s="320" t="e">
        <f>VLOOKUP(form!$DG$20,Лист1!$L:$N,3,0)</f>
        <v>#N/A</v>
      </c>
      <c r="AB38" s="325"/>
      <c r="AC38" s="320" t="e">
        <f>VLOOKUP(CONCATENATE(form!$DG$20,".",form!$DI$20),Лист1!$U:$W,3,0)</f>
        <v>#N/A</v>
      </c>
      <c r="AD38" s="320" t="e">
        <f>VLOOKUP(form!$DK$20,Лист1!$Y:$AA,3,0)</f>
        <v>#N/A</v>
      </c>
      <c r="AE38" s="325"/>
      <c r="AF38" s="325"/>
      <c r="AG38" s="325"/>
      <c r="AH38" s="325"/>
      <c r="AJ38" s="326" t="e">
        <f>VLOOKUP(CONCATENATE(form!$DG$20,".",form!$DJ$20),Лист1!$DD:$DH,5,0)</f>
        <v>#N/A</v>
      </c>
      <c r="AK38" s="325"/>
      <c r="AL38" s="325"/>
      <c r="AM38" s="325"/>
      <c r="AN38" s="325"/>
      <c r="AO38" s="325"/>
      <c r="AP38" s="326" t="e">
        <f>VLOOKUP(CONCATENATE(form!$DG$20,".",form!$DJ$20,".",form!$DH$20),Лист1!$EH:$EL,5,0)</f>
        <v>#N/A</v>
      </c>
      <c r="AQ38" s="327"/>
      <c r="AR38" s="327"/>
      <c r="AS38" s="328" t="e">
        <f t="shared" si="7"/>
        <v>#N/A</v>
      </c>
      <c r="AU38" s="664">
        <f t="shared" si="17"/>
        <v>0</v>
      </c>
      <c r="AV38" s="329">
        <f t="shared" si="18"/>
        <v>0</v>
      </c>
      <c r="AX38" s="309"/>
    </row>
    <row r="39" spans="2:50" s="288" customFormat="1" ht="24.9" customHeight="1">
      <c r="B39" s="393"/>
      <c r="C39" s="604" t="str">
        <f t="shared" si="10"/>
        <v/>
      </c>
      <c r="D39" s="606" t="str">
        <f t="shared" si="11"/>
        <v/>
      </c>
      <c r="E39" s="484" t="str">
        <f>IF(OR(J39=0,J39=""),"",VLOOKUP(R39,Лист1!$M:$O,3,0))</f>
        <v/>
      </c>
      <c r="F39" s="295" t="str">
        <f t="shared" si="12"/>
        <v/>
      </c>
      <c r="G39" s="625" t="str">
        <f t="shared" si="13"/>
        <v/>
      </c>
      <c r="H39" s="296" t="str">
        <f t="shared" si="14"/>
        <v/>
      </c>
      <c r="J39" s="297">
        <f>form!$R$21</f>
        <v>0</v>
      </c>
      <c r="L39" s="298" t="str">
        <f>IF(G39="","",CONCATENATE(R39,".",S39,".",T39,".",U39,".",V39,".",W39,".",X39,".",Y39))</f>
        <v/>
      </c>
      <c r="M39" s="298" t="str">
        <f>IF(G39="","",CONCATENATE(AA39,", ",AB39,", ",AC39,", ",AD39,", ",AE39,", ",AF39,", ",AG39,", ",AH39))</f>
        <v/>
      </c>
      <c r="N39" s="298" t="str">
        <f t="shared" si="15"/>
        <v/>
      </c>
      <c r="O39" s="298" t="str">
        <f t="shared" si="16"/>
        <v/>
      </c>
      <c r="Q39" s="299" t="s">
        <v>846</v>
      </c>
      <c r="R39" s="300" t="e">
        <f>VLOOKUP(CONCATENATE(form!$C$21,".",form!$D$21),Лист1!$L:$N,2,0)</f>
        <v>#N/A</v>
      </c>
      <c r="S39" s="301" t="e">
        <f>VLOOKUP(CONCATENATE(form!$C$21,".",form!$D$21),Лист1!$Q:$S,2,0)</f>
        <v>#N/A</v>
      </c>
      <c r="T39" s="301" t="e">
        <f>VLOOKUP(CONCATENATE(form!$E$21,".",form!$F$21,".",form!$G$21),Лист1!$U:$W,2,0)</f>
        <v>#N/A</v>
      </c>
      <c r="U39" s="302" t="e">
        <f>VLOOKUP(form!$I$21,Лист1!$Y:$AA,2,0)</f>
        <v>#N/A</v>
      </c>
      <c r="V39" s="302" t="e">
        <f>VLOOKUP(form!$J$21,Лист1!$AC:$AE,2,0)</f>
        <v>#N/A</v>
      </c>
      <c r="W39" s="302" t="e">
        <f>VLOOKUP(form!$K$21,Лист1!$AG:$AI,2,0)</f>
        <v>#N/A</v>
      </c>
      <c r="X39" s="302" t="e">
        <f>VLOOKUP(CONCATENATE(form!$L$21,".",form!$M$21),Лист1!$AK$14:$AM$192,2,0)</f>
        <v>#N/A</v>
      </c>
      <c r="Y39" s="302" t="e">
        <f>VLOOKUP(CONCATENATE(form!$L$21,".",form!$N$21),Лист1!$AO$13:$AQ$127,2,0)</f>
        <v>#N/A</v>
      </c>
      <c r="AA39" s="303" t="e">
        <f>VLOOKUP(CONCATENATE(form!$C$21,".",form!$D$21),Лист1!$L:$N,3,0)</f>
        <v>#N/A</v>
      </c>
      <c r="AB39" s="303" t="e">
        <f>VLOOKUP(CONCATENATE(form!$C$21,".",form!$D$21),Лист1!$Q:$S,3,0)</f>
        <v>#N/A</v>
      </c>
      <c r="AC39" s="303" t="e">
        <f>VLOOKUP(CONCATENATE(form!$E$21,".",form!$F$21,".",form!$G$21),Лист1!$U:$W,3,0)</f>
        <v>#N/A</v>
      </c>
      <c r="AD39" s="303" t="e">
        <f>VLOOKUP(form!$I$21,Лист1!$Y:$AA,3,0)</f>
        <v>#N/A</v>
      </c>
      <c r="AE39" s="303" t="e">
        <f>VLOOKUP(form!$J$21,Лист1!$AC:$AE,3,0)</f>
        <v>#N/A</v>
      </c>
      <c r="AF39" s="304" t="e">
        <f>VLOOKUP(form!$K$21,Лист1!$AG:$AI,3,0)</f>
        <v>#N/A</v>
      </c>
      <c r="AG39" s="303" t="e">
        <f>VLOOKUP(CONCATENATE(form!$L$21,".",form!$M$21),Лист1!$AK$14:$AM$192,3,0)</f>
        <v>#N/A</v>
      </c>
      <c r="AH39" s="303" t="e">
        <f>VLOOKUP(CONCATENATE(form!$L$21,".",form!$N$21),Лист1!$AO$13:$AQ$127,3,0)</f>
        <v>#N/A</v>
      </c>
      <c r="AJ39" s="305" t="e">
        <f>VLOOKUP(CONCATENATE(form!$C$21,".",form!$D$21,".",form!$H$21),Лист1!$DD:$DH,5,0)</f>
        <v>#N/A</v>
      </c>
      <c r="AK39" s="305" t="e">
        <f>VLOOKUP(CONCATENATE(form!$C$21,".",form!$J$21),Лист1!$DJ:$DN,5,0)</f>
        <v>#N/A</v>
      </c>
      <c r="AL39" s="305" t="e">
        <f>VLOOKUP(CONCATENATE(form!$C$21,".",form!$D$21,".",form!$K$21),Лист1!$DP:$DT,5,0)</f>
        <v>#N/A</v>
      </c>
      <c r="AM39" s="306"/>
      <c r="AN39" s="305" t="e">
        <f>VLOOKUP(CONCATENATE(form!$C$21,".",form!$L$21),Лист1!$DV:$DZ,5,0)</f>
        <v>#N/A</v>
      </c>
      <c r="AO39" s="305" t="e">
        <f>VLOOKUP(CONCATENATE(form!$C$21,".",form!$M$21),Лист1!$EB:$EF,5,0)</f>
        <v>#N/A</v>
      </c>
      <c r="AP39" s="659"/>
      <c r="AQ39" s="307" t="str">
        <f>IF(ISNA(AR39),"0",AR39)</f>
        <v>0</v>
      </c>
      <c r="AR39" s="670" t="e">
        <f>VLOOKUP(CONCATENATE(form!$C$21,".",form!$G$21),Лист1!$EH:$EL,5,0)</f>
        <v>#N/A</v>
      </c>
      <c r="AS39" s="308" t="e">
        <f t="shared" si="7"/>
        <v>#N/A</v>
      </c>
      <c r="AU39" s="663">
        <f t="shared" si="17"/>
        <v>0</v>
      </c>
      <c r="AV39" s="309">
        <f t="shared" si="18"/>
        <v>0</v>
      </c>
      <c r="AX39" s="309"/>
    </row>
    <row r="40" spans="2:50" s="288" customFormat="1" ht="24.9" customHeight="1">
      <c r="B40" s="391">
        <v>11</v>
      </c>
      <c r="C40" s="604" t="str">
        <f t="shared" si="10"/>
        <v/>
      </c>
      <c r="D40" s="606" t="str">
        <f t="shared" si="11"/>
        <v/>
      </c>
      <c r="E40" s="484" t="str">
        <f>IF(OR(J40=0,J40=""),"",VLOOKUP(R40,Лист1!$M:$O,3,0))</f>
        <v/>
      </c>
      <c r="F40" s="295" t="str">
        <f t="shared" si="12"/>
        <v/>
      </c>
      <c r="G40" s="625" t="str">
        <f t="shared" si="13"/>
        <v/>
      </c>
      <c r="H40" s="296" t="str">
        <f t="shared" si="14"/>
        <v/>
      </c>
      <c r="J40" s="297" t="str">
        <f>form!$DE$21</f>
        <v/>
      </c>
      <c r="L40" s="310" t="str">
        <f>IF(G40="","",CONCATENATE(R40,".",T40,".",S40,".",U40,".",X40,".",Y40))</f>
        <v/>
      </c>
      <c r="M40" s="310" t="str">
        <f>IF(G40="","",CONCATENATE(AA40,", ",AB40,", ",AC40,", ",AD40,", ",AG40,", ",AH40))</f>
        <v/>
      </c>
      <c r="N40" s="310" t="str">
        <f t="shared" si="15"/>
        <v/>
      </c>
      <c r="O40" s="310" t="str">
        <f t="shared" si="16"/>
        <v/>
      </c>
      <c r="Q40" s="311" t="s">
        <v>847</v>
      </c>
      <c r="R40" s="300" t="e">
        <f>VLOOKUP(CONCATENATE(form!$CV$21,".",form!$CW$21),Лист1!$L:$N,2,0)</f>
        <v>#N/A</v>
      </c>
      <c r="S40" s="301" t="e">
        <f>VLOOKUP(CONCATENATE(form!$CV$21,".",form!$CW$21),Лист1!$Q:$S,2,0)</f>
        <v>#N/A</v>
      </c>
      <c r="T40" s="301" t="e">
        <f>VLOOKUP(CONCATENATE(form!$CV$21,".",form!$CX$21,".",form!$CY$21,".",form!$CZ$21),Лист1!$U:$W,2,0)</f>
        <v>#N/A</v>
      </c>
      <c r="U40" s="302" t="e">
        <f>VLOOKUP(form!$DB$21,Лист1!$Y:$AA,2,0)</f>
        <v>#N/A</v>
      </c>
      <c r="V40" s="312"/>
      <c r="W40" s="312"/>
      <c r="X40" s="302" t="e">
        <f>VLOOKUP(form!$DC$21,Лист1!$AK$196:$AM$228,2,0)</f>
        <v>#N/A</v>
      </c>
      <c r="Y40" s="302" t="e">
        <f>VLOOKUP(form!$DD$21,Лист1!$AO$130:$AQ$181,2,0)</f>
        <v>#N/A</v>
      </c>
      <c r="AA40" s="310" t="e">
        <f>VLOOKUP(CONCATENATE(form!$CV$21,".",form!$CW$21),Лист1!$L:$N,3,0)</f>
        <v>#N/A</v>
      </c>
      <c r="AB40" s="310" t="e">
        <f>VLOOKUP(CONCATENATE(form!$CV$21,".",form!$CW$21),Лист1!$Q:$S,3,0)</f>
        <v>#N/A</v>
      </c>
      <c r="AC40" s="310" t="e">
        <f>VLOOKUP(CONCATENATE(form!$CV$21,".",form!$CX$21,".",form!$CY$21,".",form!$CZ$21),Лист1!$U:$W,3,0)</f>
        <v>#N/A</v>
      </c>
      <c r="AD40" s="310" t="e">
        <f>VLOOKUP(form!$DB$21,Лист1!$Y:$AA,3,0)</f>
        <v>#N/A</v>
      </c>
      <c r="AE40" s="313"/>
      <c r="AF40" s="313"/>
      <c r="AG40" s="314" t="e">
        <f>VLOOKUP(form!$DC$21,Лист1!$AK$196:$AM$228,3,0)</f>
        <v>#N/A</v>
      </c>
      <c r="AH40" s="310" t="e">
        <f>VLOOKUP(form!$DD$21,Лист1!$AO$130:$AQ$181,3,0)</f>
        <v>#N/A</v>
      </c>
      <c r="AJ40" s="315" t="e">
        <f>VLOOKUP(CONCATENATE(form!$CV$21,".",form!$CW$21,".",form!$DA$21),Лист1!$DD:$DH,5,0)</f>
        <v>#N/A</v>
      </c>
      <c r="AK40" s="316"/>
      <c r="AL40" s="316"/>
      <c r="AM40" s="316"/>
      <c r="AN40" s="305" t="e">
        <f>VLOOKUP(CONCATENATE(form!$CV$21,".",form!$DC$21),Лист1!$DV:$DZ,5,0)</f>
        <v>#N/A</v>
      </c>
      <c r="AO40" s="316"/>
      <c r="AP40" s="315" t="e">
        <f>VLOOKUP(CONCATENATE(form!$CV$21,".",form!$CW$21,".",form!$DA$21,".",form!$CY$21),Лист1!$EH:$EL,5,0)</f>
        <v>#N/A</v>
      </c>
      <c r="AQ40" s="317"/>
      <c r="AR40" s="317"/>
      <c r="AS40" s="308" t="e">
        <f t="shared" si="7"/>
        <v>#N/A</v>
      </c>
      <c r="AU40" s="663">
        <f t="shared" si="17"/>
        <v>0</v>
      </c>
      <c r="AV40" s="309">
        <f t="shared" si="18"/>
        <v>0</v>
      </c>
      <c r="AX40" s="309"/>
    </row>
    <row r="41" spans="2:50" s="288" customFormat="1" ht="24.9" customHeight="1">
      <c r="B41" s="392"/>
      <c r="C41" s="605" t="str">
        <f t="shared" si="10"/>
        <v/>
      </c>
      <c r="D41" s="607" t="str">
        <f t="shared" si="11"/>
        <v/>
      </c>
      <c r="E41" s="485" t="str">
        <f>IF(OR(J41=0,J41=""),"",VLOOKUP(R41,Лист1!$M:$O,3,0))</f>
        <v/>
      </c>
      <c r="F41" s="318" t="str">
        <f t="shared" si="12"/>
        <v/>
      </c>
      <c r="G41" s="626" t="str">
        <f t="shared" si="13"/>
        <v/>
      </c>
      <c r="H41" s="319" t="str">
        <f t="shared" si="14"/>
        <v/>
      </c>
      <c r="J41" s="297" t="str">
        <f>form!$DL$21</f>
        <v/>
      </c>
      <c r="L41" s="320" t="str">
        <f>IF(G41="","",CONCATENATE(R41,".",T41,".",S41,".",U41))</f>
        <v/>
      </c>
      <c r="M41" s="320" t="str">
        <f>IF(G41="","",CONCATENATE(AA41,", ",AC41,", ",AD41))</f>
        <v/>
      </c>
      <c r="N41" s="320" t="str">
        <f t="shared" si="15"/>
        <v/>
      </c>
      <c r="O41" s="320" t="str">
        <f t="shared" si="16"/>
        <v/>
      </c>
      <c r="Q41" s="321" t="s">
        <v>848</v>
      </c>
      <c r="R41" s="322" t="e">
        <f>VLOOKUP(form!$DG$21,Лист1!$L:$N,2,0)</f>
        <v>#N/A</v>
      </c>
      <c r="S41" s="323" t="e">
        <f>VLOOKUP(form!$DG$21,Лист1!$Q:$S,2,0)</f>
        <v>#N/A</v>
      </c>
      <c r="T41" s="323" t="e">
        <f>VLOOKUP(CONCATENATE(form!$DG$21,".",form!$DI$21),Лист1!$U:$W,2,0)</f>
        <v>#N/A</v>
      </c>
      <c r="U41" s="324" t="e">
        <f>VLOOKUP(form!$DK$21,Лист1!$Y:$AA,2,0)</f>
        <v>#N/A</v>
      </c>
      <c r="V41" s="325"/>
      <c r="W41" s="325"/>
      <c r="X41" s="325"/>
      <c r="Y41" s="325"/>
      <c r="AA41" s="320" t="e">
        <f>VLOOKUP(form!$DG$21,Лист1!$L:$N,3,0)</f>
        <v>#N/A</v>
      </c>
      <c r="AB41" s="325"/>
      <c r="AC41" s="320" t="e">
        <f>VLOOKUP(CONCATENATE(form!$DG$21,".",form!$DI$21),Лист1!$U:$W,3,0)</f>
        <v>#N/A</v>
      </c>
      <c r="AD41" s="320" t="e">
        <f>VLOOKUP(form!$DK$21,Лист1!$Y:$AA,3,0)</f>
        <v>#N/A</v>
      </c>
      <c r="AE41" s="325"/>
      <c r="AF41" s="325"/>
      <c r="AG41" s="325"/>
      <c r="AH41" s="325"/>
      <c r="AJ41" s="326" t="e">
        <f>VLOOKUP(CONCATENATE(form!$DG$21,".",form!$DJ$21),Лист1!$DD:$DH,5,0)</f>
        <v>#N/A</v>
      </c>
      <c r="AK41" s="325"/>
      <c r="AL41" s="325"/>
      <c r="AM41" s="325"/>
      <c r="AN41" s="325"/>
      <c r="AO41" s="325"/>
      <c r="AP41" s="326" t="e">
        <f>VLOOKUP(CONCATENATE(form!$DG$21,".",form!$DJ$21,".",form!$DH$21),Лист1!$EH:$EL,5,0)</f>
        <v>#N/A</v>
      </c>
      <c r="AQ41" s="327"/>
      <c r="AR41" s="327"/>
      <c r="AS41" s="328" t="e">
        <f t="shared" si="7"/>
        <v>#N/A</v>
      </c>
      <c r="AU41" s="664">
        <f t="shared" si="17"/>
        <v>0</v>
      </c>
      <c r="AV41" s="329">
        <f t="shared" si="18"/>
        <v>0</v>
      </c>
      <c r="AX41" s="309"/>
    </row>
    <row r="42" spans="2:50" s="288" customFormat="1" ht="24.9" customHeight="1">
      <c r="B42" s="393"/>
      <c r="C42" s="604" t="str">
        <f t="shared" si="10"/>
        <v/>
      </c>
      <c r="D42" s="606" t="str">
        <f t="shared" si="11"/>
        <v/>
      </c>
      <c r="E42" s="484" t="str">
        <f>IF(OR(J42=0,J42=""),"",VLOOKUP(R42,Лист1!$M:$O,3,0))</f>
        <v/>
      </c>
      <c r="F42" s="295" t="str">
        <f t="shared" si="12"/>
        <v/>
      </c>
      <c r="G42" s="625" t="str">
        <f t="shared" si="13"/>
        <v/>
      </c>
      <c r="H42" s="296" t="str">
        <f t="shared" si="14"/>
        <v/>
      </c>
      <c r="J42" s="297">
        <f>form!$R$22</f>
        <v>0</v>
      </c>
      <c r="L42" s="298" t="str">
        <f>IF(G42="","",CONCATENATE(R42,".",S42,".",T42,".",U42,".",V42,".",W42,".",X42,".",Y42))</f>
        <v/>
      </c>
      <c r="M42" s="298" t="str">
        <f>IF(G42="","",CONCATENATE(AA42,", ",AB42,", ",AC42,", ",AD42,", ",AE42,", ",AF42,", ",AG42,", ",AH42))</f>
        <v/>
      </c>
      <c r="N42" s="298" t="str">
        <f t="shared" si="15"/>
        <v/>
      </c>
      <c r="O42" s="298" t="str">
        <f t="shared" si="16"/>
        <v/>
      </c>
      <c r="Q42" s="299" t="s">
        <v>846</v>
      </c>
      <c r="R42" s="300" t="e">
        <f>VLOOKUP(CONCATENATE(form!$C$22,".",form!$D$22),Лист1!$L:$N,2,0)</f>
        <v>#N/A</v>
      </c>
      <c r="S42" s="301" t="e">
        <f>VLOOKUP(CONCATENATE(form!$C$22,".",form!$D$22),Лист1!$Q:$S,2,0)</f>
        <v>#N/A</v>
      </c>
      <c r="T42" s="301" t="e">
        <f>VLOOKUP(CONCATENATE(form!$E$22,".",form!$F$22,".",form!$G$22),Лист1!$U:$W,2,0)</f>
        <v>#N/A</v>
      </c>
      <c r="U42" s="302" t="e">
        <f>VLOOKUP(form!$I$22,Лист1!$Y:$AA,2,0)</f>
        <v>#N/A</v>
      </c>
      <c r="V42" s="302" t="e">
        <f>VLOOKUP(form!$J$22,Лист1!$AC:$AE,2,0)</f>
        <v>#N/A</v>
      </c>
      <c r="W42" s="302" t="e">
        <f>VLOOKUP(form!$K$22,Лист1!$AG:$AI,2,0)</f>
        <v>#N/A</v>
      </c>
      <c r="X42" s="302" t="e">
        <f>VLOOKUP(CONCATENATE(form!$L$22,".",form!$M$22),Лист1!$AK$14:$AM$192,2,0)</f>
        <v>#N/A</v>
      </c>
      <c r="Y42" s="302" t="e">
        <f>VLOOKUP(CONCATENATE(form!$L$22,".",form!$N$22),Лист1!$AO$13:$AQ$127,2,0)</f>
        <v>#N/A</v>
      </c>
      <c r="AA42" s="303" t="e">
        <f>VLOOKUP(CONCATENATE(form!$C$22,".",form!$D$22),Лист1!$L:$N,3,0)</f>
        <v>#N/A</v>
      </c>
      <c r="AB42" s="303" t="e">
        <f>VLOOKUP(CONCATENATE(form!$C$22,".",form!$D$22),Лист1!$Q:$S,3,0)</f>
        <v>#N/A</v>
      </c>
      <c r="AC42" s="303" t="e">
        <f>VLOOKUP(CONCATENATE(form!$E$22,".",form!$F$22,".",form!$G$22),Лист1!$U:$W,3,0)</f>
        <v>#N/A</v>
      </c>
      <c r="AD42" s="303" t="e">
        <f>VLOOKUP(form!$I$22,Лист1!$Y:$AA,3,0)</f>
        <v>#N/A</v>
      </c>
      <c r="AE42" s="303" t="e">
        <f>VLOOKUP(form!$J$22,Лист1!$AC:$AE,3,0)</f>
        <v>#N/A</v>
      </c>
      <c r="AF42" s="304" t="e">
        <f>VLOOKUP(form!$K$22,Лист1!$AG:$AI,3,0)</f>
        <v>#N/A</v>
      </c>
      <c r="AG42" s="303" t="e">
        <f>VLOOKUP(CONCATENATE(form!$L$22,".",form!$M$22),Лист1!$AK$14:$AM$192,3,0)</f>
        <v>#N/A</v>
      </c>
      <c r="AH42" s="303" t="e">
        <f>VLOOKUP(CONCATENATE(form!$L$22,".",form!$N$22),Лист1!$AO$13:$AQ$127,3,0)</f>
        <v>#N/A</v>
      </c>
      <c r="AJ42" s="305" t="e">
        <f>VLOOKUP(CONCATENATE(form!$C$22,".",form!$D$22,".",form!$H$22),Лист1!$DD:$DH,5,0)</f>
        <v>#N/A</v>
      </c>
      <c r="AK42" s="305" t="e">
        <f>VLOOKUP(CONCATENATE(form!$C$22,".",form!$J$22),Лист1!$DJ:$DN,5,0)</f>
        <v>#N/A</v>
      </c>
      <c r="AL42" s="305" t="e">
        <f>VLOOKUP(CONCATENATE(form!$C$22,".",form!$D$22,".",form!$K$22),Лист1!$DP:$DT,5,0)</f>
        <v>#N/A</v>
      </c>
      <c r="AM42" s="306"/>
      <c r="AN42" s="305" t="e">
        <f>VLOOKUP(CONCATENATE(form!$C$22,".",form!$L$22),Лист1!$DV:$DZ,5,0)</f>
        <v>#N/A</v>
      </c>
      <c r="AO42" s="305" t="e">
        <f>VLOOKUP(CONCATENATE(form!$C$22,".",form!$M$22),Лист1!$EB:$EF,5,0)</f>
        <v>#N/A</v>
      </c>
      <c r="AP42" s="659"/>
      <c r="AQ42" s="307" t="str">
        <f>IF(ISNA(AR42),"0",AR42)</f>
        <v>0</v>
      </c>
      <c r="AR42" s="670" t="e">
        <f>VLOOKUP(CONCATENATE(form!$C$22,".",form!$G$22),Лист1!$EH:$EL,5,0)</f>
        <v>#N/A</v>
      </c>
      <c r="AS42" s="308" t="e">
        <f t="shared" si="7"/>
        <v>#N/A</v>
      </c>
      <c r="AU42" s="663">
        <f t="shared" si="17"/>
        <v>0</v>
      </c>
      <c r="AV42" s="309">
        <f t="shared" si="18"/>
        <v>0</v>
      </c>
      <c r="AX42" s="309"/>
    </row>
    <row r="43" spans="2:50" s="288" customFormat="1" ht="24.9" customHeight="1">
      <c r="B43" s="391">
        <v>12</v>
      </c>
      <c r="C43" s="604" t="str">
        <f t="shared" si="10"/>
        <v/>
      </c>
      <c r="D43" s="606" t="str">
        <f t="shared" si="11"/>
        <v/>
      </c>
      <c r="E43" s="484" t="str">
        <f>IF(OR(J43=0,J43=""),"",VLOOKUP(R43,Лист1!$M:$O,3,0))</f>
        <v/>
      </c>
      <c r="F43" s="295" t="str">
        <f t="shared" si="12"/>
        <v/>
      </c>
      <c r="G43" s="625" t="str">
        <f t="shared" si="13"/>
        <v/>
      </c>
      <c r="H43" s="296" t="str">
        <f t="shared" si="14"/>
        <v/>
      </c>
      <c r="J43" s="297" t="str">
        <f>form!$DE$22</f>
        <v/>
      </c>
      <c r="L43" s="310" t="str">
        <f>IF(G43="","",CONCATENATE(R43,".",T43,".",S43,".",U43,".",X43,".",Y43))</f>
        <v/>
      </c>
      <c r="M43" s="310" t="str">
        <f>IF(G43="","",CONCATENATE(AA43,", ",AB43,", ",AC43,", ",AD43,", ",AG43,", ",AH43))</f>
        <v/>
      </c>
      <c r="N43" s="310" t="str">
        <f t="shared" si="15"/>
        <v/>
      </c>
      <c r="O43" s="310" t="str">
        <f t="shared" si="16"/>
        <v/>
      </c>
      <c r="Q43" s="311" t="s">
        <v>847</v>
      </c>
      <c r="R43" s="300" t="e">
        <f>VLOOKUP(CONCATENATE(form!$CV$22,".",form!$CW$22),Лист1!$L:$N,2,0)</f>
        <v>#N/A</v>
      </c>
      <c r="S43" s="301" t="e">
        <f>VLOOKUP(CONCATENATE(form!$CV$22,".",form!$CW$22),Лист1!$Q:$S,2,0)</f>
        <v>#N/A</v>
      </c>
      <c r="T43" s="301" t="e">
        <f>VLOOKUP(CONCATENATE(form!$CV$22,".",form!$CX$22,".",form!$CY$22,".",form!$CZ$22),Лист1!$U:$W,2,0)</f>
        <v>#N/A</v>
      </c>
      <c r="U43" s="302" t="e">
        <f>VLOOKUP(form!$DB$22,Лист1!$Y:$AA,2,0)</f>
        <v>#N/A</v>
      </c>
      <c r="V43" s="312"/>
      <c r="W43" s="312"/>
      <c r="X43" s="302" t="e">
        <f>VLOOKUP(form!$DC$22,Лист1!$AK$196:$AM$228,2,0)</f>
        <v>#N/A</v>
      </c>
      <c r="Y43" s="302" t="e">
        <f>VLOOKUP(form!$DD$22,Лист1!$AO$130:$AQ$181,2,0)</f>
        <v>#N/A</v>
      </c>
      <c r="AA43" s="310" t="e">
        <f>VLOOKUP(CONCATENATE(form!$CV$22,".",form!$CW$22),Лист1!$L:$N,3,0)</f>
        <v>#N/A</v>
      </c>
      <c r="AB43" s="310" t="e">
        <f>VLOOKUP(CONCATENATE(form!$CV$22,".",form!$CW$22),Лист1!$Q:$S,3,0)</f>
        <v>#N/A</v>
      </c>
      <c r="AC43" s="310" t="e">
        <f>VLOOKUP(CONCATENATE(form!$CV$22,".",form!$CX$22,".",form!$CY$22,".",form!$CZ$22),Лист1!$U:$W,3,0)</f>
        <v>#N/A</v>
      </c>
      <c r="AD43" s="310" t="e">
        <f>VLOOKUP(form!$DB$22,Лист1!$Y:$AA,3,0)</f>
        <v>#N/A</v>
      </c>
      <c r="AE43" s="313"/>
      <c r="AF43" s="313"/>
      <c r="AG43" s="314" t="e">
        <f>VLOOKUP(form!$DC$22,Лист1!$AK$196:$AM$228,3,0)</f>
        <v>#N/A</v>
      </c>
      <c r="AH43" s="310" t="e">
        <f>VLOOKUP(form!$DD$22,Лист1!$AO$130:$AQ$181,3,0)</f>
        <v>#N/A</v>
      </c>
      <c r="AJ43" s="315" t="e">
        <f>VLOOKUP(CONCATENATE(form!$CV$22,".",form!$CW$22,".",form!$DA$22),Лист1!$DD:$DH,5,0)</f>
        <v>#N/A</v>
      </c>
      <c r="AK43" s="316"/>
      <c r="AL43" s="316"/>
      <c r="AM43" s="316"/>
      <c r="AN43" s="305" t="e">
        <f>VLOOKUP(CONCATENATE(form!$CV$22,".",form!$DC$22),Лист1!$DV:$DZ,5,0)</f>
        <v>#N/A</v>
      </c>
      <c r="AO43" s="316"/>
      <c r="AP43" s="315" t="e">
        <f>VLOOKUP(CONCATENATE(form!$CV$22,".",form!$CW$22,".",form!$DA$22,".",form!$CY$22),Лист1!$EH:$EL,5,0)</f>
        <v>#N/A</v>
      </c>
      <c r="AQ43" s="317"/>
      <c r="AR43" s="317"/>
      <c r="AS43" s="308" t="e">
        <f t="shared" si="7"/>
        <v>#N/A</v>
      </c>
      <c r="AU43" s="663">
        <f t="shared" si="17"/>
        <v>0</v>
      </c>
      <c r="AV43" s="309">
        <f t="shared" si="18"/>
        <v>0</v>
      </c>
      <c r="AX43" s="309"/>
    </row>
    <row r="44" spans="2:50" s="288" customFormat="1" ht="24.9" customHeight="1">
      <c r="B44" s="392"/>
      <c r="C44" s="605" t="str">
        <f t="shared" si="10"/>
        <v/>
      </c>
      <c r="D44" s="607" t="str">
        <f t="shared" si="11"/>
        <v/>
      </c>
      <c r="E44" s="485" t="str">
        <f>IF(OR(J44=0,J44=""),"",VLOOKUP(R44,Лист1!$M:$O,3,0))</f>
        <v/>
      </c>
      <c r="F44" s="318" t="str">
        <f t="shared" si="12"/>
        <v/>
      </c>
      <c r="G44" s="626" t="str">
        <f t="shared" si="13"/>
        <v/>
      </c>
      <c r="H44" s="319" t="str">
        <f t="shared" si="14"/>
        <v/>
      </c>
      <c r="J44" s="297" t="str">
        <f>form!$DL$22</f>
        <v/>
      </c>
      <c r="L44" s="320" t="str">
        <f>IF(G44="","",CONCATENATE(R44,".",T44,".",S44,".",U44))</f>
        <v/>
      </c>
      <c r="M44" s="320" t="str">
        <f>IF(G44="","",CONCATENATE(AA44,", ",AC44,", ",AD44))</f>
        <v/>
      </c>
      <c r="N44" s="320" t="str">
        <f t="shared" si="15"/>
        <v/>
      </c>
      <c r="O44" s="320" t="str">
        <f t="shared" si="16"/>
        <v/>
      </c>
      <c r="Q44" s="321" t="s">
        <v>848</v>
      </c>
      <c r="R44" s="322" t="e">
        <f>VLOOKUP(form!$DG$22,Лист1!$L:$N,2,0)</f>
        <v>#N/A</v>
      </c>
      <c r="S44" s="323" t="e">
        <f>VLOOKUP(form!$DG$22,Лист1!$Q:$S,2,0)</f>
        <v>#N/A</v>
      </c>
      <c r="T44" s="323" t="e">
        <f>VLOOKUP(CONCATENATE(form!$DG$22,".",form!$DI$22),Лист1!$U:$W,2,0)</f>
        <v>#N/A</v>
      </c>
      <c r="U44" s="324" t="e">
        <f>VLOOKUP(form!$DK$22,Лист1!$Y:$AA,2,0)</f>
        <v>#N/A</v>
      </c>
      <c r="V44" s="325"/>
      <c r="W44" s="325"/>
      <c r="X44" s="325"/>
      <c r="Y44" s="325"/>
      <c r="AA44" s="320" t="e">
        <f>VLOOKUP(form!$DG$22,Лист1!$L:$N,3,0)</f>
        <v>#N/A</v>
      </c>
      <c r="AB44" s="325"/>
      <c r="AC44" s="320" t="e">
        <f>VLOOKUP(CONCATENATE(form!$DG$22,".",form!$DI$22),Лист1!$U:$W,3,0)</f>
        <v>#N/A</v>
      </c>
      <c r="AD44" s="320" t="e">
        <f>VLOOKUP(form!$DK$22,Лист1!$Y:$AA,3,0)</f>
        <v>#N/A</v>
      </c>
      <c r="AE44" s="325"/>
      <c r="AF44" s="325"/>
      <c r="AG44" s="325"/>
      <c r="AH44" s="325"/>
      <c r="AJ44" s="326" t="e">
        <f>VLOOKUP(CONCATENATE(form!$DG$22,".",form!$DJ$22),Лист1!$DD:$DH,5,0)</f>
        <v>#N/A</v>
      </c>
      <c r="AK44" s="325"/>
      <c r="AL44" s="325"/>
      <c r="AM44" s="325"/>
      <c r="AN44" s="325"/>
      <c r="AO44" s="325"/>
      <c r="AP44" s="326" t="e">
        <f>VLOOKUP(CONCATENATE(form!$DG$22,".",form!$DJ$22,".",form!$DH$22),Лист1!$EH:$EL,5,0)</f>
        <v>#N/A</v>
      </c>
      <c r="AQ44" s="327"/>
      <c r="AR44" s="327"/>
      <c r="AS44" s="328" t="e">
        <f t="shared" si="7"/>
        <v>#N/A</v>
      </c>
      <c r="AU44" s="664">
        <f t="shared" si="17"/>
        <v>0</v>
      </c>
      <c r="AV44" s="329">
        <f t="shared" si="18"/>
        <v>0</v>
      </c>
      <c r="AX44" s="309"/>
    </row>
    <row r="45" spans="2:50" s="288" customFormat="1" ht="24.9" customHeight="1">
      <c r="B45" s="393"/>
      <c r="C45" s="604" t="str">
        <f t="shared" si="10"/>
        <v/>
      </c>
      <c r="D45" s="606" t="str">
        <f t="shared" si="11"/>
        <v/>
      </c>
      <c r="E45" s="484" t="str">
        <f>IF(OR(J45=0,J45=""),"",VLOOKUP(R45,Лист1!$M:$O,3,0))</f>
        <v/>
      </c>
      <c r="F45" s="295" t="str">
        <f t="shared" si="12"/>
        <v/>
      </c>
      <c r="G45" s="625" t="str">
        <f t="shared" si="13"/>
        <v/>
      </c>
      <c r="H45" s="296" t="str">
        <f t="shared" si="14"/>
        <v/>
      </c>
      <c r="J45" s="297">
        <f>form!$R$23</f>
        <v>0</v>
      </c>
      <c r="L45" s="298" t="str">
        <f>IF(G45="","",CONCATENATE(R45,".",S45,".",T45,".",U45,".",V45,".",W45,".",X45,".",Y45))</f>
        <v/>
      </c>
      <c r="M45" s="298" t="str">
        <f>IF(G45="","",CONCATENATE(AA45,", ",AB45,", ",AC45,", ",AD45,", ",AE45,", ",AF45,", ",AG45,", ",AH45))</f>
        <v/>
      </c>
      <c r="N45" s="298" t="str">
        <f t="shared" si="15"/>
        <v/>
      </c>
      <c r="O45" s="298" t="str">
        <f t="shared" si="16"/>
        <v/>
      </c>
      <c r="Q45" s="299" t="s">
        <v>846</v>
      </c>
      <c r="R45" s="300" t="e">
        <f>VLOOKUP(CONCATENATE(form!$C$23,".",form!$D$23),Лист1!$L:$N,2,0)</f>
        <v>#N/A</v>
      </c>
      <c r="S45" s="301" t="e">
        <f>VLOOKUP(CONCATENATE(form!$C$23,".",form!$D$23),Лист1!$Q:$S,2,0)</f>
        <v>#N/A</v>
      </c>
      <c r="T45" s="301" t="e">
        <f>VLOOKUP(CONCATENATE(form!$E$23,".",form!$F$23,".",form!$G$23),Лист1!$U:$W,2,0)</f>
        <v>#N/A</v>
      </c>
      <c r="U45" s="302" t="e">
        <f>VLOOKUP(form!$I$23,Лист1!$Y:$AA,2,0)</f>
        <v>#N/A</v>
      </c>
      <c r="V45" s="302" t="e">
        <f>VLOOKUP(form!$J$23,Лист1!$AC:$AE,2,0)</f>
        <v>#N/A</v>
      </c>
      <c r="W45" s="302" t="e">
        <f>VLOOKUP(form!$K$23,Лист1!$AG:$AI,2,0)</f>
        <v>#N/A</v>
      </c>
      <c r="X45" s="302" t="e">
        <f>VLOOKUP(CONCATENATE(form!$L$23,".",form!$M$23),Лист1!$AK$14:$AM$192,2,0)</f>
        <v>#N/A</v>
      </c>
      <c r="Y45" s="302" t="e">
        <f>VLOOKUP(CONCATENATE(form!$L$23,".",form!$N$23),Лист1!$AO$13:$AQ$127,2,0)</f>
        <v>#N/A</v>
      </c>
      <c r="AA45" s="303" t="e">
        <f>VLOOKUP(CONCATENATE(form!$C$23,".",form!$D$23),Лист1!$L:$N,3,0)</f>
        <v>#N/A</v>
      </c>
      <c r="AB45" s="303" t="e">
        <f>VLOOKUP(CONCATENATE(form!$C$23,".",form!$D$23),Лист1!$Q:$S,3,0)</f>
        <v>#N/A</v>
      </c>
      <c r="AC45" s="303" t="e">
        <f>VLOOKUP(CONCATENATE(form!$E$23,".",form!$F$23,".",form!$G$23),Лист1!$U:$W,3,0)</f>
        <v>#N/A</v>
      </c>
      <c r="AD45" s="303" t="e">
        <f>VLOOKUP(form!$I$23,Лист1!$Y:$AA,3,0)</f>
        <v>#N/A</v>
      </c>
      <c r="AE45" s="303" t="e">
        <f>VLOOKUP(form!$J$23,Лист1!$AC:$AE,3,0)</f>
        <v>#N/A</v>
      </c>
      <c r="AF45" s="304" t="e">
        <f>VLOOKUP(form!$K$23,Лист1!$AG:$AI,3,0)</f>
        <v>#N/A</v>
      </c>
      <c r="AG45" s="303" t="e">
        <f>VLOOKUP(CONCATENATE(form!$L$23,".",form!$M$23),Лист1!$AK$14:$AM$192,3,0)</f>
        <v>#N/A</v>
      </c>
      <c r="AH45" s="303" t="e">
        <f>VLOOKUP(CONCATENATE(form!$L$23,".",form!$N$23),Лист1!$AO$13:$AQ$127,3,0)</f>
        <v>#N/A</v>
      </c>
      <c r="AJ45" s="305" t="e">
        <f>VLOOKUP(CONCATENATE(form!$C$23,".",form!$D$23,".",form!$H$23),Лист1!$DD:$DH,5,0)</f>
        <v>#N/A</v>
      </c>
      <c r="AK45" s="305" t="e">
        <f>VLOOKUP(CONCATENATE(form!$C$23,".",form!$J$23),Лист1!$DJ:$DN,5,0)</f>
        <v>#N/A</v>
      </c>
      <c r="AL45" s="305" t="e">
        <f>VLOOKUP(CONCATENATE(form!$C$23,".",form!$D$23,".",form!$K$23),Лист1!$DP:$DT,5,0)</f>
        <v>#N/A</v>
      </c>
      <c r="AM45" s="306"/>
      <c r="AN45" s="305" t="e">
        <f>VLOOKUP(CONCATENATE(form!$C$23,".",form!$L$23),Лист1!$DV:$DZ,5,0)</f>
        <v>#N/A</v>
      </c>
      <c r="AO45" s="305" t="e">
        <f>VLOOKUP(CONCATENATE(form!$C$23,".",form!$M$23),Лист1!$EB:$EF,5,0)</f>
        <v>#N/A</v>
      </c>
      <c r="AP45" s="659"/>
      <c r="AQ45" s="307" t="str">
        <f>IF(ISNA(AR45),"0",AR45)</f>
        <v>0</v>
      </c>
      <c r="AR45" s="670" t="e">
        <f>VLOOKUP(CONCATENATE(form!$C$23,".",form!$G$23),Лист1!$EH:$EL,5,0)</f>
        <v>#N/A</v>
      </c>
      <c r="AS45" s="308" t="e">
        <f t="shared" si="7"/>
        <v>#N/A</v>
      </c>
      <c r="AU45" s="663">
        <f t="shared" si="17"/>
        <v>0</v>
      </c>
      <c r="AV45" s="309">
        <f t="shared" si="18"/>
        <v>0</v>
      </c>
      <c r="AX45" s="309"/>
    </row>
    <row r="46" spans="2:50" s="288" customFormat="1" ht="24.9" customHeight="1">
      <c r="B46" s="391">
        <v>13</v>
      </c>
      <c r="C46" s="604" t="str">
        <f t="shared" si="10"/>
        <v/>
      </c>
      <c r="D46" s="606" t="str">
        <f t="shared" si="11"/>
        <v/>
      </c>
      <c r="E46" s="484" t="str">
        <f>IF(OR(J46=0,J46=""),"",VLOOKUP(R46,Лист1!$M:$O,3,0))</f>
        <v/>
      </c>
      <c r="F46" s="295" t="str">
        <f t="shared" si="12"/>
        <v/>
      </c>
      <c r="G46" s="625" t="str">
        <f t="shared" si="13"/>
        <v/>
      </c>
      <c r="H46" s="296" t="str">
        <f t="shared" si="14"/>
        <v/>
      </c>
      <c r="J46" s="297" t="str">
        <f>form!$DE$23</f>
        <v/>
      </c>
      <c r="L46" s="310" t="str">
        <f>IF(G46="","",CONCATENATE(R46,".",T46,".",S46,".",U46,".",X46,".",Y46))</f>
        <v/>
      </c>
      <c r="M46" s="310" t="str">
        <f>IF(G46="","",CONCATENATE(AA46,", ",AB46,", ",AC46,", ",AD46,", ",AG46,", ",AH46))</f>
        <v/>
      </c>
      <c r="N46" s="310" t="str">
        <f t="shared" si="15"/>
        <v/>
      </c>
      <c r="O46" s="310" t="str">
        <f t="shared" si="16"/>
        <v/>
      </c>
      <c r="Q46" s="311" t="s">
        <v>847</v>
      </c>
      <c r="R46" s="300" t="e">
        <f>VLOOKUP(CONCATENATE(form!$CV$23,".",form!$CW$23),Лист1!$L:$N,2,0)</f>
        <v>#N/A</v>
      </c>
      <c r="S46" s="301" t="e">
        <f>VLOOKUP(CONCATENATE(form!$CV$23,".",form!$CW$23),Лист1!$Q:$S,2,0)</f>
        <v>#N/A</v>
      </c>
      <c r="T46" s="301" t="e">
        <f>VLOOKUP(CONCATENATE(form!$CV$23,".",form!$CX$23,".",form!$CY$23,".",form!$CZ$23),Лист1!$U:$W,2,0)</f>
        <v>#N/A</v>
      </c>
      <c r="U46" s="302" t="e">
        <f>VLOOKUP(form!$DB$23,Лист1!$Y:$AA,2,0)</f>
        <v>#N/A</v>
      </c>
      <c r="V46" s="312"/>
      <c r="W46" s="312"/>
      <c r="X46" s="302" t="e">
        <f>VLOOKUP(form!$DC$23,Лист1!$AK$196:$AM$228,2,0)</f>
        <v>#N/A</v>
      </c>
      <c r="Y46" s="302" t="e">
        <f>VLOOKUP(form!$DD$23,Лист1!$AO$130:$AQ$181,2,0)</f>
        <v>#N/A</v>
      </c>
      <c r="AA46" s="310" t="e">
        <f>VLOOKUP(CONCATENATE(form!$CV$23,".",form!$CW$23),Лист1!$L:$N,3,0)</f>
        <v>#N/A</v>
      </c>
      <c r="AB46" s="310" t="e">
        <f>VLOOKUP(CONCATENATE(form!$CV$23,".",form!$CW$23),Лист1!$Q:$S,3,0)</f>
        <v>#N/A</v>
      </c>
      <c r="AC46" s="310" t="e">
        <f>VLOOKUP(CONCATENATE(form!$CV$23,".",form!$CX$23,".",form!$CY$23,".",form!$CZ$23),Лист1!$U:$W,3,0)</f>
        <v>#N/A</v>
      </c>
      <c r="AD46" s="310" t="e">
        <f>VLOOKUP(form!$DB$23,Лист1!$Y:$AA,3,0)</f>
        <v>#N/A</v>
      </c>
      <c r="AE46" s="313"/>
      <c r="AF46" s="313"/>
      <c r="AG46" s="314" t="e">
        <f>VLOOKUP(form!$DC$23,Лист1!$AK$196:$AM$228,3,0)</f>
        <v>#N/A</v>
      </c>
      <c r="AH46" s="310" t="e">
        <f>VLOOKUP(form!$DD$23,Лист1!$AO$130:$AQ$181,3,0)</f>
        <v>#N/A</v>
      </c>
      <c r="AJ46" s="315" t="e">
        <f>VLOOKUP(CONCATENATE(form!$CV$23,".",form!$CW$23,".",form!$DA$23),Лист1!$DD:$DH,5,0)</f>
        <v>#N/A</v>
      </c>
      <c r="AK46" s="316"/>
      <c r="AL46" s="316"/>
      <c r="AM46" s="316"/>
      <c r="AN46" s="305" t="e">
        <f>VLOOKUP(CONCATENATE(form!$CV$23,".",form!$DC$23),Лист1!$DV:$DZ,5,0)</f>
        <v>#N/A</v>
      </c>
      <c r="AO46" s="316"/>
      <c r="AP46" s="315" t="e">
        <f>VLOOKUP(CONCATENATE(form!$CV$23,".",form!$CW$23,".",form!$DA$23,".",form!$CY$23),Лист1!$EH:$EL,5,0)</f>
        <v>#N/A</v>
      </c>
      <c r="AQ46" s="317"/>
      <c r="AR46" s="317"/>
      <c r="AS46" s="308" t="e">
        <f t="shared" si="7"/>
        <v>#N/A</v>
      </c>
      <c r="AU46" s="663">
        <f t="shared" si="17"/>
        <v>0</v>
      </c>
      <c r="AV46" s="309">
        <f t="shared" si="18"/>
        <v>0</v>
      </c>
      <c r="AX46" s="309"/>
    </row>
    <row r="47" spans="2:50" s="288" customFormat="1" ht="24.9" customHeight="1">
      <c r="B47" s="392"/>
      <c r="C47" s="605" t="str">
        <f t="shared" si="10"/>
        <v/>
      </c>
      <c r="D47" s="607" t="str">
        <f t="shared" si="11"/>
        <v/>
      </c>
      <c r="E47" s="485" t="str">
        <f>IF(OR(J47=0,J47=""),"",VLOOKUP(R47,Лист1!$M:$O,3,0))</f>
        <v/>
      </c>
      <c r="F47" s="318" t="str">
        <f t="shared" si="12"/>
        <v/>
      </c>
      <c r="G47" s="626" t="str">
        <f t="shared" si="13"/>
        <v/>
      </c>
      <c r="H47" s="319" t="str">
        <f t="shared" si="14"/>
        <v/>
      </c>
      <c r="J47" s="297" t="str">
        <f>form!$DL$23</f>
        <v/>
      </c>
      <c r="L47" s="320" t="str">
        <f>IF(G47="","",CONCATENATE(R47,".",T47,".",S47,".",U47))</f>
        <v/>
      </c>
      <c r="M47" s="320" t="str">
        <f>IF(G47="","",CONCATENATE(AA47,", ",AC47,", ",AD47))</f>
        <v/>
      </c>
      <c r="N47" s="320" t="str">
        <f t="shared" si="15"/>
        <v/>
      </c>
      <c r="O47" s="320" t="str">
        <f t="shared" si="16"/>
        <v/>
      </c>
      <c r="Q47" s="321" t="s">
        <v>848</v>
      </c>
      <c r="R47" s="322" t="e">
        <f>VLOOKUP(form!$DG$23,Лист1!$L:$N,2,0)</f>
        <v>#N/A</v>
      </c>
      <c r="S47" s="323" t="e">
        <f>VLOOKUP(form!$DG$23,Лист1!$Q:$S,2,0)</f>
        <v>#N/A</v>
      </c>
      <c r="T47" s="323" t="e">
        <f>VLOOKUP(CONCATENATE(form!$DG$23,".",form!$DI$23),Лист1!$U:$W,2,0)</f>
        <v>#N/A</v>
      </c>
      <c r="U47" s="324" t="e">
        <f>VLOOKUP(form!$DK$23,Лист1!$Y:$AA,2,0)</f>
        <v>#N/A</v>
      </c>
      <c r="V47" s="325"/>
      <c r="W47" s="325"/>
      <c r="X47" s="325"/>
      <c r="Y47" s="325"/>
      <c r="AA47" s="320" t="e">
        <f>VLOOKUP(form!$DG$23,Лист1!$L:$N,3,0)</f>
        <v>#N/A</v>
      </c>
      <c r="AB47" s="325"/>
      <c r="AC47" s="320" t="e">
        <f>VLOOKUP(CONCATENATE(form!$DG$23,".",form!$DI$23),Лист1!$U:$W,3,0)</f>
        <v>#N/A</v>
      </c>
      <c r="AD47" s="320" t="e">
        <f>VLOOKUP(form!$DK$23,Лист1!$Y:$AA,3,0)</f>
        <v>#N/A</v>
      </c>
      <c r="AE47" s="325"/>
      <c r="AF47" s="325"/>
      <c r="AG47" s="325"/>
      <c r="AH47" s="325"/>
      <c r="AJ47" s="326" t="e">
        <f>VLOOKUP(CONCATENATE(form!$DG$23,".",form!$DJ$23),Лист1!$DD:$DH,5,0)</f>
        <v>#N/A</v>
      </c>
      <c r="AK47" s="325"/>
      <c r="AL47" s="325"/>
      <c r="AM47" s="325"/>
      <c r="AN47" s="325"/>
      <c r="AO47" s="325"/>
      <c r="AP47" s="326" t="e">
        <f>VLOOKUP(CONCATENATE(form!$DG$23,".",form!$DJ$23,".",form!$DH$23),Лист1!$EH:$EL,5,0)</f>
        <v>#N/A</v>
      </c>
      <c r="AQ47" s="327"/>
      <c r="AR47" s="327"/>
      <c r="AS47" s="328" t="e">
        <f t="shared" si="7"/>
        <v>#N/A</v>
      </c>
      <c r="AU47" s="664">
        <f t="shared" si="17"/>
        <v>0</v>
      </c>
      <c r="AV47" s="329">
        <f t="shared" si="18"/>
        <v>0</v>
      </c>
      <c r="AX47" s="309"/>
    </row>
    <row r="48" spans="2:50" s="288" customFormat="1" ht="24.9" customHeight="1">
      <c r="B48" s="393"/>
      <c r="C48" s="604" t="str">
        <f t="shared" si="10"/>
        <v/>
      </c>
      <c r="D48" s="606" t="str">
        <f t="shared" si="11"/>
        <v/>
      </c>
      <c r="E48" s="484" t="str">
        <f>IF(OR(J48=0,J48=""),"",VLOOKUP(R48,Лист1!$M:$O,3,0))</f>
        <v/>
      </c>
      <c r="F48" s="295" t="str">
        <f t="shared" si="12"/>
        <v/>
      </c>
      <c r="G48" s="625" t="str">
        <f t="shared" si="13"/>
        <v/>
      </c>
      <c r="H48" s="296" t="str">
        <f t="shared" si="14"/>
        <v/>
      </c>
      <c r="J48" s="297">
        <f>form!$R$24</f>
        <v>0</v>
      </c>
      <c r="L48" s="298" t="str">
        <f>IF(G48="","",CONCATENATE(R48,".",S48,".",T48,".",U48,".",V48,".",W48,".",X48,".",Y48))</f>
        <v/>
      </c>
      <c r="M48" s="298" t="str">
        <f>IF(G48="","",CONCATENATE(AA48,", ",AB48,", ",AC48,", ",AD48,", ",AE48,", ",AF48,", ",AG48,", ",AH48))</f>
        <v/>
      </c>
      <c r="N48" s="298" t="str">
        <f t="shared" si="15"/>
        <v/>
      </c>
      <c r="O48" s="298" t="str">
        <f t="shared" si="16"/>
        <v/>
      </c>
      <c r="Q48" s="299" t="s">
        <v>846</v>
      </c>
      <c r="R48" s="300" t="e">
        <f>VLOOKUP(CONCATENATE(form!$C$24,".",form!$D$24),Лист1!$L:$N,2,0)</f>
        <v>#N/A</v>
      </c>
      <c r="S48" s="301" t="e">
        <f>VLOOKUP(CONCATENATE(form!$C$24,".",form!$D$24),Лист1!$Q:$S,2,0)</f>
        <v>#N/A</v>
      </c>
      <c r="T48" s="301" t="e">
        <f>VLOOKUP(CONCATENATE(form!$E$24,".",form!$F$24,".",form!$G$24),Лист1!$U:$W,2,0)</f>
        <v>#N/A</v>
      </c>
      <c r="U48" s="302" t="e">
        <f>VLOOKUP(form!$I$24,Лист1!$Y:$AA,2,0)</f>
        <v>#N/A</v>
      </c>
      <c r="V48" s="302" t="e">
        <f>VLOOKUP(form!$J$24,Лист1!$AC:$AE,2,0)</f>
        <v>#N/A</v>
      </c>
      <c r="W48" s="302" t="e">
        <f>VLOOKUP(form!$K$24,Лист1!$AG:$AI,2,0)</f>
        <v>#N/A</v>
      </c>
      <c r="X48" s="302" t="e">
        <f>VLOOKUP(CONCATENATE(form!$L$24,".",form!$M$24),Лист1!$AK$14:$AM$192,2,0)</f>
        <v>#N/A</v>
      </c>
      <c r="Y48" s="302" t="e">
        <f>VLOOKUP(CONCATENATE(form!$L$24,".",form!$N$24),Лист1!$AO$13:$AQ$127,2,0)</f>
        <v>#N/A</v>
      </c>
      <c r="AA48" s="303" t="e">
        <f>VLOOKUP(CONCATENATE(form!$C$24,".",form!$D$24),Лист1!$L:$N,3,0)</f>
        <v>#N/A</v>
      </c>
      <c r="AB48" s="303" t="e">
        <f>VLOOKUP(CONCATENATE(form!$C$24,".",form!$D$24),Лист1!$Q:$S,3,0)</f>
        <v>#N/A</v>
      </c>
      <c r="AC48" s="303" t="e">
        <f>VLOOKUP(CONCATENATE(form!$E$24,".",form!$F$24,".",form!$G$24),Лист1!$U:$W,3,0)</f>
        <v>#N/A</v>
      </c>
      <c r="AD48" s="303" t="e">
        <f>VLOOKUP(form!$I$24,Лист1!$Y:$AA,3,0)</f>
        <v>#N/A</v>
      </c>
      <c r="AE48" s="303" t="e">
        <f>VLOOKUP(form!$J$24,Лист1!$AC:$AE,3,0)</f>
        <v>#N/A</v>
      </c>
      <c r="AF48" s="304" t="e">
        <f>VLOOKUP(form!$K$24,Лист1!$AG:$AI,3,0)</f>
        <v>#N/A</v>
      </c>
      <c r="AG48" s="303" t="e">
        <f>VLOOKUP(CONCATENATE(form!$L$24,".",form!$M$24),Лист1!$AK$14:$AM$192,3,0)</f>
        <v>#N/A</v>
      </c>
      <c r="AH48" s="303" t="e">
        <f>VLOOKUP(CONCATENATE(form!$L$24,".",form!$N$24),Лист1!$AO$13:$AQ$127,3,0)</f>
        <v>#N/A</v>
      </c>
      <c r="AJ48" s="305" t="e">
        <f>VLOOKUP(CONCATENATE(form!$C$24,".",form!$D$24,".",form!$H$24),Лист1!$DD:$DH,5,0)</f>
        <v>#N/A</v>
      </c>
      <c r="AK48" s="305" t="e">
        <f>VLOOKUP(CONCATENATE(form!$C$24,".",form!$J$24),Лист1!$DJ:$DN,5,0)</f>
        <v>#N/A</v>
      </c>
      <c r="AL48" s="305" t="e">
        <f>VLOOKUP(CONCATENATE(form!$C$24,".",form!$D$24,".",form!$K$24),Лист1!$DP:$DT,5,0)</f>
        <v>#N/A</v>
      </c>
      <c r="AM48" s="306"/>
      <c r="AN48" s="305" t="e">
        <f>VLOOKUP(CONCATENATE(form!$C$24,".",form!$L$24),Лист1!$DV:$DZ,5,0)</f>
        <v>#N/A</v>
      </c>
      <c r="AO48" s="305" t="e">
        <f>VLOOKUP(CONCATENATE(form!$C$24,".",form!$M$24),Лист1!$EB:$EF,5,0)</f>
        <v>#N/A</v>
      </c>
      <c r="AP48" s="659"/>
      <c r="AQ48" s="307" t="str">
        <f>IF(ISNA(AR48),"0",AR48)</f>
        <v>0</v>
      </c>
      <c r="AR48" s="670" t="e">
        <f>VLOOKUP(CONCATENATE(form!$C$24,".",form!$G$24),Лист1!$EH:$EL,5,0)</f>
        <v>#N/A</v>
      </c>
      <c r="AS48" s="308" t="e">
        <f t="shared" si="7"/>
        <v>#N/A</v>
      </c>
      <c r="AU48" s="663">
        <f t="shared" si="17"/>
        <v>0</v>
      </c>
      <c r="AV48" s="309">
        <f t="shared" si="18"/>
        <v>0</v>
      </c>
      <c r="AX48" s="309"/>
    </row>
    <row r="49" spans="2:50" s="288" customFormat="1" ht="24.9" customHeight="1">
      <c r="B49" s="391">
        <v>14</v>
      </c>
      <c r="C49" s="604" t="str">
        <f t="shared" si="10"/>
        <v/>
      </c>
      <c r="D49" s="606" t="str">
        <f t="shared" si="11"/>
        <v/>
      </c>
      <c r="E49" s="484" t="str">
        <f>IF(OR(J49=0,J49=""),"",VLOOKUP(R49,Лист1!$M:$O,3,0))</f>
        <v/>
      </c>
      <c r="F49" s="295" t="str">
        <f t="shared" si="12"/>
        <v/>
      </c>
      <c r="G49" s="625" t="str">
        <f t="shared" si="13"/>
        <v/>
      </c>
      <c r="H49" s="296" t="str">
        <f t="shared" si="14"/>
        <v/>
      </c>
      <c r="J49" s="297" t="str">
        <f>form!$DE$24</f>
        <v/>
      </c>
      <c r="L49" s="310" t="str">
        <f>IF(G49="","",CONCATENATE(R49,".",T49,".",S49,".",U49,".",X49,".",Y49))</f>
        <v/>
      </c>
      <c r="M49" s="310" t="str">
        <f>IF(G49="","",CONCATENATE(AA49,", ",AB49,", ",AC49,", ",AD49,", ",AG49,", ",AH49))</f>
        <v/>
      </c>
      <c r="N49" s="310" t="str">
        <f t="shared" si="15"/>
        <v/>
      </c>
      <c r="O49" s="310" t="str">
        <f t="shared" si="16"/>
        <v/>
      </c>
      <c r="Q49" s="311" t="s">
        <v>847</v>
      </c>
      <c r="R49" s="300" t="e">
        <f>VLOOKUP(CONCATENATE(form!$CV$24,".",form!$CW$24),Лист1!$L:$N,2,0)</f>
        <v>#N/A</v>
      </c>
      <c r="S49" s="301" t="e">
        <f>VLOOKUP(CONCATENATE(form!$CV$24,".",form!$CW$24),Лист1!$Q:$S,2,0)</f>
        <v>#N/A</v>
      </c>
      <c r="T49" s="301" t="e">
        <f>VLOOKUP(CONCATENATE(form!$CV$24,".",form!$CX$24,".",form!$CY$24,".",form!$CZ$24),Лист1!$U:$W,2,0)</f>
        <v>#N/A</v>
      </c>
      <c r="U49" s="302" t="e">
        <f>VLOOKUP(form!$DB$24,Лист1!$Y:$AA,2,0)</f>
        <v>#N/A</v>
      </c>
      <c r="V49" s="312"/>
      <c r="W49" s="312"/>
      <c r="X49" s="302" t="e">
        <f>VLOOKUP(form!$DC$24,Лист1!$AK$196:$AM$228,2,0)</f>
        <v>#N/A</v>
      </c>
      <c r="Y49" s="302" t="e">
        <f>VLOOKUP(form!$DD$24,Лист1!$AO$130:$AQ$181,2,0)</f>
        <v>#N/A</v>
      </c>
      <c r="AA49" s="310" t="e">
        <f>VLOOKUP(CONCATENATE(form!$CV$24,".",form!$CW$24),Лист1!$L:$N,3,0)</f>
        <v>#N/A</v>
      </c>
      <c r="AB49" s="310" t="e">
        <f>VLOOKUP(CONCATENATE(form!$CV$24,".",form!$CW$24),Лист1!$Q:$S,3,0)</f>
        <v>#N/A</v>
      </c>
      <c r="AC49" s="310" t="e">
        <f>VLOOKUP(CONCATENATE(form!$CV$24,".",form!$CX$24,".",form!$CY$24,".",form!$CZ$24),Лист1!$U:$W,3,0)</f>
        <v>#N/A</v>
      </c>
      <c r="AD49" s="310" t="e">
        <f>VLOOKUP(form!$DB$24,Лист1!$Y:$AA,3,0)</f>
        <v>#N/A</v>
      </c>
      <c r="AE49" s="313"/>
      <c r="AF49" s="313"/>
      <c r="AG49" s="314" t="e">
        <f>VLOOKUP(form!$DC$24,Лист1!$AK$196:$AM$228,3,0)</f>
        <v>#N/A</v>
      </c>
      <c r="AH49" s="310" t="e">
        <f>VLOOKUP(form!$DD$24,Лист1!$AO$130:$AQ$181,3,0)</f>
        <v>#N/A</v>
      </c>
      <c r="AJ49" s="315" t="e">
        <f>VLOOKUP(CONCATENATE(form!$CV$24,".",form!$CW$24,".",form!$DA$24),Лист1!$DD:$DH,5,0)</f>
        <v>#N/A</v>
      </c>
      <c r="AK49" s="316"/>
      <c r="AL49" s="316"/>
      <c r="AM49" s="316"/>
      <c r="AN49" s="305" t="e">
        <f>VLOOKUP(CONCATENATE(form!$CV$24,".",form!$DC$24),Лист1!$DV:$DZ,5,0)</f>
        <v>#N/A</v>
      </c>
      <c r="AO49" s="316"/>
      <c r="AP49" s="315" t="e">
        <f>VLOOKUP(CONCATENATE(form!$CV$24,".",form!$CW$24,".",form!$DA$24,".",form!$CY$24),Лист1!$EH:$EL,5,0)</f>
        <v>#N/A</v>
      </c>
      <c r="AQ49" s="317"/>
      <c r="AR49" s="317"/>
      <c r="AS49" s="308" t="e">
        <f t="shared" si="7"/>
        <v>#N/A</v>
      </c>
      <c r="AU49" s="663">
        <f t="shared" si="17"/>
        <v>0</v>
      </c>
      <c r="AV49" s="309">
        <f t="shared" si="18"/>
        <v>0</v>
      </c>
      <c r="AX49" s="309"/>
    </row>
    <row r="50" spans="2:50" s="288" customFormat="1" ht="24.9" customHeight="1">
      <c r="B50" s="392"/>
      <c r="C50" s="605" t="str">
        <f t="shared" si="10"/>
        <v/>
      </c>
      <c r="D50" s="607" t="str">
        <f t="shared" si="11"/>
        <v/>
      </c>
      <c r="E50" s="485" t="str">
        <f>IF(OR(J50=0,J50=""),"",VLOOKUP(R50,Лист1!$M:$O,3,0))</f>
        <v/>
      </c>
      <c r="F50" s="318" t="str">
        <f t="shared" si="12"/>
        <v/>
      </c>
      <c r="G50" s="626" t="str">
        <f t="shared" si="13"/>
        <v/>
      </c>
      <c r="H50" s="319" t="str">
        <f t="shared" si="14"/>
        <v/>
      </c>
      <c r="J50" s="297" t="str">
        <f>form!$DL$24</f>
        <v/>
      </c>
      <c r="L50" s="320" t="str">
        <f>IF(G50="","",CONCATENATE(R50,".",T50,".",S50,".",U50))</f>
        <v/>
      </c>
      <c r="M50" s="320" t="str">
        <f>IF(G50="","",CONCATENATE(AA50,", ",AC50,", ",AD50))</f>
        <v/>
      </c>
      <c r="N50" s="320" t="str">
        <f t="shared" si="15"/>
        <v/>
      </c>
      <c r="O50" s="320" t="str">
        <f t="shared" si="16"/>
        <v/>
      </c>
      <c r="Q50" s="321" t="s">
        <v>848</v>
      </c>
      <c r="R50" s="322" t="e">
        <f>VLOOKUP(form!$DG$24,Лист1!$L:$N,2,0)</f>
        <v>#N/A</v>
      </c>
      <c r="S50" s="323" t="e">
        <f>VLOOKUP(form!$DG$24,Лист1!$Q:$S,2,0)</f>
        <v>#N/A</v>
      </c>
      <c r="T50" s="323" t="e">
        <f>VLOOKUP(CONCATENATE(form!$DG$24,".",form!$DI$24),Лист1!$U:$W,2,0)</f>
        <v>#N/A</v>
      </c>
      <c r="U50" s="324" t="e">
        <f>VLOOKUP(form!$DK$24,Лист1!$Y:$AA,2,0)</f>
        <v>#N/A</v>
      </c>
      <c r="V50" s="325"/>
      <c r="W50" s="325"/>
      <c r="X50" s="325"/>
      <c r="Y50" s="325"/>
      <c r="AA50" s="320" t="e">
        <f>VLOOKUP(form!$DG$24,Лист1!$L:$N,3,0)</f>
        <v>#N/A</v>
      </c>
      <c r="AB50" s="325"/>
      <c r="AC50" s="320" t="e">
        <f>VLOOKUP(CONCATENATE(form!$DG$24,".",form!$DI$24),Лист1!$U:$W,3,0)</f>
        <v>#N/A</v>
      </c>
      <c r="AD50" s="320" t="e">
        <f>VLOOKUP(form!$DK$24,Лист1!$Y:$AA,3,0)</f>
        <v>#N/A</v>
      </c>
      <c r="AE50" s="325"/>
      <c r="AF50" s="325"/>
      <c r="AG50" s="325"/>
      <c r="AH50" s="325"/>
      <c r="AJ50" s="326" t="e">
        <f>VLOOKUP(CONCATENATE(form!$DG$24,".",form!$DJ$24),Лист1!$DD:$DH,5,0)</f>
        <v>#N/A</v>
      </c>
      <c r="AK50" s="325"/>
      <c r="AL50" s="325"/>
      <c r="AM50" s="325"/>
      <c r="AN50" s="325"/>
      <c r="AO50" s="325"/>
      <c r="AP50" s="326" t="e">
        <f>VLOOKUP(CONCATENATE(form!$DG$24,".",form!$DJ$24,".",form!$DH$24),Лист1!$EH:$EL,5,0)</f>
        <v>#N/A</v>
      </c>
      <c r="AQ50" s="327"/>
      <c r="AR50" s="327"/>
      <c r="AS50" s="328" t="e">
        <f t="shared" si="7"/>
        <v>#N/A</v>
      </c>
      <c r="AU50" s="664">
        <f t="shared" si="17"/>
        <v>0</v>
      </c>
      <c r="AV50" s="329">
        <f t="shared" si="18"/>
        <v>0</v>
      </c>
      <c r="AX50" s="309"/>
    </row>
    <row r="51" spans="2:50" s="288" customFormat="1" ht="24.9" customHeight="1">
      <c r="B51" s="393"/>
      <c r="C51" s="604" t="str">
        <f t="shared" si="10"/>
        <v/>
      </c>
      <c r="D51" s="606" t="str">
        <f t="shared" si="11"/>
        <v/>
      </c>
      <c r="E51" s="484" t="str">
        <f>IF(OR(J51=0,J51=""),"",VLOOKUP(R51,Лист1!$M:$O,3,0))</f>
        <v/>
      </c>
      <c r="F51" s="295" t="str">
        <f t="shared" si="12"/>
        <v/>
      </c>
      <c r="G51" s="625" t="str">
        <f t="shared" si="13"/>
        <v/>
      </c>
      <c r="H51" s="296" t="str">
        <f t="shared" si="14"/>
        <v/>
      </c>
      <c r="J51" s="297">
        <f>form!$R$25</f>
        <v>0</v>
      </c>
      <c r="L51" s="298" t="str">
        <f>IF(G51="","",CONCATENATE(R51,".",S51,".",T51,".",U51,".",V51,".",W51,".",X51,".",Y51))</f>
        <v/>
      </c>
      <c r="M51" s="298" t="str">
        <f>IF(G51="","",CONCATENATE(AA51,", ",AB51,", ",AC51,", ",AD51,", ",AE51,", ",AF51,", ",AG51,", ",AH51))</f>
        <v/>
      </c>
      <c r="N51" s="298" t="str">
        <f t="shared" si="15"/>
        <v/>
      </c>
      <c r="O51" s="298" t="str">
        <f t="shared" si="16"/>
        <v/>
      </c>
      <c r="Q51" s="299" t="s">
        <v>846</v>
      </c>
      <c r="R51" s="300" t="e">
        <f>VLOOKUP(CONCATENATE(form!$C$25,".",form!$D$25),Лист1!$L:$N,2,0)</f>
        <v>#N/A</v>
      </c>
      <c r="S51" s="301" t="e">
        <f>VLOOKUP(CONCATENATE(form!$C$25,".",form!$D$25),Лист1!$Q:$S,2,0)</f>
        <v>#N/A</v>
      </c>
      <c r="T51" s="301" t="e">
        <f>VLOOKUP(CONCATENATE(form!$E$25,".",form!$F$25,".",form!$G$25),Лист1!$U:$W,2,0)</f>
        <v>#N/A</v>
      </c>
      <c r="U51" s="302" t="e">
        <f>VLOOKUP(form!$I$25,Лист1!$Y:$AA,2,0)</f>
        <v>#N/A</v>
      </c>
      <c r="V51" s="302" t="e">
        <f>VLOOKUP(form!$J$25,Лист1!$AC:$AE,2,0)</f>
        <v>#N/A</v>
      </c>
      <c r="W51" s="302" t="e">
        <f>VLOOKUP(form!$K$25,Лист1!$AG:$AI,2,0)</f>
        <v>#N/A</v>
      </c>
      <c r="X51" s="302" t="e">
        <f>VLOOKUP(CONCATENATE(form!$L$25,".",form!$M$25),Лист1!$AK$14:$AM$192,2,0)</f>
        <v>#N/A</v>
      </c>
      <c r="Y51" s="302" t="e">
        <f>VLOOKUP(CONCATENATE(form!$L$25,".",form!$N$25),Лист1!$AO$13:$AQ$127,2,0)</f>
        <v>#N/A</v>
      </c>
      <c r="AA51" s="303" t="e">
        <f>VLOOKUP(CONCATENATE(form!$C$25,".",form!$D$25),Лист1!$L:$N,3,0)</f>
        <v>#N/A</v>
      </c>
      <c r="AB51" s="303" t="e">
        <f>VLOOKUP(CONCATENATE(form!$C$25,".",form!$D$25),Лист1!$Q:$S,3,0)</f>
        <v>#N/A</v>
      </c>
      <c r="AC51" s="303" t="e">
        <f>VLOOKUP(CONCATENATE(form!$E$25,".",form!$F$25,".",form!$G$25),Лист1!$U:$W,3,0)</f>
        <v>#N/A</v>
      </c>
      <c r="AD51" s="303" t="e">
        <f>VLOOKUP(form!$I$25,Лист1!$Y:$AA,3,0)</f>
        <v>#N/A</v>
      </c>
      <c r="AE51" s="303" t="e">
        <f>VLOOKUP(form!$J$25,Лист1!$AC:$AE,3,0)</f>
        <v>#N/A</v>
      </c>
      <c r="AF51" s="304" t="e">
        <f>VLOOKUP(form!$K$25,Лист1!$AG:$AI,3,0)</f>
        <v>#N/A</v>
      </c>
      <c r="AG51" s="303" t="e">
        <f>VLOOKUP(CONCATENATE(form!$L$25,".",form!$M$25),Лист1!$AK$14:$AM$192,3,0)</f>
        <v>#N/A</v>
      </c>
      <c r="AH51" s="303" t="e">
        <f>VLOOKUP(CONCATENATE(form!$L$25,".",form!$N$25),Лист1!$AO$13:$AQ$127,3,0)</f>
        <v>#N/A</v>
      </c>
      <c r="AJ51" s="305" t="e">
        <f>VLOOKUP(CONCATENATE(form!$C$25,".",form!$D$25,".",form!$H$25),Лист1!$DD:$DH,5,0)</f>
        <v>#N/A</v>
      </c>
      <c r="AK51" s="305" t="e">
        <f>VLOOKUP(CONCATENATE(form!$C$25,".",form!$J$25),Лист1!$DJ:$DN,5,0)</f>
        <v>#N/A</v>
      </c>
      <c r="AL51" s="305" t="e">
        <f>VLOOKUP(CONCATENATE(form!$C$25,".",form!$D$25,".",form!$K$25),Лист1!$DP:$DT,5,0)</f>
        <v>#N/A</v>
      </c>
      <c r="AM51" s="306"/>
      <c r="AN51" s="305" t="e">
        <f>VLOOKUP(CONCATENATE(form!$C$25,".",form!$L$25),Лист1!$DV:$DZ,5,0)</f>
        <v>#N/A</v>
      </c>
      <c r="AO51" s="305" t="e">
        <f>VLOOKUP(CONCATENATE(form!$C$25,".",form!$M$25),Лист1!$EB:$EF,5,0)</f>
        <v>#N/A</v>
      </c>
      <c r="AP51" s="659"/>
      <c r="AQ51" s="307" t="str">
        <f>IF(ISNA(AR51),"0",AR51)</f>
        <v>0</v>
      </c>
      <c r="AR51" s="670" t="e">
        <f>VLOOKUP(CONCATENATE(form!$C$25,".",form!$G$25),Лист1!$EH:$EL,5,0)</f>
        <v>#N/A</v>
      </c>
      <c r="AS51" s="308" t="e">
        <f t="shared" si="7"/>
        <v>#N/A</v>
      </c>
      <c r="AU51" s="663">
        <f t="shared" si="17"/>
        <v>0</v>
      </c>
      <c r="AV51" s="309">
        <f t="shared" si="18"/>
        <v>0</v>
      </c>
      <c r="AX51" s="309"/>
    </row>
    <row r="52" spans="2:50" s="288" customFormat="1" ht="24.9" customHeight="1">
      <c r="B52" s="391">
        <v>15</v>
      </c>
      <c r="C52" s="604" t="str">
        <f t="shared" si="10"/>
        <v/>
      </c>
      <c r="D52" s="606" t="str">
        <f t="shared" si="11"/>
        <v/>
      </c>
      <c r="E52" s="484" t="str">
        <f>IF(OR(J52=0,J52=""),"",VLOOKUP(R52,Лист1!$M:$O,3,0))</f>
        <v/>
      </c>
      <c r="F52" s="295" t="str">
        <f t="shared" si="12"/>
        <v/>
      </c>
      <c r="G52" s="625" t="str">
        <f t="shared" si="13"/>
        <v/>
      </c>
      <c r="H52" s="296" t="str">
        <f t="shared" si="14"/>
        <v/>
      </c>
      <c r="J52" s="297" t="str">
        <f>form!$DE$25</f>
        <v/>
      </c>
      <c r="L52" s="310" t="str">
        <f>IF(G52="","",CONCATENATE(R52,".",T52,".",S52,".",U52,".",X52,".",Y52))</f>
        <v/>
      </c>
      <c r="M52" s="310" t="str">
        <f>IF(G52="","",CONCATENATE(AA52,", ",AB52,", ",AC52,", ",AD52,", ",AG52,", ",AH52))</f>
        <v/>
      </c>
      <c r="N52" s="310" t="str">
        <f t="shared" si="15"/>
        <v/>
      </c>
      <c r="O52" s="310" t="str">
        <f t="shared" si="16"/>
        <v/>
      </c>
      <c r="Q52" s="311" t="s">
        <v>847</v>
      </c>
      <c r="R52" s="300" t="e">
        <f>VLOOKUP(CONCATENATE(form!$CV$25,".",form!$CW$25),Лист1!$L:$N,2,0)</f>
        <v>#N/A</v>
      </c>
      <c r="S52" s="301" t="e">
        <f>VLOOKUP(CONCATENATE(form!$CV$25,".",form!$CW$25),Лист1!$Q:$S,2,0)</f>
        <v>#N/A</v>
      </c>
      <c r="T52" s="301" t="e">
        <f>VLOOKUP(CONCATENATE(form!$CV$25,".",form!$CX$25,".",form!$CY$25,".",form!$CZ$25),Лист1!$U:$W,2,0)</f>
        <v>#N/A</v>
      </c>
      <c r="U52" s="302" t="e">
        <f>VLOOKUP(form!$DB$25,Лист1!$Y:$AA,2,0)</f>
        <v>#N/A</v>
      </c>
      <c r="V52" s="312"/>
      <c r="W52" s="312"/>
      <c r="X52" s="302" t="e">
        <f>VLOOKUP(form!$DC$25,Лист1!$AK$196:$AM$228,2,0)</f>
        <v>#N/A</v>
      </c>
      <c r="Y52" s="302" t="e">
        <f>VLOOKUP(form!$DD$25,Лист1!$AO$130:$AQ$181,2,0)</f>
        <v>#N/A</v>
      </c>
      <c r="AA52" s="310" t="e">
        <f>VLOOKUP(CONCATENATE(form!$CV$25,".",form!$CW$25),Лист1!$L:$N,3,0)</f>
        <v>#N/A</v>
      </c>
      <c r="AB52" s="310" t="e">
        <f>VLOOKUP(CONCATENATE(form!$CV$25,".",form!$CW$25),Лист1!$Q:$S,3,0)</f>
        <v>#N/A</v>
      </c>
      <c r="AC52" s="310" t="e">
        <f>VLOOKUP(CONCATENATE(form!$CV$25,".",form!$CX$25,".",form!$CY$25,".",form!$CZ$25),Лист1!$U:$W,3,0)</f>
        <v>#N/A</v>
      </c>
      <c r="AD52" s="310" t="e">
        <f>VLOOKUP(form!$DB$25,Лист1!$Y:$AA,3,0)</f>
        <v>#N/A</v>
      </c>
      <c r="AE52" s="313"/>
      <c r="AF52" s="313"/>
      <c r="AG52" s="314" t="e">
        <f>VLOOKUP(form!$DC$25,Лист1!$AK$196:$AM$228,3,0)</f>
        <v>#N/A</v>
      </c>
      <c r="AH52" s="310" t="e">
        <f>VLOOKUP(form!$DD$25,Лист1!$AO$130:$AQ$181,3,0)</f>
        <v>#N/A</v>
      </c>
      <c r="AJ52" s="315" t="e">
        <f>VLOOKUP(CONCATENATE(form!$CV$25,".",form!$CW$25,".",form!$DA$25),Лист1!$DD:$DH,5,0)</f>
        <v>#N/A</v>
      </c>
      <c r="AK52" s="316"/>
      <c r="AL52" s="316"/>
      <c r="AM52" s="316"/>
      <c r="AN52" s="305" t="e">
        <f>VLOOKUP(CONCATENATE(form!$CV$25,".",form!$DC$25),Лист1!$DV:$DZ,5,0)</f>
        <v>#N/A</v>
      </c>
      <c r="AO52" s="316"/>
      <c r="AP52" s="315" t="e">
        <f>VLOOKUP(CONCATENATE(form!$CV$25,".",form!$CW$25,".",form!$DA$25,".",form!$CY$25),Лист1!$EH:$EL,5,0)</f>
        <v>#N/A</v>
      </c>
      <c r="AQ52" s="317"/>
      <c r="AR52" s="317"/>
      <c r="AS52" s="308" t="e">
        <f t="shared" si="7"/>
        <v>#N/A</v>
      </c>
      <c r="AU52" s="663">
        <f t="shared" si="17"/>
        <v>0</v>
      </c>
      <c r="AV52" s="309">
        <f t="shared" si="18"/>
        <v>0</v>
      </c>
      <c r="AX52" s="309"/>
    </row>
    <row r="53" spans="2:50" s="288" customFormat="1" ht="24.9" customHeight="1">
      <c r="B53" s="394"/>
      <c r="C53" s="605" t="str">
        <f t="shared" si="10"/>
        <v/>
      </c>
      <c r="D53" s="607" t="str">
        <f t="shared" si="11"/>
        <v/>
      </c>
      <c r="E53" s="485" t="str">
        <f>IF(OR(J53=0,J53=""),"",VLOOKUP(R53,Лист1!$M:$O,3,0))</f>
        <v/>
      </c>
      <c r="F53" s="318" t="str">
        <f t="shared" si="12"/>
        <v/>
      </c>
      <c r="G53" s="626" t="str">
        <f t="shared" si="13"/>
        <v/>
      </c>
      <c r="H53" s="319" t="str">
        <f t="shared" si="14"/>
        <v/>
      </c>
      <c r="J53" s="297" t="str">
        <f>form!$DL$25</f>
        <v/>
      </c>
      <c r="L53" s="320" t="str">
        <f>IF(G53="","",CONCATENATE(R53,".",T53,".",S53,".",U53))</f>
        <v/>
      </c>
      <c r="M53" s="320" t="str">
        <f>IF(G53="","",CONCATENATE(AA53,", ",AC53,", ",AD53))</f>
        <v/>
      </c>
      <c r="N53" s="320" t="str">
        <f t="shared" si="15"/>
        <v/>
      </c>
      <c r="O53" s="320" t="str">
        <f t="shared" si="16"/>
        <v/>
      </c>
      <c r="Q53" s="330" t="s">
        <v>848</v>
      </c>
      <c r="R53" s="331" t="e">
        <f>VLOOKUP(form!$DG$25,Лист1!$L:$N,2,0)</f>
        <v>#N/A</v>
      </c>
      <c r="S53" s="332" t="e">
        <f>VLOOKUP(form!$DG$25,Лист1!$Q:$S,2,0)</f>
        <v>#N/A</v>
      </c>
      <c r="T53" s="332" t="e">
        <f>VLOOKUP(CONCATENATE(form!$DG$25,".",form!$DI$25),Лист1!$U:$W,2,0)</f>
        <v>#N/A</v>
      </c>
      <c r="U53" s="333" t="e">
        <f>VLOOKUP(form!$DK$25,Лист1!$Y:$AA,2,0)</f>
        <v>#N/A</v>
      </c>
      <c r="V53" s="334"/>
      <c r="W53" s="334"/>
      <c r="X53" s="334"/>
      <c r="Y53" s="334"/>
      <c r="AA53" s="335" t="e">
        <f>VLOOKUP(form!$DG$25,Лист1!$L:$N,3,0)</f>
        <v>#N/A</v>
      </c>
      <c r="AB53" s="334"/>
      <c r="AC53" s="335" t="e">
        <f>VLOOKUP(CONCATENATE(form!$DG$25,".",form!$DI$25),Лист1!$U:$W,3,0)</f>
        <v>#N/A</v>
      </c>
      <c r="AD53" s="335" t="e">
        <f>VLOOKUP(form!$DK$25,Лист1!$Y:$AA,3,0)</f>
        <v>#N/A</v>
      </c>
      <c r="AE53" s="334"/>
      <c r="AF53" s="334"/>
      <c r="AG53" s="334"/>
      <c r="AH53" s="334"/>
      <c r="AJ53" s="336" t="e">
        <f>VLOOKUP(CONCATENATE(form!$DG$25,".",form!$DJ$25),Лист1!$DD:$DH,5,0)</f>
        <v>#N/A</v>
      </c>
      <c r="AK53" s="334"/>
      <c r="AL53" s="334"/>
      <c r="AM53" s="334"/>
      <c r="AN53" s="334"/>
      <c r="AO53" s="334"/>
      <c r="AP53" s="336" t="e">
        <f>VLOOKUP(CONCATENATE(form!$DG$25,".",form!$DJ$25,".",form!$DH$25),Лист1!$EH:$EL,5,0)</f>
        <v>#N/A</v>
      </c>
      <c r="AQ53" s="337"/>
      <c r="AR53" s="337"/>
      <c r="AS53" s="338" t="e">
        <f t="shared" si="7"/>
        <v>#N/A</v>
      </c>
      <c r="AU53" s="665">
        <f t="shared" si="17"/>
        <v>0</v>
      </c>
      <c r="AV53" s="339">
        <f t="shared" si="18"/>
        <v>0</v>
      </c>
      <c r="AX53" s="309"/>
    </row>
    <row r="54" spans="2:50" s="288" customFormat="1" ht="24.9" customHeight="1">
      <c r="B54" s="608" t="str">
        <f>form!B27</f>
        <v>Розділ № 2: ДВЕРНІ ПОЛОТНА</v>
      </c>
      <c r="C54" s="283"/>
      <c r="D54" s="486"/>
      <c r="E54" s="487"/>
      <c r="F54" s="286" t="str">
        <f>IF(H54="","","ИТОГО:")</f>
        <v/>
      </c>
      <c r="G54" s="624" t="str">
        <f>IF(J54=0,"",SUM(G55:G69))</f>
        <v/>
      </c>
      <c r="H54" s="287" t="str">
        <f>IF(J54=0,"",SUM(H55:H69))</f>
        <v/>
      </c>
      <c r="J54" s="340">
        <f>SUM(J55:J69)</f>
        <v>0</v>
      </c>
      <c r="L54" s="341"/>
      <c r="M54" s="341"/>
      <c r="N54" s="341"/>
      <c r="O54" s="341"/>
      <c r="Q54" s="291"/>
      <c r="R54" s="292" t="s">
        <v>465</v>
      </c>
      <c r="S54" s="292" t="s">
        <v>464</v>
      </c>
      <c r="T54" s="292" t="s">
        <v>453</v>
      </c>
      <c r="U54" s="292" t="s">
        <v>463</v>
      </c>
      <c r="V54" s="292" t="s">
        <v>234</v>
      </c>
      <c r="W54" s="292" t="s">
        <v>236</v>
      </c>
      <c r="X54" s="292" t="s">
        <v>467</v>
      </c>
      <c r="Y54" s="292" t="s">
        <v>468</v>
      </c>
      <c r="AA54" s="292" t="s">
        <v>465</v>
      </c>
      <c r="AB54" s="292" t="s">
        <v>464</v>
      </c>
      <c r="AC54" s="292" t="s">
        <v>453</v>
      </c>
      <c r="AD54" s="292" t="s">
        <v>463</v>
      </c>
      <c r="AE54" s="292" t="s">
        <v>234</v>
      </c>
      <c r="AF54" s="292" t="s">
        <v>236</v>
      </c>
      <c r="AG54" s="292" t="s">
        <v>467</v>
      </c>
      <c r="AH54" s="292" t="s">
        <v>468</v>
      </c>
      <c r="AJ54" s="292" t="s">
        <v>348</v>
      </c>
      <c r="AK54" s="292" t="s">
        <v>753</v>
      </c>
      <c r="AL54" s="292" t="s">
        <v>466</v>
      </c>
      <c r="AM54" s="293"/>
      <c r="AN54" s="292" t="s">
        <v>544</v>
      </c>
      <c r="AO54" s="292" t="s">
        <v>256</v>
      </c>
      <c r="AP54" s="660"/>
      <c r="AQ54" s="294" t="s">
        <v>1041</v>
      </c>
      <c r="AR54" s="671" t="s">
        <v>1041</v>
      </c>
      <c r="AS54" s="292" t="s">
        <v>1038</v>
      </c>
      <c r="AU54" s="666"/>
      <c r="AV54" s="292" t="s">
        <v>578</v>
      </c>
    </row>
    <row r="55" spans="2:50" s="288" customFormat="1" ht="24.9" customHeight="1">
      <c r="B55" s="395">
        <v>1</v>
      </c>
      <c r="C55" s="614" t="str">
        <f>IF(ISNA(L55),"",L55)</f>
        <v/>
      </c>
      <c r="D55" s="615" t="str">
        <f>IF(ISNA(M55),"",M55)</f>
        <v/>
      </c>
      <c r="E55" s="488" t="str">
        <f>IF(OR(J55=0,J55=""),"",VLOOKUP(R55,Лист1!$M:$O,3,0))</f>
        <v/>
      </c>
      <c r="F55" s="342" t="str">
        <f>IF(ISNA(N55),"",N55)</f>
        <v/>
      </c>
      <c r="G55" s="627" t="str">
        <f>IF(J55=0,"",J55)</f>
        <v/>
      </c>
      <c r="H55" s="343" t="str">
        <f>IF(ISNA(O55),"",O55)</f>
        <v/>
      </c>
      <c r="J55" s="344">
        <f>form!R29</f>
        <v>0</v>
      </c>
      <c r="L55" s="290" t="str">
        <f>IF(G55="","",CONCATENATE(R55,".",S55,".",T55,".",U55,".",V55,".",W55,".",X55,".",Y55))</f>
        <v/>
      </c>
      <c r="M55" s="290" t="str">
        <f>IF(G55="","",CONCATENATE(AA55,", ",AB55,", ",AC55,", ",AD55,", ",AE55,", ",AF55,", ",AG55,", ",AH55))</f>
        <v/>
      </c>
      <c r="N55" s="290" t="str">
        <f>IF(G55="","",AS55*(1-$G$1))</f>
        <v/>
      </c>
      <c r="O55" s="290" t="str">
        <f>IF(F55="","",G55*F55)</f>
        <v/>
      </c>
      <c r="R55" s="345" t="e">
        <f>VLOOKUP(CONCATENATE(form!C29,".",form!D29),Лист1!$L:$N,2,0)</f>
        <v>#N/A</v>
      </c>
      <c r="S55" s="346" t="e">
        <f>VLOOKUP(CONCATENATE(form!C29,".",form!D29),Лист1!$Q:$S,2,0)</f>
        <v>#N/A</v>
      </c>
      <c r="T55" s="301" t="e">
        <f>VLOOKUP(CONCATENATE(form!E29,".",form!F29,".",form!G29),Лист1!$U:$W,2,0)</f>
        <v>#N/A</v>
      </c>
      <c r="U55" s="302" t="e">
        <f>VLOOKUP(form!I29,Лист1!$Y:$AA,2,0)</f>
        <v>#N/A</v>
      </c>
      <c r="V55" s="302" t="e">
        <f>VLOOKUP(form!J29,Лист1!$AC:$AE,2,0)</f>
        <v>#N/A</v>
      </c>
      <c r="W55" s="302" t="e">
        <f>VLOOKUP(form!K29,Лист1!$AG:$AI,2,0)</f>
        <v>#N/A</v>
      </c>
      <c r="X55" s="302" t="e">
        <f>VLOOKUP(CONCATENATE(form!L29,".",form!M29),Лист1!$AK$14:$AM$192,2,0)</f>
        <v>#N/A</v>
      </c>
      <c r="Y55" s="302" t="e">
        <f>VLOOKUP(CONCATENATE(form!L29,".",form!N29),Лист1!$AO$13:$AQ$127,2,0)</f>
        <v>#N/A</v>
      </c>
      <c r="AA55" s="290" t="e">
        <f>VLOOKUP(CONCATENATE(form!C29,".",form!D29),Лист1!$L:$N,3,0)</f>
        <v>#N/A</v>
      </c>
      <c r="AB55" s="290" t="e">
        <f>VLOOKUP(CONCATENATE(form!C29,".",form!D29),Лист1!$Q:$S,3,0)</f>
        <v>#N/A</v>
      </c>
      <c r="AC55" s="347" t="e">
        <f>VLOOKUP(CONCATENATE(form!E29,".",form!F29,".",form!G29),Лист1!$U:$W,3,0)</f>
        <v>#N/A</v>
      </c>
      <c r="AD55" s="347" t="e">
        <f>VLOOKUP(form!I29,Лист1!$Y:$AA,3,0)</f>
        <v>#N/A</v>
      </c>
      <c r="AE55" s="347" t="e">
        <f>VLOOKUP(form!J29,Лист1!$AC:$AE,3,0)</f>
        <v>#N/A</v>
      </c>
      <c r="AF55" s="348" t="e">
        <f>VLOOKUP(form!K29,Лист1!$AG:$AI,3,0)</f>
        <v>#N/A</v>
      </c>
      <c r="AG55" s="347" t="e">
        <f>VLOOKUP(CONCATENATE(form!L29,".",form!M29),Лист1!$AK$14:$AM$192,3,0)</f>
        <v>#N/A</v>
      </c>
      <c r="AH55" s="347" t="e">
        <f>VLOOKUP(CONCATENATE(form!L29,".",form!N29),Лист1!$AO$13:$AQ$127,3,0)</f>
        <v>#N/A</v>
      </c>
      <c r="AJ55" s="305" t="e">
        <f>VLOOKUP(CONCATENATE(form!C29,".",form!D29,".",form!H29),Лист1!$DD:$DH,5,0)</f>
        <v>#N/A</v>
      </c>
      <c r="AK55" s="305" t="e">
        <f>VLOOKUP(CONCATENATE(form!C29,".",form!J29),Лист1!$DJ:$DN,5,0)</f>
        <v>#N/A</v>
      </c>
      <c r="AL55" s="305" t="e">
        <f>VLOOKUP(CONCATENATE(form!C29,".",form!D29,".",form!K29),Лист1!$DP:$DT,5,0)</f>
        <v>#N/A</v>
      </c>
      <c r="AM55" s="306"/>
      <c r="AN55" s="305" t="e">
        <f>VLOOKUP(CONCATENATE(form!C29,".",form!L29),Лист1!$DV:$DZ,5,0)</f>
        <v>#N/A</v>
      </c>
      <c r="AO55" s="305" t="e">
        <f>VLOOKUP(CONCATENATE(form!C29,".",form!M29),Лист1!$EB:$EF,5,0)</f>
        <v>#N/A</v>
      </c>
      <c r="AP55" s="659"/>
      <c r="AQ55" s="307" t="str">
        <f>IF(ISNA(AR55),"0",AR55)</f>
        <v>0</v>
      </c>
      <c r="AR55" s="670" t="e">
        <f>VLOOKUP(CONCATENATE(form!C29,".",form!G29),Лист1!$EH:$EL,5,0)</f>
        <v>#N/A</v>
      </c>
      <c r="AS55" s="308" t="e">
        <f t="shared" si="7"/>
        <v>#N/A</v>
      </c>
      <c r="AU55" s="663">
        <f>IF(ISNA(AV55),"0",AV55)</f>
        <v>0</v>
      </c>
      <c r="AV55" s="309">
        <f>IF(G55="",0,ROUND(AS55*G55,2))</f>
        <v>0</v>
      </c>
      <c r="AX55" s="309"/>
    </row>
    <row r="56" spans="2:50" s="288" customFormat="1" ht="24.9" customHeight="1">
      <c r="B56" s="396">
        <v>2</v>
      </c>
      <c r="C56" s="616" t="str">
        <f>IF(ISNA(L56),"",L56)</f>
        <v/>
      </c>
      <c r="D56" s="617" t="str">
        <f>IF(ISNA(M56),"",M56)</f>
        <v/>
      </c>
      <c r="E56" s="489" t="str">
        <f>IF(OR(J56=0,J56=""),"",VLOOKUP(R56,Лист1!$M:$O,3,0))</f>
        <v/>
      </c>
      <c r="F56" s="349" t="str">
        <f>IF(ISNA(N56),"",N56)</f>
        <v/>
      </c>
      <c r="G56" s="628" t="str">
        <f>IF(J56=0,"",J56)</f>
        <v/>
      </c>
      <c r="H56" s="350" t="str">
        <f>IF(ISNA(O56),"",O56)</f>
        <v/>
      </c>
      <c r="J56" s="344">
        <f>form!R30</f>
        <v>0</v>
      </c>
      <c r="L56" s="290" t="str">
        <f t="shared" ref="L56:L69" si="19">IF(G56="","",CONCATENATE(R56,".",S56,".",T56,".",U56,".",V56,".",W56,".",X56,".",Y56))</f>
        <v/>
      </c>
      <c r="M56" s="290" t="str">
        <f t="shared" ref="M56:M69" si="20">IF(G56="","",CONCATENATE(AA56,", ",AB56,", ",AC56,", ",AD56,", ",AE56,", ",AF56,", ",AG56,", ",AH56))</f>
        <v/>
      </c>
      <c r="N56" s="290" t="str">
        <f t="shared" ref="N56:N69" si="21">IF(G56="","",AS56*(1-$G$1))</f>
        <v/>
      </c>
      <c r="O56" s="290" t="str">
        <f t="shared" ref="O56:O69" si="22">IF(F56="","",G56*F56)</f>
        <v/>
      </c>
      <c r="R56" s="345" t="e">
        <f>VLOOKUP(CONCATENATE(form!C30,".",form!D30),Лист1!$L:$N,2,0)</f>
        <v>#N/A</v>
      </c>
      <c r="S56" s="346" t="e">
        <f>VLOOKUP(CONCATENATE(form!C30,".",form!D30),Лист1!$Q:$S,2,0)</f>
        <v>#N/A</v>
      </c>
      <c r="T56" s="301" t="e">
        <f>VLOOKUP(CONCATENATE(form!E30,".",form!F30,".",form!G30),Лист1!$U:$W,2,0)</f>
        <v>#N/A</v>
      </c>
      <c r="U56" s="302" t="e">
        <f>VLOOKUP(form!I30,Лист1!$Y:$AA,2,0)</f>
        <v>#N/A</v>
      </c>
      <c r="V56" s="302" t="e">
        <f>VLOOKUP(form!J30,Лист1!$AC:$AE,2,0)</f>
        <v>#N/A</v>
      </c>
      <c r="W56" s="302" t="e">
        <f>VLOOKUP(form!K30,Лист1!$AG:$AI,2,0)</f>
        <v>#N/A</v>
      </c>
      <c r="X56" s="302" t="e">
        <f>VLOOKUP(CONCATENATE(form!L30,".",form!M30),Лист1!$AK$14:$AM$192,2,0)</f>
        <v>#N/A</v>
      </c>
      <c r="Y56" s="302" t="e">
        <f>VLOOKUP(CONCATENATE(form!L30,".",form!N30),Лист1!$AO$13:$AQ$127,2,0)</f>
        <v>#N/A</v>
      </c>
      <c r="AA56" s="290" t="e">
        <f>VLOOKUP(CONCATENATE(form!C30,".",form!D30),Лист1!$L:$N,3,0)</f>
        <v>#N/A</v>
      </c>
      <c r="AB56" s="290" t="e">
        <f>VLOOKUP(CONCATENATE(form!C30,".",form!D30),Лист1!$Q:$S,3,0)</f>
        <v>#N/A</v>
      </c>
      <c r="AC56" s="347" t="e">
        <f>VLOOKUP(CONCATENATE(form!E30,".",form!F30,".",form!G30),Лист1!$U:$W,3,0)</f>
        <v>#N/A</v>
      </c>
      <c r="AD56" s="347" t="e">
        <f>VLOOKUP(form!I30,Лист1!$Y:$AA,3,0)</f>
        <v>#N/A</v>
      </c>
      <c r="AE56" s="347" t="e">
        <f>VLOOKUP(form!J30,Лист1!$AC:$AE,3,0)</f>
        <v>#N/A</v>
      </c>
      <c r="AF56" s="348" t="e">
        <f>VLOOKUP(form!K30,Лист1!$AG:$AI,3,0)</f>
        <v>#N/A</v>
      </c>
      <c r="AG56" s="347" t="e">
        <f>VLOOKUP(CONCATENATE(form!L30,".",form!M30),Лист1!$AK$14:$AM$192,3,0)</f>
        <v>#N/A</v>
      </c>
      <c r="AH56" s="347" t="e">
        <f>VLOOKUP(CONCATENATE(form!L30,".",form!N30),Лист1!$AO$13:$AQ$127,3,0)</f>
        <v>#N/A</v>
      </c>
      <c r="AJ56" s="305" t="e">
        <f>VLOOKUP(CONCATENATE(form!C30,".",form!D30,".",form!H30),Лист1!$DD:$DH,5,0)</f>
        <v>#N/A</v>
      </c>
      <c r="AK56" s="305" t="e">
        <f>VLOOKUP(CONCATENATE(form!C30,".",form!J30),Лист1!$DJ:$DN,5,0)</f>
        <v>#N/A</v>
      </c>
      <c r="AL56" s="305" t="e">
        <f>VLOOKUP(CONCATENATE(form!C30,".",form!D30,".",form!K30),Лист1!$DP:$DT,5,0)</f>
        <v>#N/A</v>
      </c>
      <c r="AM56" s="306"/>
      <c r="AN56" s="305" t="e">
        <f>VLOOKUP(CONCATENATE(form!C30,".",form!L30),Лист1!$DV:$DZ,5,0)</f>
        <v>#N/A</v>
      </c>
      <c r="AO56" s="305" t="e">
        <f>VLOOKUP(CONCATENATE(form!C30,".",form!M30),Лист1!$EB:$EF,5,0)</f>
        <v>#N/A</v>
      </c>
      <c r="AP56" s="659"/>
      <c r="AQ56" s="307" t="str">
        <f t="shared" ref="AQ56:AQ69" si="23">IF(ISNA(AR56),"0",AR56)</f>
        <v>0</v>
      </c>
      <c r="AR56" s="670" t="e">
        <f>VLOOKUP(CONCATENATE(form!C30,".",form!G30),Лист1!$EH:$EL,5,0)</f>
        <v>#N/A</v>
      </c>
      <c r="AS56" s="308" t="e">
        <f t="shared" si="7"/>
        <v>#N/A</v>
      </c>
      <c r="AU56" s="663">
        <f t="shared" ref="AU56:AU69" si="24">IF(ISNA(AV56),"0",AV56)</f>
        <v>0</v>
      </c>
      <c r="AV56" s="309">
        <f t="shared" ref="AV56:AV69" si="25">IF(G56="",0,ROUND(AS56*G56,2))</f>
        <v>0</v>
      </c>
      <c r="AX56" s="309"/>
    </row>
    <row r="57" spans="2:50" s="288" customFormat="1" ht="24.9" customHeight="1">
      <c r="B57" s="396">
        <v>3</v>
      </c>
      <c r="C57" s="616" t="str">
        <f t="shared" ref="C57:C69" si="26">IF(ISNA(L57),"",L57)</f>
        <v/>
      </c>
      <c r="D57" s="617" t="str">
        <f t="shared" ref="D57:D69" si="27">IF(ISNA(M57),"",M57)</f>
        <v/>
      </c>
      <c r="E57" s="489" t="str">
        <f>IF(OR(J57=0,J57=""),"",VLOOKUP(R57,Лист1!$M:$O,3,0))</f>
        <v/>
      </c>
      <c r="F57" s="349" t="str">
        <f t="shared" ref="F57:F69" si="28">IF(ISNA(N57),"",N57)</f>
        <v/>
      </c>
      <c r="G57" s="628" t="str">
        <f t="shared" ref="G57:G69" si="29">IF(J57=0,"",J57)</f>
        <v/>
      </c>
      <c r="H57" s="350" t="str">
        <f t="shared" ref="H57:H69" si="30">IF(ISNA(O57),"",O57)</f>
        <v/>
      </c>
      <c r="J57" s="344">
        <f>form!R31</f>
        <v>0</v>
      </c>
      <c r="L57" s="290" t="str">
        <f t="shared" si="19"/>
        <v/>
      </c>
      <c r="M57" s="290" t="str">
        <f t="shared" si="20"/>
        <v/>
      </c>
      <c r="N57" s="290" t="str">
        <f t="shared" si="21"/>
        <v/>
      </c>
      <c r="O57" s="290" t="str">
        <f t="shared" si="22"/>
        <v/>
      </c>
      <c r="R57" s="345" t="e">
        <f>VLOOKUP(CONCATENATE(form!C31,".",form!D31),Лист1!$L:$N,2,0)</f>
        <v>#N/A</v>
      </c>
      <c r="S57" s="346" t="e">
        <f>VLOOKUP(CONCATENATE(form!C31,".",form!D31),Лист1!$Q:$S,2,0)</f>
        <v>#N/A</v>
      </c>
      <c r="T57" s="301" t="e">
        <f>VLOOKUP(CONCATENATE(form!E31,".",form!F31,".",form!G31),Лист1!$U:$W,2,0)</f>
        <v>#N/A</v>
      </c>
      <c r="U57" s="302" t="e">
        <f>VLOOKUP(form!I31,Лист1!$Y:$AA,2,0)</f>
        <v>#N/A</v>
      </c>
      <c r="V57" s="302" t="e">
        <f>VLOOKUP(form!J31,Лист1!$AC:$AE,2,0)</f>
        <v>#N/A</v>
      </c>
      <c r="W57" s="302" t="e">
        <f>VLOOKUP(form!K31,Лист1!$AG:$AI,2,0)</f>
        <v>#N/A</v>
      </c>
      <c r="X57" s="302" t="e">
        <f>VLOOKUP(CONCATENATE(form!L31,".",form!M31),Лист1!$AK$14:$AM$192,2,0)</f>
        <v>#N/A</v>
      </c>
      <c r="Y57" s="302" t="e">
        <f>VLOOKUP(CONCATENATE(form!L31,".",form!N31),Лист1!$AO$13:$AQ$127,2,0)</f>
        <v>#N/A</v>
      </c>
      <c r="AA57" s="290" t="e">
        <f>VLOOKUP(CONCATENATE(form!C31,".",form!D31),Лист1!$L:$N,3,0)</f>
        <v>#N/A</v>
      </c>
      <c r="AB57" s="290" t="e">
        <f>VLOOKUP(CONCATENATE(form!C31,".",form!D31),Лист1!$Q:$S,3,0)</f>
        <v>#N/A</v>
      </c>
      <c r="AC57" s="347" t="e">
        <f>VLOOKUP(CONCATENATE(form!E31,".",form!F31,".",form!G31),Лист1!$U:$W,3,0)</f>
        <v>#N/A</v>
      </c>
      <c r="AD57" s="347" t="e">
        <f>VLOOKUP(form!I31,Лист1!$Y:$AA,3,0)</f>
        <v>#N/A</v>
      </c>
      <c r="AE57" s="347" t="e">
        <f>VLOOKUP(form!J31,Лист1!$AC:$AE,3,0)</f>
        <v>#N/A</v>
      </c>
      <c r="AF57" s="348" t="e">
        <f>VLOOKUP(form!K31,Лист1!$AG:$AI,3,0)</f>
        <v>#N/A</v>
      </c>
      <c r="AG57" s="347" t="e">
        <f>VLOOKUP(CONCATENATE(form!L31,".",form!M31),Лист1!$AK$14:$AM$192,3,0)</f>
        <v>#N/A</v>
      </c>
      <c r="AH57" s="347" t="e">
        <f>VLOOKUP(CONCATENATE(form!L31,".",form!N31),Лист1!$AO$13:$AQ$127,3,0)</f>
        <v>#N/A</v>
      </c>
      <c r="AJ57" s="305" t="e">
        <f>VLOOKUP(CONCATENATE(form!C31,".",form!D31,".",form!H31),Лист1!$DD:$DH,5,0)</f>
        <v>#N/A</v>
      </c>
      <c r="AK57" s="305" t="e">
        <f>VLOOKUP(CONCATENATE(form!C31,".",form!J31),Лист1!$DJ:$DN,5,0)</f>
        <v>#N/A</v>
      </c>
      <c r="AL57" s="305" t="e">
        <f>VLOOKUP(CONCATENATE(form!C31,".",form!D31,".",form!K31),Лист1!$DP:$DT,5,0)</f>
        <v>#N/A</v>
      </c>
      <c r="AM57" s="306"/>
      <c r="AN57" s="305" t="e">
        <f>VLOOKUP(CONCATENATE(form!C31,".",form!L31),Лист1!$DV:$DZ,5,0)</f>
        <v>#N/A</v>
      </c>
      <c r="AO57" s="305" t="e">
        <f>VLOOKUP(CONCATENATE(form!C31,".",form!M31),Лист1!$EB:$EF,5,0)</f>
        <v>#N/A</v>
      </c>
      <c r="AP57" s="659"/>
      <c r="AQ57" s="307" t="str">
        <f t="shared" si="23"/>
        <v>0</v>
      </c>
      <c r="AR57" s="670" t="e">
        <f>VLOOKUP(CONCATENATE(form!C31,".",form!G31),Лист1!$EH:$EL,5,0)</f>
        <v>#N/A</v>
      </c>
      <c r="AS57" s="308" t="e">
        <f t="shared" si="7"/>
        <v>#N/A</v>
      </c>
      <c r="AU57" s="663">
        <f t="shared" si="24"/>
        <v>0</v>
      </c>
      <c r="AV57" s="309">
        <f t="shared" si="25"/>
        <v>0</v>
      </c>
      <c r="AX57" s="309"/>
    </row>
    <row r="58" spans="2:50" s="288" customFormat="1" ht="24.9" customHeight="1">
      <c r="B58" s="396">
        <v>4</v>
      </c>
      <c r="C58" s="616" t="str">
        <f t="shared" si="26"/>
        <v/>
      </c>
      <c r="D58" s="617" t="str">
        <f t="shared" si="27"/>
        <v/>
      </c>
      <c r="E58" s="489" t="str">
        <f>IF(OR(J58=0,J58=""),"",VLOOKUP(R58,Лист1!$M:$O,3,0))</f>
        <v/>
      </c>
      <c r="F58" s="349" t="str">
        <f t="shared" si="28"/>
        <v/>
      </c>
      <c r="G58" s="628" t="str">
        <f t="shared" si="29"/>
        <v/>
      </c>
      <c r="H58" s="350" t="str">
        <f t="shared" si="30"/>
        <v/>
      </c>
      <c r="J58" s="344">
        <f>form!R32</f>
        <v>0</v>
      </c>
      <c r="L58" s="290" t="str">
        <f t="shared" si="19"/>
        <v/>
      </c>
      <c r="M58" s="290" t="str">
        <f t="shared" si="20"/>
        <v/>
      </c>
      <c r="N58" s="290" t="str">
        <f t="shared" si="21"/>
        <v/>
      </c>
      <c r="O58" s="290" t="str">
        <f t="shared" si="22"/>
        <v/>
      </c>
      <c r="R58" s="345" t="e">
        <f>VLOOKUP(CONCATENATE(form!C32,".",form!D32),Лист1!$L:$N,2,0)</f>
        <v>#N/A</v>
      </c>
      <c r="S58" s="346" t="e">
        <f>VLOOKUP(CONCATENATE(form!C32,".",form!D32),Лист1!$Q:$S,2,0)</f>
        <v>#N/A</v>
      </c>
      <c r="T58" s="301" t="e">
        <f>VLOOKUP(CONCATENATE(form!E32,".",form!F32,".",form!G32),Лист1!$U:$W,2,0)</f>
        <v>#N/A</v>
      </c>
      <c r="U58" s="302" t="e">
        <f>VLOOKUP(form!I32,Лист1!$Y:$AA,2,0)</f>
        <v>#N/A</v>
      </c>
      <c r="V58" s="302" t="e">
        <f>VLOOKUP(form!J32,Лист1!$AC:$AE,2,0)</f>
        <v>#N/A</v>
      </c>
      <c r="W58" s="302" t="e">
        <f>VLOOKUP(form!K32,Лист1!$AG:$AI,2,0)</f>
        <v>#N/A</v>
      </c>
      <c r="X58" s="302" t="e">
        <f>VLOOKUP(CONCATENATE(form!L32,".",form!M32),Лист1!$AK$14:$AM$192,2,0)</f>
        <v>#N/A</v>
      </c>
      <c r="Y58" s="302" t="e">
        <f>VLOOKUP(CONCATENATE(form!L32,".",form!N32),Лист1!$AO$13:$AQ$127,2,0)</f>
        <v>#N/A</v>
      </c>
      <c r="AA58" s="290" t="e">
        <f>VLOOKUP(CONCATENATE(form!C32,".",form!D32),Лист1!$L:$N,3,0)</f>
        <v>#N/A</v>
      </c>
      <c r="AB58" s="290" t="e">
        <f>VLOOKUP(CONCATENATE(form!C32,".",form!D32),Лист1!$Q:$S,3,0)</f>
        <v>#N/A</v>
      </c>
      <c r="AC58" s="347" t="e">
        <f>VLOOKUP(CONCATENATE(form!E32,".",form!F32,".",form!G32),Лист1!$U:$W,3,0)</f>
        <v>#N/A</v>
      </c>
      <c r="AD58" s="347" t="e">
        <f>VLOOKUP(form!I32,Лист1!$Y:$AA,3,0)</f>
        <v>#N/A</v>
      </c>
      <c r="AE58" s="347" t="e">
        <f>VLOOKUP(form!J32,Лист1!$AC:$AE,3,0)</f>
        <v>#N/A</v>
      </c>
      <c r="AF58" s="348" t="e">
        <f>VLOOKUP(form!K32,Лист1!$AG:$AI,3,0)</f>
        <v>#N/A</v>
      </c>
      <c r="AG58" s="347" t="e">
        <f>VLOOKUP(CONCATENATE(form!L32,".",form!M32),Лист1!$AK$14:$AM$192,3,0)</f>
        <v>#N/A</v>
      </c>
      <c r="AH58" s="347" t="e">
        <f>VLOOKUP(CONCATENATE(form!L32,".",form!N32),Лист1!$AO$13:$AQ$127,3,0)</f>
        <v>#N/A</v>
      </c>
      <c r="AJ58" s="305" t="e">
        <f>VLOOKUP(CONCATENATE(form!C32,".",form!D32,".",form!H32),Лист1!$DD:$DH,5,0)</f>
        <v>#N/A</v>
      </c>
      <c r="AK58" s="305" t="e">
        <f>VLOOKUP(CONCATENATE(form!C32,".",form!J32),Лист1!$DJ:$DN,5,0)</f>
        <v>#N/A</v>
      </c>
      <c r="AL58" s="305" t="e">
        <f>VLOOKUP(CONCATENATE(form!C32,".",form!D32,".",form!K32),Лист1!$DP:$DT,5,0)</f>
        <v>#N/A</v>
      </c>
      <c r="AM58" s="306"/>
      <c r="AN58" s="305" t="e">
        <f>VLOOKUP(CONCATENATE(form!C32,".",form!L32),Лист1!$DV:$DZ,5,0)</f>
        <v>#N/A</v>
      </c>
      <c r="AO58" s="305" t="e">
        <f>VLOOKUP(CONCATENATE(form!C32,".",form!M32),Лист1!$EB:$EF,5,0)</f>
        <v>#N/A</v>
      </c>
      <c r="AP58" s="659"/>
      <c r="AQ58" s="307" t="str">
        <f t="shared" si="23"/>
        <v>0</v>
      </c>
      <c r="AR58" s="670" t="e">
        <f>VLOOKUP(CONCATENATE(form!C32,".",form!G32),Лист1!$EH:$EL,5,0)</f>
        <v>#N/A</v>
      </c>
      <c r="AS58" s="308" t="e">
        <f t="shared" si="7"/>
        <v>#N/A</v>
      </c>
      <c r="AU58" s="663">
        <f t="shared" si="24"/>
        <v>0</v>
      </c>
      <c r="AV58" s="309">
        <f t="shared" si="25"/>
        <v>0</v>
      </c>
      <c r="AX58" s="309"/>
    </row>
    <row r="59" spans="2:50" s="288" customFormat="1" ht="24.9" customHeight="1">
      <c r="B59" s="396">
        <v>5</v>
      </c>
      <c r="C59" s="616" t="str">
        <f t="shared" si="26"/>
        <v/>
      </c>
      <c r="D59" s="617" t="str">
        <f t="shared" si="27"/>
        <v/>
      </c>
      <c r="E59" s="489" t="str">
        <f>IF(OR(J59=0,J59=""),"",VLOOKUP(R59,Лист1!$M:$O,3,0))</f>
        <v/>
      </c>
      <c r="F59" s="349" t="str">
        <f t="shared" si="28"/>
        <v/>
      </c>
      <c r="G59" s="628" t="str">
        <f t="shared" si="29"/>
        <v/>
      </c>
      <c r="H59" s="350" t="str">
        <f t="shared" si="30"/>
        <v/>
      </c>
      <c r="J59" s="344">
        <f>form!R33</f>
        <v>0</v>
      </c>
      <c r="L59" s="290" t="str">
        <f t="shared" si="19"/>
        <v/>
      </c>
      <c r="M59" s="290" t="str">
        <f t="shared" si="20"/>
        <v/>
      </c>
      <c r="N59" s="290" t="str">
        <f t="shared" si="21"/>
        <v/>
      </c>
      <c r="O59" s="290" t="str">
        <f t="shared" si="22"/>
        <v/>
      </c>
      <c r="R59" s="345" t="e">
        <f>VLOOKUP(CONCATENATE(form!C33,".",form!D33),Лист1!$L:$N,2,0)</f>
        <v>#N/A</v>
      </c>
      <c r="S59" s="346" t="e">
        <f>VLOOKUP(CONCATENATE(form!C33,".",form!D33),Лист1!$Q:$S,2,0)</f>
        <v>#N/A</v>
      </c>
      <c r="T59" s="301" t="e">
        <f>VLOOKUP(CONCATENATE(form!E33,".",form!F33,".",form!G33),Лист1!$U:$W,2,0)</f>
        <v>#N/A</v>
      </c>
      <c r="U59" s="302" t="e">
        <f>VLOOKUP(form!I33,Лист1!$Y:$AA,2,0)</f>
        <v>#N/A</v>
      </c>
      <c r="V59" s="302" t="e">
        <f>VLOOKUP(form!J33,Лист1!$AC:$AE,2,0)</f>
        <v>#N/A</v>
      </c>
      <c r="W59" s="302" t="e">
        <f>VLOOKUP(form!K33,Лист1!$AG:$AI,2,0)</f>
        <v>#N/A</v>
      </c>
      <c r="X59" s="302" t="e">
        <f>VLOOKUP(CONCATENATE(form!L33,".",form!M33),Лист1!$AK$14:$AM$192,2,0)</f>
        <v>#N/A</v>
      </c>
      <c r="Y59" s="302" t="e">
        <f>VLOOKUP(CONCATENATE(form!L33,".",form!N33),Лист1!$AO$13:$AQ$127,2,0)</f>
        <v>#N/A</v>
      </c>
      <c r="AA59" s="290" t="e">
        <f>VLOOKUP(CONCATENATE(form!C33,".",form!D33),Лист1!$L:$N,3,0)</f>
        <v>#N/A</v>
      </c>
      <c r="AB59" s="290" t="e">
        <f>VLOOKUP(CONCATENATE(form!C33,".",form!D33),Лист1!$Q:$S,3,0)</f>
        <v>#N/A</v>
      </c>
      <c r="AC59" s="347" t="e">
        <f>VLOOKUP(CONCATENATE(form!E33,".",form!F33,".",form!G33),Лист1!$U:$W,3,0)</f>
        <v>#N/A</v>
      </c>
      <c r="AD59" s="347" t="e">
        <f>VLOOKUP(form!I33,Лист1!$Y:$AA,3,0)</f>
        <v>#N/A</v>
      </c>
      <c r="AE59" s="347" t="e">
        <f>VLOOKUP(form!J33,Лист1!$AC:$AE,3,0)</f>
        <v>#N/A</v>
      </c>
      <c r="AF59" s="348" t="e">
        <f>VLOOKUP(form!K33,Лист1!$AG:$AI,3,0)</f>
        <v>#N/A</v>
      </c>
      <c r="AG59" s="347" t="e">
        <f>VLOOKUP(CONCATENATE(form!L33,".",form!M33),Лист1!$AK$14:$AM$192,3,0)</f>
        <v>#N/A</v>
      </c>
      <c r="AH59" s="347" t="e">
        <f>VLOOKUP(CONCATENATE(form!L33,".",form!N33),Лист1!$AO$13:$AQ$127,3,0)</f>
        <v>#N/A</v>
      </c>
      <c r="AJ59" s="305" t="e">
        <f>VLOOKUP(CONCATENATE(form!C33,".",form!D33,".",form!H33),Лист1!$DD:$DH,5,0)</f>
        <v>#N/A</v>
      </c>
      <c r="AK59" s="305" t="e">
        <f>VLOOKUP(CONCATENATE(form!C33,".",form!J33),Лист1!$DJ:$DN,5,0)</f>
        <v>#N/A</v>
      </c>
      <c r="AL59" s="305" t="e">
        <f>VLOOKUP(CONCATENATE(form!C33,".",form!D33,".",form!K33),Лист1!$DP:$DT,5,0)</f>
        <v>#N/A</v>
      </c>
      <c r="AM59" s="306"/>
      <c r="AN59" s="305" t="e">
        <f>VLOOKUP(CONCATENATE(form!C33,".",form!L33),Лист1!$DV:$DZ,5,0)</f>
        <v>#N/A</v>
      </c>
      <c r="AO59" s="305" t="e">
        <f>VLOOKUP(CONCATENATE(form!C33,".",form!M33),Лист1!$EB:$EF,5,0)</f>
        <v>#N/A</v>
      </c>
      <c r="AP59" s="659"/>
      <c r="AQ59" s="307" t="str">
        <f t="shared" si="23"/>
        <v>0</v>
      </c>
      <c r="AR59" s="670" t="e">
        <f>VLOOKUP(CONCATENATE(form!C33,".",form!G33),Лист1!$EH:$EL,5,0)</f>
        <v>#N/A</v>
      </c>
      <c r="AS59" s="308" t="e">
        <f t="shared" si="7"/>
        <v>#N/A</v>
      </c>
      <c r="AU59" s="663">
        <f t="shared" si="24"/>
        <v>0</v>
      </c>
      <c r="AV59" s="309">
        <f t="shared" si="25"/>
        <v>0</v>
      </c>
      <c r="AX59" s="309"/>
    </row>
    <row r="60" spans="2:50" s="288" customFormat="1" ht="24.9" customHeight="1">
      <c r="B60" s="396">
        <v>6</v>
      </c>
      <c r="C60" s="616" t="str">
        <f t="shared" si="26"/>
        <v/>
      </c>
      <c r="D60" s="617" t="str">
        <f t="shared" si="27"/>
        <v/>
      </c>
      <c r="E60" s="489" t="str">
        <f>IF(OR(J60=0,J60=""),"",VLOOKUP(R60,Лист1!$M:$O,3,0))</f>
        <v/>
      </c>
      <c r="F60" s="349" t="str">
        <f t="shared" si="28"/>
        <v/>
      </c>
      <c r="G60" s="628" t="str">
        <f t="shared" si="29"/>
        <v/>
      </c>
      <c r="H60" s="350" t="str">
        <f t="shared" si="30"/>
        <v/>
      </c>
      <c r="J60" s="344">
        <f>form!R34</f>
        <v>0</v>
      </c>
      <c r="L60" s="290" t="str">
        <f t="shared" si="19"/>
        <v/>
      </c>
      <c r="M60" s="290" t="str">
        <f t="shared" si="20"/>
        <v/>
      </c>
      <c r="N60" s="290" t="str">
        <f t="shared" si="21"/>
        <v/>
      </c>
      <c r="O60" s="290" t="str">
        <f t="shared" si="22"/>
        <v/>
      </c>
      <c r="R60" s="345" t="e">
        <f>VLOOKUP(CONCATENATE(form!C34,".",form!D34),Лист1!$L:$N,2,0)</f>
        <v>#N/A</v>
      </c>
      <c r="S60" s="346" t="e">
        <f>VLOOKUP(CONCATENATE(form!C34,".",form!D34),Лист1!$Q:$S,2,0)</f>
        <v>#N/A</v>
      </c>
      <c r="T60" s="301" t="e">
        <f>VLOOKUP(CONCATENATE(form!E34,".",form!F34,".",form!G34),Лист1!$U:$W,2,0)</f>
        <v>#N/A</v>
      </c>
      <c r="U60" s="302" t="e">
        <f>VLOOKUP(form!I34,Лист1!$Y:$AA,2,0)</f>
        <v>#N/A</v>
      </c>
      <c r="V60" s="302" t="e">
        <f>VLOOKUP(form!J34,Лист1!$AC:$AE,2,0)</f>
        <v>#N/A</v>
      </c>
      <c r="W60" s="302" t="e">
        <f>VLOOKUP(form!K34,Лист1!$AG:$AI,2,0)</f>
        <v>#N/A</v>
      </c>
      <c r="X60" s="302" t="e">
        <f>VLOOKUP(CONCATENATE(form!L34,".",form!M34),Лист1!$AK$14:$AM$192,2,0)</f>
        <v>#N/A</v>
      </c>
      <c r="Y60" s="302" t="e">
        <f>VLOOKUP(CONCATENATE(form!L34,".",form!N34),Лист1!$AO$13:$AQ$127,2,0)</f>
        <v>#N/A</v>
      </c>
      <c r="AA60" s="290" t="e">
        <f>VLOOKUP(CONCATENATE(form!C34,".",form!D34),Лист1!$L:$N,3,0)</f>
        <v>#N/A</v>
      </c>
      <c r="AB60" s="290" t="e">
        <f>VLOOKUP(CONCATENATE(form!C34,".",form!D34),Лист1!$Q:$S,3,0)</f>
        <v>#N/A</v>
      </c>
      <c r="AC60" s="347" t="e">
        <f>VLOOKUP(CONCATENATE(form!E34,".",form!F34,".",form!G34),Лист1!$U:$W,3,0)</f>
        <v>#N/A</v>
      </c>
      <c r="AD60" s="347" t="e">
        <f>VLOOKUP(form!I34,Лист1!$Y:$AA,3,0)</f>
        <v>#N/A</v>
      </c>
      <c r="AE60" s="347" t="e">
        <f>VLOOKUP(form!J34,Лист1!$AC:$AE,3,0)</f>
        <v>#N/A</v>
      </c>
      <c r="AF60" s="348" t="e">
        <f>VLOOKUP(form!K34,Лист1!$AG:$AI,3,0)</f>
        <v>#N/A</v>
      </c>
      <c r="AG60" s="347" t="e">
        <f>VLOOKUP(CONCATENATE(form!L34,".",form!M34),Лист1!$AK$14:$AM$192,3,0)</f>
        <v>#N/A</v>
      </c>
      <c r="AH60" s="347" t="e">
        <f>VLOOKUP(CONCATENATE(form!L34,".",form!N34),Лист1!$AO$13:$AQ$127,3,0)</f>
        <v>#N/A</v>
      </c>
      <c r="AJ60" s="305" t="e">
        <f>VLOOKUP(CONCATENATE(form!C34,".",form!D34,".",form!H34),Лист1!$DD:$DH,5,0)</f>
        <v>#N/A</v>
      </c>
      <c r="AK60" s="305" t="e">
        <f>VLOOKUP(CONCATENATE(form!C34,".",form!J34),Лист1!$DJ:$DN,5,0)</f>
        <v>#N/A</v>
      </c>
      <c r="AL60" s="305" t="e">
        <f>VLOOKUP(CONCATENATE(form!C34,".",form!D34,".",form!K34),Лист1!$DP:$DT,5,0)</f>
        <v>#N/A</v>
      </c>
      <c r="AM60" s="306"/>
      <c r="AN60" s="305" t="e">
        <f>VLOOKUP(CONCATENATE(form!C34,".",form!L34),Лист1!$DV:$DZ,5,0)</f>
        <v>#N/A</v>
      </c>
      <c r="AO60" s="305" t="e">
        <f>VLOOKUP(CONCATENATE(form!C34,".",form!M34),Лист1!$EB:$EF,5,0)</f>
        <v>#N/A</v>
      </c>
      <c r="AP60" s="659"/>
      <c r="AQ60" s="307" t="str">
        <f t="shared" si="23"/>
        <v>0</v>
      </c>
      <c r="AR60" s="670" t="e">
        <f>VLOOKUP(CONCATENATE(form!C34,".",form!G34),Лист1!$EH:$EL,5,0)</f>
        <v>#N/A</v>
      </c>
      <c r="AS60" s="308" t="e">
        <f t="shared" si="7"/>
        <v>#N/A</v>
      </c>
      <c r="AU60" s="663">
        <f t="shared" si="24"/>
        <v>0</v>
      </c>
      <c r="AV60" s="309">
        <f t="shared" si="25"/>
        <v>0</v>
      </c>
      <c r="AX60" s="309"/>
    </row>
    <row r="61" spans="2:50" s="288" customFormat="1" ht="24.9" customHeight="1">
      <c r="B61" s="396">
        <v>7</v>
      </c>
      <c r="C61" s="616" t="str">
        <f t="shared" si="26"/>
        <v/>
      </c>
      <c r="D61" s="617" t="str">
        <f t="shared" si="27"/>
        <v/>
      </c>
      <c r="E61" s="489" t="str">
        <f>IF(OR(J61=0,J61=""),"",VLOOKUP(R61,Лист1!$M:$O,3,0))</f>
        <v/>
      </c>
      <c r="F61" s="349" t="str">
        <f t="shared" si="28"/>
        <v/>
      </c>
      <c r="G61" s="628" t="str">
        <f t="shared" si="29"/>
        <v/>
      </c>
      <c r="H61" s="350" t="str">
        <f t="shared" si="30"/>
        <v/>
      </c>
      <c r="J61" s="344">
        <f>form!R35</f>
        <v>0</v>
      </c>
      <c r="L61" s="290" t="str">
        <f t="shared" si="19"/>
        <v/>
      </c>
      <c r="M61" s="290" t="str">
        <f t="shared" si="20"/>
        <v/>
      </c>
      <c r="N61" s="290" t="str">
        <f t="shared" si="21"/>
        <v/>
      </c>
      <c r="O61" s="290" t="str">
        <f t="shared" si="22"/>
        <v/>
      </c>
      <c r="R61" s="345" t="e">
        <f>VLOOKUP(CONCATENATE(form!C35,".",form!D35),Лист1!$L:$N,2,0)</f>
        <v>#N/A</v>
      </c>
      <c r="S61" s="346" t="e">
        <f>VLOOKUP(CONCATENATE(form!C35,".",form!D35),Лист1!$Q:$S,2,0)</f>
        <v>#N/A</v>
      </c>
      <c r="T61" s="301" t="e">
        <f>VLOOKUP(CONCATENATE(form!E35,".",form!F35,".",form!G35),Лист1!$U:$W,2,0)</f>
        <v>#N/A</v>
      </c>
      <c r="U61" s="302" t="e">
        <f>VLOOKUP(form!I35,Лист1!$Y:$AA,2,0)</f>
        <v>#N/A</v>
      </c>
      <c r="V61" s="302" t="e">
        <f>VLOOKUP(form!J35,Лист1!$AC:$AE,2,0)</f>
        <v>#N/A</v>
      </c>
      <c r="W61" s="302" t="e">
        <f>VLOOKUP(form!K35,Лист1!$AG:$AI,2,0)</f>
        <v>#N/A</v>
      </c>
      <c r="X61" s="302" t="e">
        <f>VLOOKUP(CONCATENATE(form!L35,".",form!M35),Лист1!$AK$14:$AM$192,2,0)</f>
        <v>#N/A</v>
      </c>
      <c r="Y61" s="302" t="e">
        <f>VLOOKUP(CONCATENATE(form!L35,".",form!N35),Лист1!$AO$13:$AQ$127,2,0)</f>
        <v>#N/A</v>
      </c>
      <c r="AA61" s="290" t="e">
        <f>VLOOKUP(CONCATENATE(form!C35,".",form!D35),Лист1!$L:$N,3,0)</f>
        <v>#N/A</v>
      </c>
      <c r="AB61" s="290" t="e">
        <f>VLOOKUP(CONCATENATE(form!C35,".",form!D35),Лист1!$Q:$S,3,0)</f>
        <v>#N/A</v>
      </c>
      <c r="AC61" s="347" t="e">
        <f>VLOOKUP(CONCATENATE(form!E35,".",form!F35,".",form!G35),Лист1!$U:$W,3,0)</f>
        <v>#N/A</v>
      </c>
      <c r="AD61" s="347" t="e">
        <f>VLOOKUP(form!I35,Лист1!$Y:$AA,3,0)</f>
        <v>#N/A</v>
      </c>
      <c r="AE61" s="347" t="e">
        <f>VLOOKUP(form!J35,Лист1!$AC:$AE,3,0)</f>
        <v>#N/A</v>
      </c>
      <c r="AF61" s="348" t="e">
        <f>VLOOKUP(form!K35,Лист1!$AG:$AI,3,0)</f>
        <v>#N/A</v>
      </c>
      <c r="AG61" s="347" t="e">
        <f>VLOOKUP(CONCATENATE(form!L35,".",form!M35),Лист1!$AK$14:$AM$192,3,0)</f>
        <v>#N/A</v>
      </c>
      <c r="AH61" s="347" t="e">
        <f>VLOOKUP(CONCATENATE(form!L35,".",form!N35),Лист1!$AO$13:$AQ$127,3,0)</f>
        <v>#N/A</v>
      </c>
      <c r="AJ61" s="305" t="e">
        <f>VLOOKUP(CONCATENATE(form!C35,".",form!D35,".",form!H35),Лист1!$DD:$DH,5,0)</f>
        <v>#N/A</v>
      </c>
      <c r="AK61" s="305" t="e">
        <f>VLOOKUP(CONCATENATE(form!C35,".",form!J35),Лист1!$DJ:$DN,5,0)</f>
        <v>#N/A</v>
      </c>
      <c r="AL61" s="305" t="e">
        <f>VLOOKUP(CONCATENATE(form!C35,".",form!D35,".",form!K35),Лист1!$DP:$DT,5,0)</f>
        <v>#N/A</v>
      </c>
      <c r="AM61" s="306"/>
      <c r="AN61" s="305" t="e">
        <f>VLOOKUP(CONCATENATE(form!C35,".",form!L35),Лист1!$DV:$DZ,5,0)</f>
        <v>#N/A</v>
      </c>
      <c r="AO61" s="305" t="e">
        <f>VLOOKUP(CONCATENATE(form!C35,".",form!M35),Лист1!$EB:$EF,5,0)</f>
        <v>#N/A</v>
      </c>
      <c r="AP61" s="659"/>
      <c r="AQ61" s="307" t="str">
        <f t="shared" si="23"/>
        <v>0</v>
      </c>
      <c r="AR61" s="670" t="e">
        <f>VLOOKUP(CONCATENATE(form!C35,".",form!G35),Лист1!$EH:$EL,5,0)</f>
        <v>#N/A</v>
      </c>
      <c r="AS61" s="308" t="e">
        <f t="shared" si="7"/>
        <v>#N/A</v>
      </c>
      <c r="AU61" s="663">
        <f t="shared" si="24"/>
        <v>0</v>
      </c>
      <c r="AV61" s="309">
        <f t="shared" si="25"/>
        <v>0</v>
      </c>
      <c r="AX61" s="309"/>
    </row>
    <row r="62" spans="2:50" s="288" customFormat="1" ht="24.9" customHeight="1">
      <c r="B62" s="396">
        <v>8</v>
      </c>
      <c r="C62" s="616" t="str">
        <f t="shared" si="26"/>
        <v/>
      </c>
      <c r="D62" s="617" t="str">
        <f t="shared" si="27"/>
        <v/>
      </c>
      <c r="E62" s="489" t="str">
        <f>IF(OR(J62=0,J62=""),"",VLOOKUP(R62,Лист1!$M:$O,3,0))</f>
        <v/>
      </c>
      <c r="F62" s="349" t="str">
        <f t="shared" si="28"/>
        <v/>
      </c>
      <c r="G62" s="628" t="str">
        <f t="shared" si="29"/>
        <v/>
      </c>
      <c r="H62" s="350" t="str">
        <f t="shared" si="30"/>
        <v/>
      </c>
      <c r="J62" s="344">
        <f>form!R36</f>
        <v>0</v>
      </c>
      <c r="L62" s="290" t="str">
        <f t="shared" si="19"/>
        <v/>
      </c>
      <c r="M62" s="290" t="str">
        <f t="shared" si="20"/>
        <v/>
      </c>
      <c r="N62" s="290" t="str">
        <f t="shared" si="21"/>
        <v/>
      </c>
      <c r="O62" s="290" t="str">
        <f t="shared" si="22"/>
        <v/>
      </c>
      <c r="R62" s="345" t="e">
        <f>VLOOKUP(CONCATENATE(form!C36,".",form!D36),Лист1!$L:$N,2,0)</f>
        <v>#N/A</v>
      </c>
      <c r="S62" s="346" t="e">
        <f>VLOOKUP(CONCATENATE(form!C36,".",form!D36),Лист1!$Q:$S,2,0)</f>
        <v>#N/A</v>
      </c>
      <c r="T62" s="301" t="e">
        <f>VLOOKUP(CONCATENATE(form!E36,".",form!F36,".",form!G36),Лист1!$U:$W,2,0)</f>
        <v>#N/A</v>
      </c>
      <c r="U62" s="302" t="e">
        <f>VLOOKUP(form!I36,Лист1!$Y:$AA,2,0)</f>
        <v>#N/A</v>
      </c>
      <c r="V62" s="302" t="e">
        <f>VLOOKUP(form!J36,Лист1!$AC:$AE,2,0)</f>
        <v>#N/A</v>
      </c>
      <c r="W62" s="302" t="e">
        <f>VLOOKUP(form!K36,Лист1!$AG:$AI,2,0)</f>
        <v>#N/A</v>
      </c>
      <c r="X62" s="302" t="e">
        <f>VLOOKUP(CONCATENATE(form!L36,".",form!M36),Лист1!$AK$14:$AM$192,2,0)</f>
        <v>#N/A</v>
      </c>
      <c r="Y62" s="302" t="e">
        <f>VLOOKUP(CONCATENATE(form!L36,".",form!N36),Лист1!$AO$13:$AQ$127,2,0)</f>
        <v>#N/A</v>
      </c>
      <c r="AA62" s="290" t="e">
        <f>VLOOKUP(CONCATENATE(form!C36,".",form!D36),Лист1!$L:$N,3,0)</f>
        <v>#N/A</v>
      </c>
      <c r="AB62" s="290" t="e">
        <f>VLOOKUP(CONCATENATE(form!C36,".",form!D36),Лист1!$Q:$S,3,0)</f>
        <v>#N/A</v>
      </c>
      <c r="AC62" s="347" t="e">
        <f>VLOOKUP(CONCATENATE(form!E36,".",form!F36,".",form!G36),Лист1!$U:$W,3,0)</f>
        <v>#N/A</v>
      </c>
      <c r="AD62" s="347" t="e">
        <f>VLOOKUP(form!I36,Лист1!$Y:$AA,3,0)</f>
        <v>#N/A</v>
      </c>
      <c r="AE62" s="347" t="e">
        <f>VLOOKUP(form!J36,Лист1!$AC:$AE,3,0)</f>
        <v>#N/A</v>
      </c>
      <c r="AF62" s="348" t="e">
        <f>VLOOKUP(form!K36,Лист1!$AG:$AI,3,0)</f>
        <v>#N/A</v>
      </c>
      <c r="AG62" s="347" t="e">
        <f>VLOOKUP(CONCATENATE(form!L36,".",form!M36),Лист1!$AK$14:$AM$192,3,0)</f>
        <v>#N/A</v>
      </c>
      <c r="AH62" s="347" t="e">
        <f>VLOOKUP(CONCATENATE(form!L36,".",form!N36),Лист1!$AO$13:$AQ$127,3,0)</f>
        <v>#N/A</v>
      </c>
      <c r="AJ62" s="305" t="e">
        <f>VLOOKUP(CONCATENATE(form!C36,".",form!D36,".",form!H36),Лист1!$DD:$DH,5,0)</f>
        <v>#N/A</v>
      </c>
      <c r="AK62" s="305" t="e">
        <f>VLOOKUP(CONCATENATE(form!C36,".",form!J36),Лист1!$DJ:$DN,5,0)</f>
        <v>#N/A</v>
      </c>
      <c r="AL62" s="305" t="e">
        <f>VLOOKUP(CONCATENATE(form!C36,".",form!D36,".",form!K36),Лист1!$DP:$DT,5,0)</f>
        <v>#N/A</v>
      </c>
      <c r="AM62" s="306"/>
      <c r="AN62" s="305" t="e">
        <f>VLOOKUP(CONCATENATE(form!C36,".",form!L36),Лист1!$DV:$DZ,5,0)</f>
        <v>#N/A</v>
      </c>
      <c r="AO62" s="305" t="e">
        <f>VLOOKUP(CONCATENATE(form!C36,".",form!M36),Лист1!$EB:$EF,5,0)</f>
        <v>#N/A</v>
      </c>
      <c r="AP62" s="659"/>
      <c r="AQ62" s="307" t="str">
        <f t="shared" si="23"/>
        <v>0</v>
      </c>
      <c r="AR62" s="670" t="e">
        <f>VLOOKUP(CONCATENATE(form!C36,".",form!G36),Лист1!$EH:$EL,5,0)</f>
        <v>#N/A</v>
      </c>
      <c r="AS62" s="308" t="e">
        <f t="shared" si="7"/>
        <v>#N/A</v>
      </c>
      <c r="AU62" s="663">
        <f t="shared" si="24"/>
        <v>0</v>
      </c>
      <c r="AV62" s="309">
        <f t="shared" si="25"/>
        <v>0</v>
      </c>
      <c r="AX62" s="309"/>
    </row>
    <row r="63" spans="2:50" s="288" customFormat="1" ht="24.9" customHeight="1">
      <c r="B63" s="396">
        <v>9</v>
      </c>
      <c r="C63" s="616" t="str">
        <f t="shared" si="26"/>
        <v/>
      </c>
      <c r="D63" s="617" t="str">
        <f t="shared" si="27"/>
        <v/>
      </c>
      <c r="E63" s="489" t="str">
        <f>IF(OR(J63=0,J63=""),"",VLOOKUP(R63,Лист1!$M:$O,3,0))</f>
        <v/>
      </c>
      <c r="F63" s="349" t="str">
        <f t="shared" si="28"/>
        <v/>
      </c>
      <c r="G63" s="628" t="str">
        <f t="shared" si="29"/>
        <v/>
      </c>
      <c r="H63" s="350" t="str">
        <f t="shared" si="30"/>
        <v/>
      </c>
      <c r="J63" s="344">
        <f>form!R37</f>
        <v>0</v>
      </c>
      <c r="L63" s="290" t="str">
        <f t="shared" si="19"/>
        <v/>
      </c>
      <c r="M63" s="290" t="str">
        <f t="shared" si="20"/>
        <v/>
      </c>
      <c r="N63" s="290" t="str">
        <f t="shared" si="21"/>
        <v/>
      </c>
      <c r="O63" s="290" t="str">
        <f t="shared" si="22"/>
        <v/>
      </c>
      <c r="R63" s="345" t="e">
        <f>VLOOKUP(CONCATENATE(form!C37,".",form!D37),Лист1!$L:$N,2,0)</f>
        <v>#N/A</v>
      </c>
      <c r="S63" s="346" t="e">
        <f>VLOOKUP(CONCATENATE(form!C37,".",form!D37),Лист1!$Q:$S,2,0)</f>
        <v>#N/A</v>
      </c>
      <c r="T63" s="301" t="e">
        <f>VLOOKUP(CONCATENATE(form!E37,".",form!F37,".",form!G37),Лист1!$U:$W,2,0)</f>
        <v>#N/A</v>
      </c>
      <c r="U63" s="302" t="e">
        <f>VLOOKUP(form!I37,Лист1!$Y:$AA,2,0)</f>
        <v>#N/A</v>
      </c>
      <c r="V63" s="302" t="e">
        <f>VLOOKUP(form!J37,Лист1!$AC:$AE,2,0)</f>
        <v>#N/A</v>
      </c>
      <c r="W63" s="302" t="e">
        <f>VLOOKUP(form!K37,Лист1!$AG:$AI,2,0)</f>
        <v>#N/A</v>
      </c>
      <c r="X63" s="302" t="e">
        <f>VLOOKUP(CONCATENATE(form!L37,".",form!M37),Лист1!$AK$14:$AM$192,2,0)</f>
        <v>#N/A</v>
      </c>
      <c r="Y63" s="302" t="e">
        <f>VLOOKUP(CONCATENATE(form!L37,".",form!N37),Лист1!$AO$13:$AQ$127,2,0)</f>
        <v>#N/A</v>
      </c>
      <c r="AA63" s="290" t="e">
        <f>VLOOKUP(CONCATENATE(form!C37,".",form!D37),Лист1!$L:$N,3,0)</f>
        <v>#N/A</v>
      </c>
      <c r="AB63" s="290" t="e">
        <f>VLOOKUP(CONCATENATE(form!C37,".",form!D37),Лист1!$Q:$S,3,0)</f>
        <v>#N/A</v>
      </c>
      <c r="AC63" s="347" t="e">
        <f>VLOOKUP(CONCATENATE(form!E37,".",form!F37,".",form!G37),Лист1!$U:$W,3,0)</f>
        <v>#N/A</v>
      </c>
      <c r="AD63" s="347" t="e">
        <f>VLOOKUP(form!I37,Лист1!$Y:$AA,3,0)</f>
        <v>#N/A</v>
      </c>
      <c r="AE63" s="347" t="e">
        <f>VLOOKUP(form!J37,Лист1!$AC:$AE,3,0)</f>
        <v>#N/A</v>
      </c>
      <c r="AF63" s="348" t="e">
        <f>VLOOKUP(form!K37,Лист1!$AG:$AI,3,0)</f>
        <v>#N/A</v>
      </c>
      <c r="AG63" s="347" t="e">
        <f>VLOOKUP(CONCATENATE(form!L37,".",form!M37),Лист1!$AK$14:$AM$192,3,0)</f>
        <v>#N/A</v>
      </c>
      <c r="AH63" s="347" t="e">
        <f>VLOOKUP(CONCATENATE(form!L37,".",form!N37),Лист1!$AO$13:$AQ$127,3,0)</f>
        <v>#N/A</v>
      </c>
      <c r="AJ63" s="305" t="e">
        <f>VLOOKUP(CONCATENATE(form!C37,".",form!D37,".",form!H37),Лист1!$DD:$DH,5,0)</f>
        <v>#N/A</v>
      </c>
      <c r="AK63" s="305" t="e">
        <f>VLOOKUP(CONCATENATE(form!C37,".",form!J37),Лист1!$DJ:$DN,5,0)</f>
        <v>#N/A</v>
      </c>
      <c r="AL63" s="305" t="e">
        <f>VLOOKUP(CONCATENATE(form!C37,".",form!D37,".",form!K37),Лист1!$DP:$DT,5,0)</f>
        <v>#N/A</v>
      </c>
      <c r="AM63" s="306"/>
      <c r="AN63" s="305" t="e">
        <f>VLOOKUP(CONCATENATE(form!C37,".",form!L37),Лист1!$DV:$DZ,5,0)</f>
        <v>#N/A</v>
      </c>
      <c r="AO63" s="305" t="e">
        <f>VLOOKUP(CONCATENATE(form!C37,".",form!M37),Лист1!$EB:$EF,5,0)</f>
        <v>#N/A</v>
      </c>
      <c r="AP63" s="659"/>
      <c r="AQ63" s="307" t="str">
        <f t="shared" si="23"/>
        <v>0</v>
      </c>
      <c r="AR63" s="670" t="e">
        <f>VLOOKUP(CONCATENATE(form!C37,".",form!G37),Лист1!$EH:$EL,5,0)</f>
        <v>#N/A</v>
      </c>
      <c r="AS63" s="308" t="e">
        <f t="shared" si="7"/>
        <v>#N/A</v>
      </c>
      <c r="AU63" s="663">
        <f t="shared" si="24"/>
        <v>0</v>
      </c>
      <c r="AV63" s="309">
        <f t="shared" si="25"/>
        <v>0</v>
      </c>
      <c r="AX63" s="309"/>
    </row>
    <row r="64" spans="2:50" s="288" customFormat="1" ht="24.9" customHeight="1">
      <c r="B64" s="396">
        <v>10</v>
      </c>
      <c r="C64" s="616" t="str">
        <f t="shared" si="26"/>
        <v/>
      </c>
      <c r="D64" s="617" t="str">
        <f t="shared" si="27"/>
        <v/>
      </c>
      <c r="E64" s="489" t="str">
        <f>IF(OR(J64=0,J64=""),"",VLOOKUP(R64,Лист1!$M:$O,3,0))</f>
        <v/>
      </c>
      <c r="F64" s="349" t="str">
        <f t="shared" si="28"/>
        <v/>
      </c>
      <c r="G64" s="628" t="str">
        <f t="shared" si="29"/>
        <v/>
      </c>
      <c r="H64" s="350" t="str">
        <f t="shared" si="30"/>
        <v/>
      </c>
      <c r="J64" s="344">
        <f>form!R38</f>
        <v>0</v>
      </c>
      <c r="L64" s="290" t="str">
        <f t="shared" si="19"/>
        <v/>
      </c>
      <c r="M64" s="290" t="str">
        <f t="shared" si="20"/>
        <v/>
      </c>
      <c r="N64" s="290" t="str">
        <f t="shared" si="21"/>
        <v/>
      </c>
      <c r="O64" s="290" t="str">
        <f t="shared" si="22"/>
        <v/>
      </c>
      <c r="R64" s="345" t="e">
        <f>VLOOKUP(CONCATENATE(form!C38,".",form!D38),Лист1!$L:$N,2,0)</f>
        <v>#N/A</v>
      </c>
      <c r="S64" s="346" t="e">
        <f>VLOOKUP(CONCATENATE(form!C38,".",form!D38),Лист1!$Q:$S,2,0)</f>
        <v>#N/A</v>
      </c>
      <c r="T64" s="301" t="e">
        <f>VLOOKUP(CONCATENATE(form!E38,".",form!F38,".",form!G38),Лист1!$U:$W,2,0)</f>
        <v>#N/A</v>
      </c>
      <c r="U64" s="302" t="e">
        <f>VLOOKUP(form!I38,Лист1!$Y:$AA,2,0)</f>
        <v>#N/A</v>
      </c>
      <c r="V64" s="302" t="e">
        <f>VLOOKUP(form!J38,Лист1!$AC:$AE,2,0)</f>
        <v>#N/A</v>
      </c>
      <c r="W64" s="302" t="e">
        <f>VLOOKUP(form!K38,Лист1!$AG:$AI,2,0)</f>
        <v>#N/A</v>
      </c>
      <c r="X64" s="302" t="e">
        <f>VLOOKUP(CONCATENATE(form!L38,".",form!M38),Лист1!$AK$14:$AM$192,2,0)</f>
        <v>#N/A</v>
      </c>
      <c r="Y64" s="302" t="e">
        <f>VLOOKUP(CONCATENATE(form!L38,".",form!N38),Лист1!$AO$13:$AQ$127,2,0)</f>
        <v>#N/A</v>
      </c>
      <c r="AA64" s="290" t="e">
        <f>VLOOKUP(CONCATENATE(form!C38,".",form!D38),Лист1!$L:$N,3,0)</f>
        <v>#N/A</v>
      </c>
      <c r="AB64" s="290" t="e">
        <f>VLOOKUP(CONCATENATE(form!C38,".",form!D38),Лист1!$Q:$S,3,0)</f>
        <v>#N/A</v>
      </c>
      <c r="AC64" s="347" t="e">
        <f>VLOOKUP(CONCATENATE(form!E38,".",form!F38,".",form!G38),Лист1!$U:$W,3,0)</f>
        <v>#N/A</v>
      </c>
      <c r="AD64" s="347" t="e">
        <f>VLOOKUP(form!I38,Лист1!$Y:$AA,3,0)</f>
        <v>#N/A</v>
      </c>
      <c r="AE64" s="347" t="e">
        <f>VLOOKUP(form!J38,Лист1!$AC:$AE,3,0)</f>
        <v>#N/A</v>
      </c>
      <c r="AF64" s="348" t="e">
        <f>VLOOKUP(form!K38,Лист1!$AG:$AI,3,0)</f>
        <v>#N/A</v>
      </c>
      <c r="AG64" s="347" t="e">
        <f>VLOOKUP(CONCATENATE(form!L38,".",form!M38),Лист1!$AK$14:$AM$192,3,0)</f>
        <v>#N/A</v>
      </c>
      <c r="AH64" s="347" t="e">
        <f>VLOOKUP(CONCATENATE(form!L38,".",form!N38),Лист1!$AO$13:$AQ$127,3,0)</f>
        <v>#N/A</v>
      </c>
      <c r="AJ64" s="305" t="e">
        <f>VLOOKUP(CONCATENATE(form!C38,".",form!D38,".",form!H38),Лист1!$DD:$DH,5,0)</f>
        <v>#N/A</v>
      </c>
      <c r="AK64" s="305" t="e">
        <f>VLOOKUP(CONCATENATE(form!C38,".",form!J38),Лист1!$DJ:$DN,5,0)</f>
        <v>#N/A</v>
      </c>
      <c r="AL64" s="305" t="e">
        <f>VLOOKUP(CONCATENATE(form!C38,".",form!D38,".",form!K38),Лист1!$DP:$DT,5,0)</f>
        <v>#N/A</v>
      </c>
      <c r="AM64" s="306"/>
      <c r="AN64" s="305" t="e">
        <f>VLOOKUP(CONCATENATE(form!C38,".",form!L38),Лист1!$DV:$DZ,5,0)</f>
        <v>#N/A</v>
      </c>
      <c r="AO64" s="305" t="e">
        <f>VLOOKUP(CONCATENATE(form!C38,".",form!M38),Лист1!$EB:$EF,5,0)</f>
        <v>#N/A</v>
      </c>
      <c r="AP64" s="659"/>
      <c r="AQ64" s="307" t="str">
        <f t="shared" si="23"/>
        <v>0</v>
      </c>
      <c r="AR64" s="670" t="e">
        <f>VLOOKUP(CONCATENATE(form!C38,".",form!G38),Лист1!$EH:$EL,5,0)</f>
        <v>#N/A</v>
      </c>
      <c r="AS64" s="308" t="e">
        <f t="shared" si="7"/>
        <v>#N/A</v>
      </c>
      <c r="AU64" s="663">
        <f t="shared" si="24"/>
        <v>0</v>
      </c>
      <c r="AV64" s="309">
        <f t="shared" si="25"/>
        <v>0</v>
      </c>
      <c r="AX64" s="309"/>
    </row>
    <row r="65" spans="2:50" s="288" customFormat="1" ht="24.9" customHeight="1">
      <c r="B65" s="396">
        <v>11</v>
      </c>
      <c r="C65" s="616" t="str">
        <f t="shared" si="26"/>
        <v/>
      </c>
      <c r="D65" s="617" t="str">
        <f t="shared" si="27"/>
        <v/>
      </c>
      <c r="E65" s="489" t="str">
        <f>IF(OR(J65=0,J65=""),"",VLOOKUP(R65,Лист1!$M:$O,3,0))</f>
        <v/>
      </c>
      <c r="F65" s="349" t="str">
        <f t="shared" si="28"/>
        <v/>
      </c>
      <c r="G65" s="628" t="str">
        <f t="shared" si="29"/>
        <v/>
      </c>
      <c r="H65" s="350" t="str">
        <f t="shared" si="30"/>
        <v/>
      </c>
      <c r="J65" s="344">
        <f>form!R39</f>
        <v>0</v>
      </c>
      <c r="L65" s="290" t="str">
        <f t="shared" si="19"/>
        <v/>
      </c>
      <c r="M65" s="290" t="str">
        <f t="shared" si="20"/>
        <v/>
      </c>
      <c r="N65" s="290" t="str">
        <f t="shared" si="21"/>
        <v/>
      </c>
      <c r="O65" s="290" t="str">
        <f t="shared" si="22"/>
        <v/>
      </c>
      <c r="R65" s="345" t="e">
        <f>VLOOKUP(CONCATENATE(form!C39,".",form!D39),Лист1!$L:$N,2,0)</f>
        <v>#N/A</v>
      </c>
      <c r="S65" s="346" t="e">
        <f>VLOOKUP(CONCATENATE(form!C39,".",form!D39),Лист1!$Q:$S,2,0)</f>
        <v>#N/A</v>
      </c>
      <c r="T65" s="301" t="e">
        <f>VLOOKUP(CONCATENATE(form!E39,".",form!F39,".",form!G39),Лист1!$U:$W,2,0)</f>
        <v>#N/A</v>
      </c>
      <c r="U65" s="302" t="e">
        <f>VLOOKUP(form!I39,Лист1!$Y:$AA,2,0)</f>
        <v>#N/A</v>
      </c>
      <c r="V65" s="302" t="e">
        <f>VLOOKUP(form!J39,Лист1!$AC:$AE,2,0)</f>
        <v>#N/A</v>
      </c>
      <c r="W65" s="302" t="e">
        <f>VLOOKUP(form!K39,Лист1!$AG:$AI,2,0)</f>
        <v>#N/A</v>
      </c>
      <c r="X65" s="302" t="e">
        <f>VLOOKUP(CONCATENATE(form!L39,".",form!M39),Лист1!$AK$14:$AM$192,2,0)</f>
        <v>#N/A</v>
      </c>
      <c r="Y65" s="302" t="e">
        <f>VLOOKUP(CONCATENATE(form!L39,".",form!N39),Лист1!$AO$13:$AQ$127,2,0)</f>
        <v>#N/A</v>
      </c>
      <c r="AA65" s="290" t="e">
        <f>VLOOKUP(CONCATENATE(form!C39,".",form!D39),Лист1!$L:$N,3,0)</f>
        <v>#N/A</v>
      </c>
      <c r="AB65" s="290" t="e">
        <f>VLOOKUP(CONCATENATE(form!C39,".",form!D39),Лист1!$Q:$S,3,0)</f>
        <v>#N/A</v>
      </c>
      <c r="AC65" s="347" t="e">
        <f>VLOOKUP(CONCATENATE(form!E39,".",form!F39,".",form!G39),Лист1!$U:$W,3,0)</f>
        <v>#N/A</v>
      </c>
      <c r="AD65" s="347" t="e">
        <f>VLOOKUP(form!I39,Лист1!$Y:$AA,3,0)</f>
        <v>#N/A</v>
      </c>
      <c r="AE65" s="347" t="e">
        <f>VLOOKUP(form!J39,Лист1!$AC:$AE,3,0)</f>
        <v>#N/A</v>
      </c>
      <c r="AF65" s="348" t="e">
        <f>VLOOKUP(form!K39,Лист1!$AG:$AI,3,0)</f>
        <v>#N/A</v>
      </c>
      <c r="AG65" s="347" t="e">
        <f>VLOOKUP(CONCATENATE(form!L39,".",form!M39),Лист1!$AK$14:$AM$192,3,0)</f>
        <v>#N/A</v>
      </c>
      <c r="AH65" s="347" t="e">
        <f>VLOOKUP(CONCATENATE(form!L39,".",form!N39),Лист1!$AO$13:$AQ$127,3,0)</f>
        <v>#N/A</v>
      </c>
      <c r="AJ65" s="305" t="e">
        <f>VLOOKUP(CONCATENATE(form!C39,".",form!D39,".",form!H39),Лист1!$DD:$DH,5,0)</f>
        <v>#N/A</v>
      </c>
      <c r="AK65" s="305" t="e">
        <f>VLOOKUP(CONCATENATE(form!C39,".",form!J39),Лист1!$DJ:$DN,5,0)</f>
        <v>#N/A</v>
      </c>
      <c r="AL65" s="305" t="e">
        <f>VLOOKUP(CONCATENATE(form!C39,".",form!D39,".",form!K39),Лист1!$DP:$DT,5,0)</f>
        <v>#N/A</v>
      </c>
      <c r="AM65" s="306"/>
      <c r="AN65" s="305" t="e">
        <f>VLOOKUP(CONCATENATE(form!C39,".",form!L39),Лист1!$DV:$DZ,5,0)</f>
        <v>#N/A</v>
      </c>
      <c r="AO65" s="305" t="e">
        <f>VLOOKUP(CONCATENATE(form!C39,".",form!M39),Лист1!$EB:$EF,5,0)</f>
        <v>#N/A</v>
      </c>
      <c r="AP65" s="659"/>
      <c r="AQ65" s="307" t="str">
        <f t="shared" si="23"/>
        <v>0</v>
      </c>
      <c r="AR65" s="670" t="e">
        <f>VLOOKUP(CONCATENATE(form!C39,".",form!G39),Лист1!$EH:$EL,5,0)</f>
        <v>#N/A</v>
      </c>
      <c r="AS65" s="308" t="e">
        <f t="shared" si="7"/>
        <v>#N/A</v>
      </c>
      <c r="AU65" s="663">
        <f t="shared" si="24"/>
        <v>0</v>
      </c>
      <c r="AV65" s="309">
        <f t="shared" si="25"/>
        <v>0</v>
      </c>
      <c r="AX65" s="309"/>
    </row>
    <row r="66" spans="2:50" s="288" customFormat="1" ht="24.9" customHeight="1">
      <c r="B66" s="396">
        <v>12</v>
      </c>
      <c r="C66" s="616" t="str">
        <f t="shared" si="26"/>
        <v/>
      </c>
      <c r="D66" s="617" t="str">
        <f t="shared" si="27"/>
        <v/>
      </c>
      <c r="E66" s="489" t="str">
        <f>IF(OR(J66=0,J66=""),"",VLOOKUP(R66,Лист1!$M:$O,3,0))</f>
        <v/>
      </c>
      <c r="F66" s="349" t="str">
        <f t="shared" si="28"/>
        <v/>
      </c>
      <c r="G66" s="628" t="str">
        <f t="shared" si="29"/>
        <v/>
      </c>
      <c r="H66" s="350" t="str">
        <f t="shared" si="30"/>
        <v/>
      </c>
      <c r="J66" s="344">
        <f>form!R40</f>
        <v>0</v>
      </c>
      <c r="L66" s="290" t="str">
        <f t="shared" si="19"/>
        <v/>
      </c>
      <c r="M66" s="290" t="str">
        <f t="shared" si="20"/>
        <v/>
      </c>
      <c r="N66" s="290" t="str">
        <f t="shared" si="21"/>
        <v/>
      </c>
      <c r="O66" s="290" t="str">
        <f t="shared" si="22"/>
        <v/>
      </c>
      <c r="R66" s="345" t="e">
        <f>VLOOKUP(CONCATENATE(form!C40,".",form!D40),Лист1!$L:$N,2,0)</f>
        <v>#N/A</v>
      </c>
      <c r="S66" s="346" t="e">
        <f>VLOOKUP(CONCATENATE(form!C40,".",form!D40),Лист1!$Q:$S,2,0)</f>
        <v>#N/A</v>
      </c>
      <c r="T66" s="301" t="e">
        <f>VLOOKUP(CONCATENATE(form!E40,".",form!F40,".",form!G40),Лист1!$U:$W,2,0)</f>
        <v>#N/A</v>
      </c>
      <c r="U66" s="302" t="e">
        <f>VLOOKUP(form!I40,Лист1!$Y:$AA,2,0)</f>
        <v>#N/A</v>
      </c>
      <c r="V66" s="302" t="e">
        <f>VLOOKUP(form!J40,Лист1!$AC:$AE,2,0)</f>
        <v>#N/A</v>
      </c>
      <c r="W66" s="302" t="e">
        <f>VLOOKUP(form!K40,Лист1!$AG:$AI,2,0)</f>
        <v>#N/A</v>
      </c>
      <c r="X66" s="302" t="e">
        <f>VLOOKUP(CONCATENATE(form!L40,".",form!M40),Лист1!$AK$14:$AM$192,2,0)</f>
        <v>#N/A</v>
      </c>
      <c r="Y66" s="302" t="e">
        <f>VLOOKUP(CONCATENATE(form!L40,".",form!N40),Лист1!$AO$13:$AQ$127,2,0)</f>
        <v>#N/A</v>
      </c>
      <c r="AA66" s="290" t="e">
        <f>VLOOKUP(CONCATENATE(form!C40,".",form!D40),Лист1!$L:$N,3,0)</f>
        <v>#N/A</v>
      </c>
      <c r="AB66" s="290" t="e">
        <f>VLOOKUP(CONCATENATE(form!C40,".",form!D40),Лист1!$Q:$S,3,0)</f>
        <v>#N/A</v>
      </c>
      <c r="AC66" s="347" t="e">
        <f>VLOOKUP(CONCATENATE(form!E40,".",form!F40,".",form!G40),Лист1!$U:$W,3,0)</f>
        <v>#N/A</v>
      </c>
      <c r="AD66" s="347" t="e">
        <f>VLOOKUP(form!I40,Лист1!$Y:$AA,3,0)</f>
        <v>#N/A</v>
      </c>
      <c r="AE66" s="347" t="e">
        <f>VLOOKUP(form!J40,Лист1!$AC:$AE,3,0)</f>
        <v>#N/A</v>
      </c>
      <c r="AF66" s="348" t="e">
        <f>VLOOKUP(form!K40,Лист1!$AG:$AI,3,0)</f>
        <v>#N/A</v>
      </c>
      <c r="AG66" s="347" t="e">
        <f>VLOOKUP(CONCATENATE(form!L40,".",form!M40),Лист1!$AK$14:$AM$192,3,0)</f>
        <v>#N/A</v>
      </c>
      <c r="AH66" s="347" t="e">
        <f>VLOOKUP(CONCATENATE(form!L40,".",form!N40),Лист1!$AO$13:$AQ$127,3,0)</f>
        <v>#N/A</v>
      </c>
      <c r="AJ66" s="305" t="e">
        <f>VLOOKUP(CONCATENATE(form!C40,".",form!D40,".",form!H40),Лист1!$DD:$DH,5,0)</f>
        <v>#N/A</v>
      </c>
      <c r="AK66" s="305" t="e">
        <f>VLOOKUP(CONCATENATE(form!C40,".",form!J40),Лист1!$DJ:$DN,5,0)</f>
        <v>#N/A</v>
      </c>
      <c r="AL66" s="305" t="e">
        <f>VLOOKUP(CONCATENATE(form!C40,".",form!D40,".",form!K40),Лист1!$DP:$DT,5,0)</f>
        <v>#N/A</v>
      </c>
      <c r="AM66" s="306"/>
      <c r="AN66" s="305" t="e">
        <f>VLOOKUP(CONCATENATE(form!C40,".",form!L40),Лист1!$DV:$DZ,5,0)</f>
        <v>#N/A</v>
      </c>
      <c r="AO66" s="305" t="e">
        <f>VLOOKUP(CONCATENATE(form!C40,".",form!M40),Лист1!$EB:$EF,5,0)</f>
        <v>#N/A</v>
      </c>
      <c r="AP66" s="659"/>
      <c r="AQ66" s="307" t="str">
        <f t="shared" si="23"/>
        <v>0</v>
      </c>
      <c r="AR66" s="670" t="e">
        <f>VLOOKUP(CONCATENATE(form!C40,".",form!G40),Лист1!$EH:$EL,5,0)</f>
        <v>#N/A</v>
      </c>
      <c r="AS66" s="308" t="e">
        <f t="shared" si="7"/>
        <v>#N/A</v>
      </c>
      <c r="AU66" s="663">
        <f t="shared" si="24"/>
        <v>0</v>
      </c>
      <c r="AV66" s="309">
        <f t="shared" si="25"/>
        <v>0</v>
      </c>
      <c r="AX66" s="309"/>
    </row>
    <row r="67" spans="2:50" s="288" customFormat="1" ht="24.9" customHeight="1">
      <c r="B67" s="396">
        <v>13</v>
      </c>
      <c r="C67" s="616" t="str">
        <f t="shared" si="26"/>
        <v/>
      </c>
      <c r="D67" s="617" t="str">
        <f t="shared" si="27"/>
        <v/>
      </c>
      <c r="E67" s="489" t="str">
        <f>IF(OR(J67=0,J67=""),"",VLOOKUP(R67,Лист1!$M:$O,3,0))</f>
        <v/>
      </c>
      <c r="F67" s="349" t="str">
        <f t="shared" si="28"/>
        <v/>
      </c>
      <c r="G67" s="628" t="str">
        <f t="shared" si="29"/>
        <v/>
      </c>
      <c r="H67" s="350" t="str">
        <f t="shared" si="30"/>
        <v/>
      </c>
      <c r="J67" s="344">
        <f>form!R41</f>
        <v>0</v>
      </c>
      <c r="L67" s="290" t="str">
        <f t="shared" si="19"/>
        <v/>
      </c>
      <c r="M67" s="290" t="str">
        <f t="shared" si="20"/>
        <v/>
      </c>
      <c r="N67" s="290" t="str">
        <f t="shared" si="21"/>
        <v/>
      </c>
      <c r="O67" s="290" t="str">
        <f t="shared" si="22"/>
        <v/>
      </c>
      <c r="R67" s="345" t="e">
        <f>VLOOKUP(CONCATENATE(form!C41,".",form!D41),Лист1!$L:$N,2,0)</f>
        <v>#N/A</v>
      </c>
      <c r="S67" s="346" t="e">
        <f>VLOOKUP(CONCATENATE(form!C41,".",form!D41),Лист1!$Q:$S,2,0)</f>
        <v>#N/A</v>
      </c>
      <c r="T67" s="301" t="e">
        <f>VLOOKUP(CONCATENATE(form!E41,".",form!F41,".",form!G41),Лист1!$U:$W,2,0)</f>
        <v>#N/A</v>
      </c>
      <c r="U67" s="302" t="e">
        <f>VLOOKUP(form!I41,Лист1!$Y:$AA,2,0)</f>
        <v>#N/A</v>
      </c>
      <c r="V67" s="302" t="e">
        <f>VLOOKUP(form!J41,Лист1!$AC:$AE,2,0)</f>
        <v>#N/A</v>
      </c>
      <c r="W67" s="302" t="e">
        <f>VLOOKUP(form!K41,Лист1!$AG:$AI,2,0)</f>
        <v>#N/A</v>
      </c>
      <c r="X67" s="302" t="e">
        <f>VLOOKUP(CONCATENATE(form!L41,".",form!M41),Лист1!$AK$14:$AM$192,2,0)</f>
        <v>#N/A</v>
      </c>
      <c r="Y67" s="302" t="e">
        <f>VLOOKUP(CONCATENATE(form!L41,".",form!N41),Лист1!$AO$13:$AQ$127,2,0)</f>
        <v>#N/A</v>
      </c>
      <c r="AA67" s="290" t="e">
        <f>VLOOKUP(CONCATENATE(form!C41,".",form!D41),Лист1!$L:$N,3,0)</f>
        <v>#N/A</v>
      </c>
      <c r="AB67" s="290" t="e">
        <f>VLOOKUP(CONCATENATE(form!C41,".",form!D41),Лист1!$Q:$S,3,0)</f>
        <v>#N/A</v>
      </c>
      <c r="AC67" s="347" t="e">
        <f>VLOOKUP(CONCATENATE(form!E41,".",form!F41,".",form!G41),Лист1!$U:$W,3,0)</f>
        <v>#N/A</v>
      </c>
      <c r="AD67" s="347" t="e">
        <f>VLOOKUP(form!I41,Лист1!$Y:$AA,3,0)</f>
        <v>#N/A</v>
      </c>
      <c r="AE67" s="347" t="e">
        <f>VLOOKUP(form!J41,Лист1!$AC:$AE,3,0)</f>
        <v>#N/A</v>
      </c>
      <c r="AF67" s="348" t="e">
        <f>VLOOKUP(form!K41,Лист1!$AG:$AI,3,0)</f>
        <v>#N/A</v>
      </c>
      <c r="AG67" s="347" t="e">
        <f>VLOOKUP(CONCATENATE(form!L41,".",form!M41),Лист1!$AK$14:$AM$192,3,0)</f>
        <v>#N/A</v>
      </c>
      <c r="AH67" s="347" t="e">
        <f>VLOOKUP(CONCATENATE(form!L41,".",form!N41),Лист1!$AO$13:$AQ$127,3,0)</f>
        <v>#N/A</v>
      </c>
      <c r="AJ67" s="305" t="e">
        <f>VLOOKUP(CONCATENATE(form!C41,".",form!D41,".",form!H41),Лист1!$DD:$DH,5,0)</f>
        <v>#N/A</v>
      </c>
      <c r="AK67" s="305" t="e">
        <f>VLOOKUP(CONCATENATE(form!C41,".",form!J41),Лист1!$DJ:$DN,5,0)</f>
        <v>#N/A</v>
      </c>
      <c r="AL67" s="305" t="e">
        <f>VLOOKUP(CONCATENATE(form!C41,".",form!D41,".",form!K41),Лист1!$DP:$DT,5,0)</f>
        <v>#N/A</v>
      </c>
      <c r="AM67" s="306"/>
      <c r="AN67" s="305" t="e">
        <f>VLOOKUP(CONCATENATE(form!C41,".",form!L41),Лист1!$DV:$DZ,5,0)</f>
        <v>#N/A</v>
      </c>
      <c r="AO67" s="305" t="e">
        <f>VLOOKUP(CONCATENATE(form!C41,".",form!M41),Лист1!$EB:$EF,5,0)</f>
        <v>#N/A</v>
      </c>
      <c r="AP67" s="659"/>
      <c r="AQ67" s="307" t="str">
        <f t="shared" si="23"/>
        <v>0</v>
      </c>
      <c r="AR67" s="670" t="e">
        <f>VLOOKUP(CONCATENATE(form!C41,".",form!G41),Лист1!$EH:$EL,5,0)</f>
        <v>#N/A</v>
      </c>
      <c r="AS67" s="308" t="e">
        <f t="shared" si="7"/>
        <v>#N/A</v>
      </c>
      <c r="AU67" s="663">
        <f t="shared" si="24"/>
        <v>0</v>
      </c>
      <c r="AV67" s="309">
        <f t="shared" si="25"/>
        <v>0</v>
      </c>
      <c r="AX67" s="309"/>
    </row>
    <row r="68" spans="2:50" s="288" customFormat="1" ht="24.9" customHeight="1">
      <c r="B68" s="396">
        <v>14</v>
      </c>
      <c r="C68" s="616" t="str">
        <f t="shared" si="26"/>
        <v/>
      </c>
      <c r="D68" s="617" t="str">
        <f t="shared" si="27"/>
        <v/>
      </c>
      <c r="E68" s="489" t="str">
        <f>IF(OR(J68=0,J68=""),"",VLOOKUP(R68,Лист1!$M:$O,3,0))</f>
        <v/>
      </c>
      <c r="F68" s="349" t="str">
        <f t="shared" si="28"/>
        <v/>
      </c>
      <c r="G68" s="628" t="str">
        <f t="shared" si="29"/>
        <v/>
      </c>
      <c r="H68" s="350" t="str">
        <f t="shared" si="30"/>
        <v/>
      </c>
      <c r="J68" s="344">
        <f>form!R42</f>
        <v>0</v>
      </c>
      <c r="L68" s="290" t="str">
        <f t="shared" si="19"/>
        <v/>
      </c>
      <c r="M68" s="290" t="str">
        <f t="shared" si="20"/>
        <v/>
      </c>
      <c r="N68" s="290" t="str">
        <f t="shared" si="21"/>
        <v/>
      </c>
      <c r="O68" s="290" t="str">
        <f t="shared" si="22"/>
        <v/>
      </c>
      <c r="R68" s="345" t="e">
        <f>VLOOKUP(CONCATENATE(form!C42,".",form!D42),Лист1!$L:$N,2,0)</f>
        <v>#N/A</v>
      </c>
      <c r="S68" s="346" t="e">
        <f>VLOOKUP(CONCATENATE(form!C42,".",form!D42),Лист1!$Q:$S,2,0)</f>
        <v>#N/A</v>
      </c>
      <c r="T68" s="301" t="e">
        <f>VLOOKUP(CONCATENATE(form!E42,".",form!F42,".",form!G42),Лист1!$U:$W,2,0)</f>
        <v>#N/A</v>
      </c>
      <c r="U68" s="302" t="e">
        <f>VLOOKUP(form!I42,Лист1!$Y:$AA,2,0)</f>
        <v>#N/A</v>
      </c>
      <c r="V68" s="302" t="e">
        <f>VLOOKUP(form!J42,Лист1!$AC:$AE,2,0)</f>
        <v>#N/A</v>
      </c>
      <c r="W68" s="302" t="e">
        <f>VLOOKUP(form!K42,Лист1!$AG:$AI,2,0)</f>
        <v>#N/A</v>
      </c>
      <c r="X68" s="302" t="e">
        <f>VLOOKUP(CONCATENATE(form!L42,".",form!M42),Лист1!$AK$14:$AM$192,2,0)</f>
        <v>#N/A</v>
      </c>
      <c r="Y68" s="302" t="e">
        <f>VLOOKUP(CONCATENATE(form!L42,".",form!N42),Лист1!$AO$13:$AQ$127,2,0)</f>
        <v>#N/A</v>
      </c>
      <c r="AA68" s="290" t="e">
        <f>VLOOKUP(CONCATENATE(form!C42,".",form!D42),Лист1!$L:$N,3,0)</f>
        <v>#N/A</v>
      </c>
      <c r="AB68" s="290" t="e">
        <f>VLOOKUP(CONCATENATE(form!C42,".",form!D42),Лист1!$Q:$S,3,0)</f>
        <v>#N/A</v>
      </c>
      <c r="AC68" s="347" t="e">
        <f>VLOOKUP(CONCATENATE(form!E42,".",form!F42,".",form!G42),Лист1!$U:$W,3,0)</f>
        <v>#N/A</v>
      </c>
      <c r="AD68" s="347" t="e">
        <f>VLOOKUP(form!I42,Лист1!$Y:$AA,3,0)</f>
        <v>#N/A</v>
      </c>
      <c r="AE68" s="347" t="e">
        <f>VLOOKUP(form!J42,Лист1!$AC:$AE,3,0)</f>
        <v>#N/A</v>
      </c>
      <c r="AF68" s="348" t="e">
        <f>VLOOKUP(form!K42,Лист1!$AG:$AI,3,0)</f>
        <v>#N/A</v>
      </c>
      <c r="AG68" s="347" t="e">
        <f>VLOOKUP(CONCATENATE(form!L42,".",form!M42),Лист1!$AK$14:$AM$192,3,0)</f>
        <v>#N/A</v>
      </c>
      <c r="AH68" s="347" t="e">
        <f>VLOOKUP(CONCATENATE(form!L42,".",form!N42),Лист1!$AO$13:$AQ$127,3,0)</f>
        <v>#N/A</v>
      </c>
      <c r="AJ68" s="305" t="e">
        <f>VLOOKUP(CONCATENATE(form!C42,".",form!D42,".",form!H42),Лист1!$DD:$DH,5,0)</f>
        <v>#N/A</v>
      </c>
      <c r="AK68" s="305" t="e">
        <f>VLOOKUP(CONCATENATE(form!C42,".",form!J42),Лист1!$DJ:$DN,5,0)</f>
        <v>#N/A</v>
      </c>
      <c r="AL68" s="305" t="e">
        <f>VLOOKUP(CONCATENATE(form!C42,".",form!D42,".",form!K42),Лист1!$DP:$DT,5,0)</f>
        <v>#N/A</v>
      </c>
      <c r="AM68" s="306"/>
      <c r="AN68" s="305" t="e">
        <f>VLOOKUP(CONCATENATE(form!C42,".",form!L42),Лист1!$DV:$DZ,5,0)</f>
        <v>#N/A</v>
      </c>
      <c r="AO68" s="305" t="e">
        <f>VLOOKUP(CONCATENATE(form!C42,".",form!M42),Лист1!$EB:$EF,5,0)</f>
        <v>#N/A</v>
      </c>
      <c r="AP68" s="659"/>
      <c r="AQ68" s="307" t="str">
        <f t="shared" si="23"/>
        <v>0</v>
      </c>
      <c r="AR68" s="670" t="e">
        <f>VLOOKUP(CONCATENATE(form!C42,".",form!G42),Лист1!$EH:$EL,5,0)</f>
        <v>#N/A</v>
      </c>
      <c r="AS68" s="308" t="e">
        <f t="shared" si="7"/>
        <v>#N/A</v>
      </c>
      <c r="AU68" s="663">
        <f t="shared" si="24"/>
        <v>0</v>
      </c>
      <c r="AV68" s="309">
        <f t="shared" si="25"/>
        <v>0</v>
      </c>
      <c r="AX68" s="309"/>
    </row>
    <row r="69" spans="2:50" s="288" customFormat="1" ht="24.9" customHeight="1">
      <c r="B69" s="397">
        <v>15</v>
      </c>
      <c r="C69" s="616" t="str">
        <f t="shared" si="26"/>
        <v/>
      </c>
      <c r="D69" s="617" t="str">
        <f t="shared" si="27"/>
        <v/>
      </c>
      <c r="E69" s="489" t="str">
        <f>IF(OR(J69=0,J69=""),"",VLOOKUP(R69,Лист1!$M:$O,3,0))</f>
        <v/>
      </c>
      <c r="F69" s="349" t="str">
        <f t="shared" si="28"/>
        <v/>
      </c>
      <c r="G69" s="628" t="str">
        <f t="shared" si="29"/>
        <v/>
      </c>
      <c r="H69" s="350" t="str">
        <f t="shared" si="30"/>
        <v/>
      </c>
      <c r="J69" s="344">
        <f>form!R43</f>
        <v>0</v>
      </c>
      <c r="L69" s="351" t="str">
        <f t="shared" si="19"/>
        <v/>
      </c>
      <c r="M69" s="351" t="str">
        <f t="shared" si="20"/>
        <v/>
      </c>
      <c r="N69" s="351" t="str">
        <f t="shared" si="21"/>
        <v/>
      </c>
      <c r="O69" s="351" t="str">
        <f t="shared" si="22"/>
        <v/>
      </c>
      <c r="P69" s="291"/>
      <c r="Q69" s="291"/>
      <c r="R69" s="352" t="e">
        <f>VLOOKUP(CONCATENATE(form!C43,".",form!D43),Лист1!$L:$N,2,0)</f>
        <v>#N/A</v>
      </c>
      <c r="S69" s="353" t="e">
        <f>VLOOKUP(CONCATENATE(form!C43,".",form!D43),Лист1!$Q:$S,2,0)</f>
        <v>#N/A</v>
      </c>
      <c r="T69" s="332" t="e">
        <f>VLOOKUP(CONCATENATE(form!E43,".",form!F43,".",form!G43),Лист1!$U:$W,2,0)</f>
        <v>#N/A</v>
      </c>
      <c r="U69" s="333" t="e">
        <f>VLOOKUP(form!I43,Лист1!$Y:$AA,2,0)</f>
        <v>#N/A</v>
      </c>
      <c r="V69" s="333" t="e">
        <f>VLOOKUP(form!J43,Лист1!$AC:$AE,2,0)</f>
        <v>#N/A</v>
      </c>
      <c r="W69" s="333" t="e">
        <f>VLOOKUP(form!K43,Лист1!$AG:$AI,2,0)</f>
        <v>#N/A</v>
      </c>
      <c r="X69" s="333" t="e">
        <f>VLOOKUP(CONCATENATE(form!L43,".",form!M43),Лист1!$AK$14:$AM$192,2,0)</f>
        <v>#N/A</v>
      </c>
      <c r="Y69" s="333" t="e">
        <f>VLOOKUP(CONCATENATE(form!L43,".",form!N43),Лист1!$AO$13:$AQ$127,2,0)</f>
        <v>#N/A</v>
      </c>
      <c r="AA69" s="351" t="e">
        <f>VLOOKUP(CONCATENATE(form!C43,".",form!D43),Лист1!$L:$N,3,0)</f>
        <v>#N/A</v>
      </c>
      <c r="AB69" s="351" t="e">
        <f>VLOOKUP(CONCATENATE(form!C43,".",form!D43),Лист1!$Q:$S,3,0)</f>
        <v>#N/A</v>
      </c>
      <c r="AC69" s="335" t="e">
        <f>VLOOKUP(CONCATENATE(form!E43,".",form!F43,".",form!G43),Лист1!$U:$W,3,0)</f>
        <v>#N/A</v>
      </c>
      <c r="AD69" s="335" t="e">
        <f>VLOOKUP(form!I43,Лист1!$Y:$AA,3,0)</f>
        <v>#N/A</v>
      </c>
      <c r="AE69" s="335" t="e">
        <f>VLOOKUP(form!J43,Лист1!$AC:$AE,3,0)</f>
        <v>#N/A</v>
      </c>
      <c r="AF69" s="354" t="e">
        <f>VLOOKUP(form!K43,Лист1!$AG:$AI,3,0)</f>
        <v>#N/A</v>
      </c>
      <c r="AG69" s="335" t="e">
        <f>VLOOKUP(CONCATENATE(form!L43,".",form!M43),Лист1!$AK$14:$AM$192,3,0)</f>
        <v>#N/A</v>
      </c>
      <c r="AH69" s="335" t="e">
        <f>VLOOKUP(CONCATENATE(form!L43,".",form!N43),Лист1!$AO$13:$AQ$127,3,0)</f>
        <v>#N/A</v>
      </c>
      <c r="AJ69" s="336" t="e">
        <f>VLOOKUP(CONCATENATE(form!C43,".",form!D43,".",form!H43),Лист1!$DD:$DH,5,0)</f>
        <v>#N/A</v>
      </c>
      <c r="AK69" s="336" t="e">
        <f>VLOOKUP(CONCATENATE(form!C43,".",form!J43),Лист1!$DJ:$DN,5,0)</f>
        <v>#N/A</v>
      </c>
      <c r="AL69" s="336" t="e">
        <f>VLOOKUP(CONCATENATE(form!C43,".",form!D43,".",form!K43),Лист1!$DP:$DT,5,0)</f>
        <v>#N/A</v>
      </c>
      <c r="AM69" s="355"/>
      <c r="AN69" s="336" t="e">
        <f>VLOOKUP(CONCATENATE(form!C43,".",form!L43),Лист1!$DV:$DZ,5,0)</f>
        <v>#N/A</v>
      </c>
      <c r="AO69" s="336" t="e">
        <f>VLOOKUP(CONCATENATE(form!C43,".",form!M43),Лист1!$EB:$EF,5,0)</f>
        <v>#N/A</v>
      </c>
      <c r="AP69" s="661"/>
      <c r="AQ69" s="356" t="str">
        <f t="shared" si="23"/>
        <v>0</v>
      </c>
      <c r="AR69" s="672" t="e">
        <f>VLOOKUP(CONCATENATE(form!C43,".",form!G43),Лист1!$EH:$EL,5,0)</f>
        <v>#N/A</v>
      </c>
      <c r="AS69" s="338" t="e">
        <f t="shared" si="7"/>
        <v>#N/A</v>
      </c>
      <c r="AU69" s="665">
        <f t="shared" si="24"/>
        <v>0</v>
      </c>
      <c r="AV69" s="339">
        <f t="shared" si="25"/>
        <v>0</v>
      </c>
      <c r="AX69" s="309"/>
    </row>
    <row r="70" spans="2:50" s="288" customFormat="1" ht="24.9" customHeight="1">
      <c r="B70" s="608" t="str">
        <f>form!B45</f>
        <v>Розділ № 3: ДВЕРНІ КОРОБКИ / РОЗСУВНІ СИСТЕМИ</v>
      </c>
      <c r="C70" s="283"/>
      <c r="D70" s="486"/>
      <c r="E70" s="487"/>
      <c r="F70" s="286" t="str">
        <f>IF(H70="","","ИТОГО:")</f>
        <v/>
      </c>
      <c r="G70" s="624" t="str">
        <f>IF(J70=0,"",SUM(G71:G85))</f>
        <v/>
      </c>
      <c r="H70" s="287" t="str">
        <f>IF(J70=0,"",SUM(H71:H85))</f>
        <v/>
      </c>
      <c r="J70" s="340">
        <f>SUM(J71:J85)</f>
        <v>0</v>
      </c>
      <c r="L70" s="351"/>
      <c r="M70" s="351"/>
      <c r="N70" s="351"/>
      <c r="O70" s="351"/>
      <c r="P70" s="291"/>
      <c r="Q70" s="291"/>
      <c r="R70" s="292" t="s">
        <v>465</v>
      </c>
      <c r="S70" s="292" t="s">
        <v>464</v>
      </c>
      <c r="T70" s="292" t="s">
        <v>453</v>
      </c>
      <c r="U70" s="292" t="s">
        <v>463</v>
      </c>
      <c r="V70" s="292" t="s">
        <v>234</v>
      </c>
      <c r="W70" s="292" t="s">
        <v>236</v>
      </c>
      <c r="X70" s="292" t="s">
        <v>467</v>
      </c>
      <c r="Y70" s="292" t="s">
        <v>468</v>
      </c>
      <c r="AA70" s="292" t="s">
        <v>465</v>
      </c>
      <c r="AB70" s="292" t="s">
        <v>464</v>
      </c>
      <c r="AC70" s="292" t="s">
        <v>453</v>
      </c>
      <c r="AD70" s="292" t="s">
        <v>463</v>
      </c>
      <c r="AE70" s="292" t="s">
        <v>234</v>
      </c>
      <c r="AF70" s="292" t="s">
        <v>236</v>
      </c>
      <c r="AG70" s="292" t="s">
        <v>467</v>
      </c>
      <c r="AH70" s="292" t="s">
        <v>468</v>
      </c>
      <c r="AJ70" s="292" t="s">
        <v>348</v>
      </c>
      <c r="AK70" s="292" t="s">
        <v>753</v>
      </c>
      <c r="AL70" s="292" t="s">
        <v>466</v>
      </c>
      <c r="AM70" s="293"/>
      <c r="AN70" s="292" t="s">
        <v>544</v>
      </c>
      <c r="AO70" s="292" t="s">
        <v>256</v>
      </c>
      <c r="AP70" s="292" t="s">
        <v>114</v>
      </c>
      <c r="AQ70" s="337"/>
      <c r="AR70" s="337"/>
      <c r="AS70" s="292" t="s">
        <v>1038</v>
      </c>
      <c r="AU70" s="667"/>
      <c r="AV70" s="357" t="s">
        <v>578</v>
      </c>
    </row>
    <row r="71" spans="2:50" s="288" customFormat="1" ht="24.9" customHeight="1">
      <c r="B71" s="395">
        <v>1</v>
      </c>
      <c r="C71" s="614" t="str">
        <f>IF(ISNA(L71),"",L71)</f>
        <v/>
      </c>
      <c r="D71" s="615" t="str">
        <f>IF(ISNA(M71),"",M71)</f>
        <v/>
      </c>
      <c r="E71" s="488" t="str">
        <f>IF(OR(J71=0,J71=""),"",VLOOKUP(R71,Лист1!$M:$O,3,0))</f>
        <v/>
      </c>
      <c r="F71" s="342" t="str">
        <f>IF(ISNA(N71),"",N71)</f>
        <v/>
      </c>
      <c r="G71" s="627" t="str">
        <f>IF(J71=0,"",J71)</f>
        <v/>
      </c>
      <c r="H71" s="343" t="str">
        <f>IF(ISNA(O71),"",O71)</f>
        <v/>
      </c>
      <c r="J71" s="344">
        <f>form!R47</f>
        <v>0</v>
      </c>
      <c r="L71" s="290" t="str">
        <f>IF(G71="","",CONCATENATE(R71,".",T71,".",S71,".",U71,".",X71,".",Y71))</f>
        <v/>
      </c>
      <c r="M71" s="290" t="str">
        <f>IF(G71="","",CONCATENATE(AA71,", ",AB71,", ",AC71,", ",AD71,", ",AG71,", ",AH71))</f>
        <v/>
      </c>
      <c r="N71" s="290" t="str">
        <f>IF(G71="","",AS71*(1-$G$1))</f>
        <v/>
      </c>
      <c r="O71" s="290" t="str">
        <f>IF(F71="","",G71*F71)</f>
        <v/>
      </c>
      <c r="R71" s="345" t="e">
        <f>VLOOKUP(CONCATENATE(form!C47,".",form!D47),Лист1!$L:$N,2,0)</f>
        <v>#N/A</v>
      </c>
      <c r="S71" s="346" t="e">
        <f>VLOOKUP(CONCATENATE(form!C47,".",form!D47),Лист1!$Q:$S,2,0)</f>
        <v>#N/A</v>
      </c>
      <c r="T71" s="346" t="e">
        <f>VLOOKUP(CONCATENATE(form!C47,".",form!E47,".",form!F47,".",form!G47),Лист1!$U:$W,2,0)</f>
        <v>#N/A</v>
      </c>
      <c r="U71" s="358" t="e">
        <f>VLOOKUP(form!I47,Лист1!$Y:$AA,2,0)</f>
        <v>#N/A</v>
      </c>
      <c r="V71" s="316"/>
      <c r="W71" s="316"/>
      <c r="X71" s="302" t="e">
        <f>VLOOKUP(form!L47,Лист1!$AK$196:$AM$228,2,0)</f>
        <v>#N/A</v>
      </c>
      <c r="Y71" s="302" t="e">
        <f>VLOOKUP(CONCATENATE(form!L47,".",form!N47),Лист1!$AO$130:$AQ$181,2,0)</f>
        <v>#N/A</v>
      </c>
      <c r="AA71" s="347" t="e">
        <f>VLOOKUP(CONCATENATE(form!C47,".",form!D47),Лист1!$L:$N,3,0)</f>
        <v>#N/A</v>
      </c>
      <c r="AB71" s="347" t="e">
        <f>VLOOKUP(CONCATENATE(form!C47,".",form!D47),Лист1!$Q:$S,3,0)</f>
        <v>#N/A</v>
      </c>
      <c r="AC71" s="290" t="e">
        <f>VLOOKUP(CONCATENATE(form!C47,".",form!E47,".",form!F47,".",form!G47),Лист1!$U:$W,3,0)</f>
        <v>#N/A</v>
      </c>
      <c r="AD71" s="303" t="e">
        <f>VLOOKUP(form!I47,Лист1!$Y:$AA,3,0)</f>
        <v>#N/A</v>
      </c>
      <c r="AE71" s="316"/>
      <c r="AF71" s="316"/>
      <c r="AG71" s="302" t="e">
        <f>VLOOKUP(form!L47,Лист1!$AK$196:$AM$228,3,0)</f>
        <v>#N/A</v>
      </c>
      <c r="AH71" s="347" t="e">
        <f>VLOOKUP(CONCATENATE(form!L47,".",form!N47),Лист1!$AO$130:$AQ$181,3,0)</f>
        <v>#N/A</v>
      </c>
      <c r="AJ71" s="359" t="e">
        <f>VLOOKUP(CONCATENATE(form!C47,".",form!D47,".",form!H47),Лист1!$DD:$DH,5,0)</f>
        <v>#N/A</v>
      </c>
      <c r="AK71" s="316"/>
      <c r="AL71" s="316"/>
      <c r="AM71" s="316"/>
      <c r="AN71" s="305" t="e">
        <f>VLOOKUP(CONCATENATE(form!C47,".",form!L47),Лист1!$DV:$DZ,5,0)</f>
        <v>#N/A</v>
      </c>
      <c r="AO71" s="316"/>
      <c r="AP71" s="359" t="e">
        <f>VLOOKUP(CONCATENATE(form!C47,".",form!D47,".",form!H47,".",form!F47),Лист1!$EH:$EL,5,0)</f>
        <v>#N/A</v>
      </c>
      <c r="AQ71" s="317"/>
      <c r="AR71" s="317"/>
      <c r="AS71" s="308" t="e">
        <f t="shared" si="7"/>
        <v>#N/A</v>
      </c>
      <c r="AU71" s="663">
        <f>IF(ISNA(AV71),"0",AV71)</f>
        <v>0</v>
      </c>
      <c r="AV71" s="309">
        <f>IF(G71="",0,ROUND(AS71*G71,2))</f>
        <v>0</v>
      </c>
      <c r="AX71" s="309"/>
    </row>
    <row r="72" spans="2:50" s="288" customFormat="1" ht="24.9" customHeight="1">
      <c r="B72" s="396">
        <v>2</v>
      </c>
      <c r="C72" s="616" t="str">
        <f t="shared" ref="C72:C85" si="31">IF(ISNA(L72),"",L72)</f>
        <v/>
      </c>
      <c r="D72" s="617" t="str">
        <f t="shared" ref="D72:D85" si="32">IF(ISNA(M72),"",M72)</f>
        <v/>
      </c>
      <c r="E72" s="489" t="str">
        <f>IF(OR(J72=0,J72=""),"",VLOOKUP(R72,Лист1!$M:$O,3,0))</f>
        <v/>
      </c>
      <c r="F72" s="349" t="str">
        <f t="shared" ref="F72:F85" si="33">IF(ISNA(N72),"",N72)</f>
        <v/>
      </c>
      <c r="G72" s="628" t="str">
        <f t="shared" ref="G72:G85" si="34">IF(J72=0,"",J72)</f>
        <v/>
      </c>
      <c r="H72" s="350" t="str">
        <f t="shared" ref="H72:H85" si="35">IF(ISNA(O72),"",O72)</f>
        <v/>
      </c>
      <c r="J72" s="360">
        <f>form!R48</f>
        <v>0</v>
      </c>
      <c r="K72" s="270"/>
      <c r="L72" s="361" t="str">
        <f t="shared" ref="L72:L85" si="36">IF(G72="","",CONCATENATE(R72,".",T72,".",S72,".",U72,".",X72,".",Y72))</f>
        <v/>
      </c>
      <c r="M72" s="361" t="str">
        <f t="shared" ref="M72:M85" si="37">IF(G72="","",CONCATENATE(AA72,", ",AB72,", ",AC72,", ",AD72,", ",AG72,", ",AH72))</f>
        <v/>
      </c>
      <c r="N72" s="361" t="str">
        <f t="shared" ref="N72:N85" si="38">IF(G72="","",AS72*(1-$G$1))</f>
        <v/>
      </c>
      <c r="O72" s="361" t="str">
        <f t="shared" ref="O72:O85" si="39">IF(F72="","",G72*F72)</f>
        <v/>
      </c>
      <c r="P72" s="270"/>
      <c r="Q72" s="270"/>
      <c r="R72" s="362" t="e">
        <f>VLOOKUP(CONCATENATE(form!C48,".",form!D48),Лист1!$L:$N,2,0)</f>
        <v>#N/A</v>
      </c>
      <c r="S72" s="363" t="e">
        <f>VLOOKUP(CONCATENATE(form!C48,".",form!D48),Лист1!$Q:$S,2,0)</f>
        <v>#N/A</v>
      </c>
      <c r="T72" s="363" t="e">
        <f>VLOOKUP(CONCATENATE(form!C48,".",form!E48,".",form!F48,".",form!G48),Лист1!$U:$W,2,0)</f>
        <v>#N/A</v>
      </c>
      <c r="U72" s="314" t="e">
        <f>VLOOKUP(form!I48,Лист1!$Y:$AA,2,0)</f>
        <v>#N/A</v>
      </c>
      <c r="V72" s="313"/>
      <c r="W72" s="313"/>
      <c r="X72" s="314" t="e">
        <f>VLOOKUP(form!L48,Лист1!$AK$196:$AM$228,2,0)</f>
        <v>#N/A</v>
      </c>
      <c r="Y72" s="314" t="e">
        <f>VLOOKUP(CONCATENATE(form!L48,".",form!N48),Лист1!$AO$130:$AQ$181,2,0)</f>
        <v>#N/A</v>
      </c>
      <c r="Z72" s="270"/>
      <c r="AA72" s="310" t="e">
        <f>VLOOKUP(CONCATENATE(form!C48,".",form!D48),Лист1!$L:$N,3,0)</f>
        <v>#N/A</v>
      </c>
      <c r="AB72" s="310" t="e">
        <f>VLOOKUP(CONCATENATE(form!C48,".",form!D48),Лист1!$Q:$S,3,0)</f>
        <v>#N/A</v>
      </c>
      <c r="AC72" s="361" t="e">
        <f>VLOOKUP(CONCATENATE(form!C48,".",form!E48,".",form!F48,".",form!G48),Лист1!$U:$W,3,0)</f>
        <v>#N/A</v>
      </c>
      <c r="AD72" s="310" t="e">
        <f>VLOOKUP(form!I48,Лист1!$Y:$AA,3,0)</f>
        <v>#N/A</v>
      </c>
      <c r="AE72" s="313"/>
      <c r="AF72" s="313"/>
      <c r="AG72" s="314" t="e">
        <f>VLOOKUP(form!L48,Лист1!$AK$196:$AM$228,3,0)</f>
        <v>#N/A</v>
      </c>
      <c r="AH72" s="310" t="e">
        <f>VLOOKUP(CONCATENATE(form!L48,".",form!N48),Лист1!$AO$130:$AQ$181,3,0)</f>
        <v>#N/A</v>
      </c>
      <c r="AI72" s="270"/>
      <c r="AJ72" s="315" t="e">
        <f>VLOOKUP(CONCATENATE(form!C48,".",form!D48,".",form!H48),Лист1!$DD:$DH,5,0)</f>
        <v>#N/A</v>
      </c>
      <c r="AK72" s="313"/>
      <c r="AL72" s="313"/>
      <c r="AM72" s="313"/>
      <c r="AN72" s="315" t="e">
        <f>VLOOKUP(CONCATENATE(form!C48,".",form!L48),Лист1!$DV:$DZ,5,0)</f>
        <v>#N/A</v>
      </c>
      <c r="AO72" s="313"/>
      <c r="AP72" s="315" t="e">
        <f>VLOOKUP(CONCATENATE(form!C48,".",form!D48,".",form!H48,".",form!F48),Лист1!$EH:$EL,5,0)</f>
        <v>#N/A</v>
      </c>
      <c r="AQ72" s="364"/>
      <c r="AR72" s="364"/>
      <c r="AS72" s="365" t="e">
        <f t="shared" si="7"/>
        <v>#N/A</v>
      </c>
      <c r="AT72" s="270"/>
      <c r="AU72" s="668">
        <f t="shared" ref="AU72:AU85" si="40">IF(ISNA(AV72),"0",AV72)</f>
        <v>0</v>
      </c>
      <c r="AV72" s="366">
        <f t="shared" ref="AV72:AV85" si="41">IF(G72="",0,ROUND(AS72*G72,2))</f>
        <v>0</v>
      </c>
      <c r="AX72" s="309"/>
    </row>
    <row r="73" spans="2:50" s="288" customFormat="1" ht="24.9" customHeight="1">
      <c r="B73" s="396">
        <v>3</v>
      </c>
      <c r="C73" s="616" t="str">
        <f t="shared" si="31"/>
        <v/>
      </c>
      <c r="D73" s="617" t="str">
        <f t="shared" si="32"/>
        <v/>
      </c>
      <c r="E73" s="489" t="str">
        <f>IF(OR(J73=0,J73=""),"",VLOOKUP(R73,Лист1!$M:$O,3,0))</f>
        <v/>
      </c>
      <c r="F73" s="349" t="str">
        <f t="shared" si="33"/>
        <v/>
      </c>
      <c r="G73" s="628" t="str">
        <f t="shared" si="34"/>
        <v/>
      </c>
      <c r="H73" s="350" t="str">
        <f t="shared" si="35"/>
        <v/>
      </c>
      <c r="J73" s="360">
        <f>form!R49</f>
        <v>0</v>
      </c>
      <c r="K73" s="270"/>
      <c r="L73" s="361" t="str">
        <f t="shared" si="36"/>
        <v/>
      </c>
      <c r="M73" s="361" t="str">
        <f t="shared" si="37"/>
        <v/>
      </c>
      <c r="N73" s="361" t="str">
        <f t="shared" si="38"/>
        <v/>
      </c>
      <c r="O73" s="361" t="str">
        <f t="shared" si="39"/>
        <v/>
      </c>
      <c r="P73" s="270"/>
      <c r="Q73" s="270"/>
      <c r="R73" s="362" t="e">
        <f>VLOOKUP(CONCATENATE(form!C49,".",form!D49),Лист1!$L:$N,2,0)</f>
        <v>#N/A</v>
      </c>
      <c r="S73" s="363" t="e">
        <f>VLOOKUP(CONCATENATE(form!C49,".",form!D49),Лист1!$Q:$S,2,0)</f>
        <v>#N/A</v>
      </c>
      <c r="T73" s="363" t="e">
        <f>VLOOKUP(CONCATENATE(form!C49,".",form!E49,".",form!F49,".",form!G49),Лист1!$U:$W,2,0)</f>
        <v>#N/A</v>
      </c>
      <c r="U73" s="314" t="e">
        <f>VLOOKUP(form!I49,Лист1!$Y:$AA,2,0)</f>
        <v>#N/A</v>
      </c>
      <c r="V73" s="313"/>
      <c r="W73" s="313"/>
      <c r="X73" s="314" t="e">
        <f>VLOOKUP(form!L49,Лист1!$AK$196:$AM$228,2,0)</f>
        <v>#N/A</v>
      </c>
      <c r="Y73" s="314" t="e">
        <f>VLOOKUP(CONCATENATE(form!L49,".",form!N49),Лист1!$AO$130:$AQ$181,2,0)</f>
        <v>#N/A</v>
      </c>
      <c r="Z73" s="270"/>
      <c r="AA73" s="310" t="e">
        <f>VLOOKUP(CONCATENATE(form!C49,".",form!D49),Лист1!$L:$N,3,0)</f>
        <v>#N/A</v>
      </c>
      <c r="AB73" s="310" t="e">
        <f>VLOOKUP(CONCATENATE(form!C49,".",form!D49),Лист1!$Q:$S,3,0)</f>
        <v>#N/A</v>
      </c>
      <c r="AC73" s="361" t="e">
        <f>VLOOKUP(CONCATENATE(form!C49,".",form!E49,".",form!F49,".",form!G49),Лист1!$U:$W,3,0)</f>
        <v>#N/A</v>
      </c>
      <c r="AD73" s="310" t="e">
        <f>VLOOKUP(form!I49,Лист1!$Y:$AA,3,0)</f>
        <v>#N/A</v>
      </c>
      <c r="AE73" s="313"/>
      <c r="AF73" s="313"/>
      <c r="AG73" s="314" t="e">
        <f>VLOOKUP(form!L49,Лист1!$AK$196:$AM$228,3,0)</f>
        <v>#N/A</v>
      </c>
      <c r="AH73" s="310" t="e">
        <f>VLOOKUP(CONCATENATE(form!L49,".",form!N49),Лист1!$AO$130:$AQ$181,3,0)</f>
        <v>#N/A</v>
      </c>
      <c r="AI73" s="270"/>
      <c r="AJ73" s="315" t="e">
        <f>VLOOKUP(CONCATENATE(form!C49,".",form!D49,".",form!H49),Лист1!$DD:$DH,5,0)</f>
        <v>#N/A</v>
      </c>
      <c r="AK73" s="313"/>
      <c r="AL73" s="313"/>
      <c r="AM73" s="313"/>
      <c r="AN73" s="315" t="e">
        <f>VLOOKUP(CONCATENATE(form!C49,".",form!L49),Лист1!$DV:$DZ,5,0)</f>
        <v>#N/A</v>
      </c>
      <c r="AO73" s="313"/>
      <c r="AP73" s="315" t="e">
        <f>VLOOKUP(CONCATENATE(form!C49,".",form!D49,".",form!H49,".",form!F49),Лист1!$EH:$EL,5,0)</f>
        <v>#N/A</v>
      </c>
      <c r="AQ73" s="364"/>
      <c r="AR73" s="364"/>
      <c r="AS73" s="365" t="e">
        <f t="shared" si="7"/>
        <v>#N/A</v>
      </c>
      <c r="AT73" s="270"/>
      <c r="AU73" s="668">
        <f t="shared" si="40"/>
        <v>0</v>
      </c>
      <c r="AV73" s="366">
        <f t="shared" si="41"/>
        <v>0</v>
      </c>
      <c r="AX73" s="309"/>
    </row>
    <row r="74" spans="2:50" s="288" customFormat="1" ht="24.9" customHeight="1">
      <c r="B74" s="396">
        <v>4</v>
      </c>
      <c r="C74" s="616" t="str">
        <f t="shared" si="31"/>
        <v/>
      </c>
      <c r="D74" s="617" t="str">
        <f t="shared" si="32"/>
        <v/>
      </c>
      <c r="E74" s="489" t="str">
        <f>IF(OR(J74=0,J74=""),"",VLOOKUP(R74,Лист1!$M:$O,3,0))</f>
        <v/>
      </c>
      <c r="F74" s="349" t="str">
        <f t="shared" si="33"/>
        <v/>
      </c>
      <c r="G74" s="628" t="str">
        <f t="shared" si="34"/>
        <v/>
      </c>
      <c r="H74" s="350" t="str">
        <f t="shared" si="35"/>
        <v/>
      </c>
      <c r="J74" s="360">
        <f>form!R50</f>
        <v>0</v>
      </c>
      <c r="K74" s="270"/>
      <c r="L74" s="361" t="str">
        <f t="shared" si="36"/>
        <v/>
      </c>
      <c r="M74" s="361" t="str">
        <f t="shared" si="37"/>
        <v/>
      </c>
      <c r="N74" s="361" t="str">
        <f t="shared" si="38"/>
        <v/>
      </c>
      <c r="O74" s="361" t="str">
        <f t="shared" si="39"/>
        <v/>
      </c>
      <c r="P74" s="270"/>
      <c r="Q74" s="270"/>
      <c r="R74" s="362" t="e">
        <f>VLOOKUP(CONCATENATE(form!C50,".",form!D50),Лист1!$L:$N,2,0)</f>
        <v>#N/A</v>
      </c>
      <c r="S74" s="363" t="e">
        <f>VLOOKUP(CONCATENATE(form!C50,".",form!D50),Лист1!$Q:$S,2,0)</f>
        <v>#N/A</v>
      </c>
      <c r="T74" s="363" t="e">
        <f>VLOOKUP(CONCATENATE(form!C50,".",form!E50,".",form!F50,".",form!G50),Лист1!$U:$W,2,0)</f>
        <v>#N/A</v>
      </c>
      <c r="U74" s="314" t="e">
        <f>VLOOKUP(form!I50,Лист1!$Y:$AA,2,0)</f>
        <v>#N/A</v>
      </c>
      <c r="V74" s="313"/>
      <c r="W74" s="313"/>
      <c r="X74" s="314" t="e">
        <f>VLOOKUP(form!L50,Лист1!$AK$196:$AM$228,2,0)</f>
        <v>#N/A</v>
      </c>
      <c r="Y74" s="314" t="e">
        <f>VLOOKUP(CONCATENATE(form!L50,".",form!N50),Лист1!$AO$130:$AQ$181,2,0)</f>
        <v>#N/A</v>
      </c>
      <c r="Z74" s="270"/>
      <c r="AA74" s="310" t="e">
        <f>VLOOKUP(CONCATENATE(form!C50,".",form!D50),Лист1!$L:$N,3,0)</f>
        <v>#N/A</v>
      </c>
      <c r="AB74" s="310" t="e">
        <f>VLOOKUP(CONCATENATE(form!C50,".",form!D50),Лист1!$Q:$S,3,0)</f>
        <v>#N/A</v>
      </c>
      <c r="AC74" s="361" t="e">
        <f>VLOOKUP(CONCATENATE(form!C50,".",form!E50,".",form!F50,".",form!G50),Лист1!$U:$W,3,0)</f>
        <v>#N/A</v>
      </c>
      <c r="AD74" s="310" t="e">
        <f>VLOOKUP(form!I50,Лист1!$Y:$AA,3,0)</f>
        <v>#N/A</v>
      </c>
      <c r="AE74" s="313"/>
      <c r="AF74" s="313"/>
      <c r="AG74" s="314" t="e">
        <f>VLOOKUP(form!L50,Лист1!$AK$196:$AM$228,3,0)</f>
        <v>#N/A</v>
      </c>
      <c r="AH74" s="310" t="e">
        <f>VLOOKUP(CONCATENATE(form!L50,".",form!N50),Лист1!$AO$130:$AQ$181,3,0)</f>
        <v>#N/A</v>
      </c>
      <c r="AI74" s="270"/>
      <c r="AJ74" s="315" t="e">
        <f>VLOOKUP(CONCATENATE(form!C50,".",form!D50,".",form!H50),Лист1!$DD:$DH,5,0)</f>
        <v>#N/A</v>
      </c>
      <c r="AK74" s="313"/>
      <c r="AL74" s="313"/>
      <c r="AM74" s="313"/>
      <c r="AN74" s="315" t="e">
        <f>VLOOKUP(CONCATENATE(form!C50,".",form!L50),Лист1!$DV:$DZ,5,0)</f>
        <v>#N/A</v>
      </c>
      <c r="AO74" s="313"/>
      <c r="AP74" s="315" t="e">
        <f>VLOOKUP(CONCATENATE(form!C50,".",form!D50,".",form!H50,".",form!F50),Лист1!$EH:$EL,5,0)</f>
        <v>#N/A</v>
      </c>
      <c r="AQ74" s="364"/>
      <c r="AR74" s="364"/>
      <c r="AS74" s="365" t="e">
        <f t="shared" ref="AS74:AS85" si="42">SUM(AJ74:AQ74)</f>
        <v>#N/A</v>
      </c>
      <c r="AT74" s="270"/>
      <c r="AU74" s="668">
        <f t="shared" si="40"/>
        <v>0</v>
      </c>
      <c r="AV74" s="366">
        <f t="shared" si="41"/>
        <v>0</v>
      </c>
      <c r="AX74" s="309"/>
    </row>
    <row r="75" spans="2:50" s="288" customFormat="1" ht="24.9" customHeight="1">
      <c r="B75" s="396">
        <v>5</v>
      </c>
      <c r="C75" s="616" t="str">
        <f t="shared" si="31"/>
        <v/>
      </c>
      <c r="D75" s="617" t="str">
        <f t="shared" si="32"/>
        <v/>
      </c>
      <c r="E75" s="489" t="str">
        <f>IF(OR(J75=0,J75=""),"",VLOOKUP(R75,Лист1!$M:$O,3,0))</f>
        <v/>
      </c>
      <c r="F75" s="349" t="str">
        <f t="shared" si="33"/>
        <v/>
      </c>
      <c r="G75" s="628" t="str">
        <f t="shared" si="34"/>
        <v/>
      </c>
      <c r="H75" s="350" t="str">
        <f t="shared" si="35"/>
        <v/>
      </c>
      <c r="J75" s="360">
        <f>form!R51</f>
        <v>0</v>
      </c>
      <c r="K75" s="270"/>
      <c r="L75" s="361" t="str">
        <f t="shared" si="36"/>
        <v/>
      </c>
      <c r="M75" s="361" t="str">
        <f t="shared" si="37"/>
        <v/>
      </c>
      <c r="N75" s="361" t="str">
        <f t="shared" si="38"/>
        <v/>
      </c>
      <c r="O75" s="361" t="str">
        <f t="shared" si="39"/>
        <v/>
      </c>
      <c r="P75" s="270"/>
      <c r="Q75" s="270"/>
      <c r="R75" s="362" t="e">
        <f>VLOOKUP(CONCATENATE(form!C51,".",form!D51),Лист1!$L:$N,2,0)</f>
        <v>#N/A</v>
      </c>
      <c r="S75" s="363" t="e">
        <f>VLOOKUP(CONCATENATE(form!C51,".",form!D51),Лист1!$Q:$S,2,0)</f>
        <v>#N/A</v>
      </c>
      <c r="T75" s="363" t="e">
        <f>VLOOKUP(CONCATENATE(form!C51,".",form!E51,".",form!F51,".",form!G51),Лист1!$U:$W,2,0)</f>
        <v>#N/A</v>
      </c>
      <c r="U75" s="314" t="e">
        <f>VLOOKUP(form!I51,Лист1!$Y:$AA,2,0)</f>
        <v>#N/A</v>
      </c>
      <c r="V75" s="313"/>
      <c r="W75" s="313"/>
      <c r="X75" s="314" t="e">
        <f>VLOOKUP(form!L51,Лист1!$AK$196:$AM$228,2,0)</f>
        <v>#N/A</v>
      </c>
      <c r="Y75" s="314" t="e">
        <f>VLOOKUP(CONCATENATE(form!L51,".",form!N51),Лист1!$AO$130:$AQ$181,2,0)</f>
        <v>#N/A</v>
      </c>
      <c r="Z75" s="270"/>
      <c r="AA75" s="310" t="e">
        <f>VLOOKUP(CONCATENATE(form!C51,".",form!D51),Лист1!$L:$N,3,0)</f>
        <v>#N/A</v>
      </c>
      <c r="AB75" s="310" t="e">
        <f>VLOOKUP(CONCATENATE(form!C51,".",form!D51),Лист1!$Q:$S,3,0)</f>
        <v>#N/A</v>
      </c>
      <c r="AC75" s="361" t="e">
        <f>VLOOKUP(CONCATENATE(form!C51,".",form!E51,".",form!F51,".",form!G51),Лист1!$U:$W,3,0)</f>
        <v>#N/A</v>
      </c>
      <c r="AD75" s="310" t="e">
        <f>VLOOKUP(form!I51,Лист1!$Y:$AA,3,0)</f>
        <v>#N/A</v>
      </c>
      <c r="AE75" s="313"/>
      <c r="AF75" s="313"/>
      <c r="AG75" s="314" t="e">
        <f>VLOOKUP(form!L51,Лист1!$AK$196:$AM$228,3,0)</f>
        <v>#N/A</v>
      </c>
      <c r="AH75" s="310" t="e">
        <f>VLOOKUP(CONCATENATE(form!L51,".",form!N51),Лист1!$AO$130:$AQ$181,3,0)</f>
        <v>#N/A</v>
      </c>
      <c r="AI75" s="270"/>
      <c r="AJ75" s="315" t="e">
        <f>VLOOKUP(CONCATENATE(form!C51,".",form!D51,".",form!H51),Лист1!$DD:$DH,5,0)</f>
        <v>#N/A</v>
      </c>
      <c r="AK75" s="313"/>
      <c r="AL75" s="313"/>
      <c r="AM75" s="313"/>
      <c r="AN75" s="315" t="e">
        <f>VLOOKUP(CONCATENATE(form!C51,".",form!L51),Лист1!$DV:$DZ,5,0)</f>
        <v>#N/A</v>
      </c>
      <c r="AO75" s="313"/>
      <c r="AP75" s="315" t="e">
        <f>VLOOKUP(CONCATENATE(form!C51,".",form!D51,".",form!H51,".",form!F51),Лист1!$EH:$EL,5,0)</f>
        <v>#N/A</v>
      </c>
      <c r="AQ75" s="364"/>
      <c r="AR75" s="364"/>
      <c r="AS75" s="365" t="e">
        <f t="shared" si="42"/>
        <v>#N/A</v>
      </c>
      <c r="AT75" s="270"/>
      <c r="AU75" s="668">
        <f t="shared" si="40"/>
        <v>0</v>
      </c>
      <c r="AV75" s="366">
        <f t="shared" si="41"/>
        <v>0</v>
      </c>
      <c r="AX75" s="309"/>
    </row>
    <row r="76" spans="2:50" s="288" customFormat="1" ht="24.9" customHeight="1">
      <c r="B76" s="396">
        <v>6</v>
      </c>
      <c r="C76" s="616" t="str">
        <f t="shared" si="31"/>
        <v/>
      </c>
      <c r="D76" s="617" t="str">
        <f t="shared" si="32"/>
        <v/>
      </c>
      <c r="E76" s="489" t="str">
        <f>IF(OR(J76=0,J76=""),"",VLOOKUP(R76,Лист1!$M:$O,3,0))</f>
        <v/>
      </c>
      <c r="F76" s="349" t="str">
        <f t="shared" si="33"/>
        <v/>
      </c>
      <c r="G76" s="628" t="str">
        <f t="shared" si="34"/>
        <v/>
      </c>
      <c r="H76" s="350" t="str">
        <f t="shared" si="35"/>
        <v/>
      </c>
      <c r="J76" s="360">
        <f>form!R52</f>
        <v>0</v>
      </c>
      <c r="K76" s="270"/>
      <c r="L76" s="361" t="str">
        <f t="shared" si="36"/>
        <v/>
      </c>
      <c r="M76" s="361" t="str">
        <f t="shared" si="37"/>
        <v/>
      </c>
      <c r="N76" s="361" t="str">
        <f t="shared" si="38"/>
        <v/>
      </c>
      <c r="O76" s="361" t="str">
        <f t="shared" si="39"/>
        <v/>
      </c>
      <c r="P76" s="270"/>
      <c r="Q76" s="270"/>
      <c r="R76" s="362" t="e">
        <f>VLOOKUP(CONCATENATE(form!C52,".",form!D52),Лист1!$L:$N,2,0)</f>
        <v>#N/A</v>
      </c>
      <c r="S76" s="363" t="e">
        <f>VLOOKUP(CONCATENATE(form!C52,".",form!D52),Лист1!$Q:$S,2,0)</f>
        <v>#N/A</v>
      </c>
      <c r="T76" s="363" t="e">
        <f>VLOOKUP(CONCATENATE(form!C52,".",form!E52,".",form!F52,".",form!G52),Лист1!$U:$W,2,0)</f>
        <v>#N/A</v>
      </c>
      <c r="U76" s="314" t="e">
        <f>VLOOKUP(form!I52,Лист1!$Y:$AA,2,0)</f>
        <v>#N/A</v>
      </c>
      <c r="V76" s="313"/>
      <c r="W76" s="313"/>
      <c r="X76" s="314" t="e">
        <f>VLOOKUP(form!L52,Лист1!$AK$196:$AM$228,2,0)</f>
        <v>#N/A</v>
      </c>
      <c r="Y76" s="314" t="e">
        <f>VLOOKUP(CONCATENATE(form!L52,".",form!N52),Лист1!$AO$130:$AQ$181,2,0)</f>
        <v>#N/A</v>
      </c>
      <c r="Z76" s="270"/>
      <c r="AA76" s="310" t="e">
        <f>VLOOKUP(CONCATENATE(form!C52,".",form!D52),Лист1!$L:$N,3,0)</f>
        <v>#N/A</v>
      </c>
      <c r="AB76" s="310" t="e">
        <f>VLOOKUP(CONCATENATE(form!C52,".",form!D52),Лист1!$Q:$S,3,0)</f>
        <v>#N/A</v>
      </c>
      <c r="AC76" s="361" t="e">
        <f>VLOOKUP(CONCATENATE(form!C52,".",form!E52,".",form!F52,".",form!G52),Лист1!$U:$W,3,0)</f>
        <v>#N/A</v>
      </c>
      <c r="AD76" s="310" t="e">
        <f>VLOOKUP(form!I52,Лист1!$Y:$AA,3,0)</f>
        <v>#N/A</v>
      </c>
      <c r="AE76" s="313"/>
      <c r="AF76" s="313"/>
      <c r="AG76" s="314" t="e">
        <f>VLOOKUP(form!L52,Лист1!$AK$196:$AM$228,3,0)</f>
        <v>#N/A</v>
      </c>
      <c r="AH76" s="310" t="e">
        <f>VLOOKUP(CONCATENATE(form!L52,".",form!N52),Лист1!$AO$130:$AQ$181,3,0)</f>
        <v>#N/A</v>
      </c>
      <c r="AI76" s="270"/>
      <c r="AJ76" s="315" t="e">
        <f>VLOOKUP(CONCATENATE(form!C52,".",form!D52,".",form!H52),Лист1!$DD:$DH,5,0)</f>
        <v>#N/A</v>
      </c>
      <c r="AK76" s="313"/>
      <c r="AL76" s="313"/>
      <c r="AM76" s="313"/>
      <c r="AN76" s="315" t="e">
        <f>VLOOKUP(CONCATENATE(form!C52,".",form!L52),Лист1!$DV:$DZ,5,0)</f>
        <v>#N/A</v>
      </c>
      <c r="AO76" s="313"/>
      <c r="AP76" s="315" t="e">
        <f>VLOOKUP(CONCATENATE(form!C52,".",form!D52,".",form!H52,".",form!F52),Лист1!$EH:$EL,5,0)</f>
        <v>#N/A</v>
      </c>
      <c r="AQ76" s="364"/>
      <c r="AR76" s="364"/>
      <c r="AS76" s="365" t="e">
        <f t="shared" si="42"/>
        <v>#N/A</v>
      </c>
      <c r="AT76" s="270"/>
      <c r="AU76" s="668">
        <f t="shared" si="40"/>
        <v>0</v>
      </c>
      <c r="AV76" s="366">
        <f t="shared" si="41"/>
        <v>0</v>
      </c>
      <c r="AX76" s="309"/>
    </row>
    <row r="77" spans="2:50" s="288" customFormat="1" ht="24.9" customHeight="1">
      <c r="B77" s="396">
        <v>7</v>
      </c>
      <c r="C77" s="616" t="str">
        <f t="shared" si="31"/>
        <v/>
      </c>
      <c r="D77" s="617" t="str">
        <f t="shared" si="32"/>
        <v/>
      </c>
      <c r="E77" s="489" t="str">
        <f>IF(OR(J77=0,J77=""),"",VLOOKUP(R77,Лист1!$M:$O,3,0))</f>
        <v/>
      </c>
      <c r="F77" s="349" t="str">
        <f t="shared" si="33"/>
        <v/>
      </c>
      <c r="G77" s="628" t="str">
        <f t="shared" si="34"/>
        <v/>
      </c>
      <c r="H77" s="350" t="str">
        <f t="shared" si="35"/>
        <v/>
      </c>
      <c r="J77" s="360">
        <f>form!R53</f>
        <v>0</v>
      </c>
      <c r="K77" s="270"/>
      <c r="L77" s="361" t="str">
        <f t="shared" si="36"/>
        <v/>
      </c>
      <c r="M77" s="361" t="str">
        <f t="shared" si="37"/>
        <v/>
      </c>
      <c r="N77" s="361" t="str">
        <f t="shared" si="38"/>
        <v/>
      </c>
      <c r="O77" s="361" t="str">
        <f t="shared" si="39"/>
        <v/>
      </c>
      <c r="P77" s="270"/>
      <c r="Q77" s="270"/>
      <c r="R77" s="362" t="e">
        <f>VLOOKUP(CONCATENATE(form!C53,".",form!D53),Лист1!$L:$N,2,0)</f>
        <v>#N/A</v>
      </c>
      <c r="S77" s="363" t="e">
        <f>VLOOKUP(CONCATENATE(form!C53,".",form!D53),Лист1!$Q:$S,2,0)</f>
        <v>#N/A</v>
      </c>
      <c r="T77" s="363" t="e">
        <f>VLOOKUP(CONCATENATE(form!C53,".",form!E53,".",form!F53,".",form!G53),Лист1!$U:$W,2,0)</f>
        <v>#N/A</v>
      </c>
      <c r="U77" s="314" t="e">
        <f>VLOOKUP(form!I53,Лист1!$Y:$AA,2,0)</f>
        <v>#N/A</v>
      </c>
      <c r="V77" s="313"/>
      <c r="W77" s="313"/>
      <c r="X77" s="314" t="e">
        <f>VLOOKUP(form!L53,Лист1!$AK$196:$AM$228,2,0)</f>
        <v>#N/A</v>
      </c>
      <c r="Y77" s="314" t="e">
        <f>VLOOKUP(CONCATENATE(form!L53,".",form!N53),Лист1!$AO$130:$AQ$181,2,0)</f>
        <v>#N/A</v>
      </c>
      <c r="Z77" s="270"/>
      <c r="AA77" s="310" t="e">
        <f>VLOOKUP(CONCATENATE(form!C53,".",form!D53),Лист1!$L:$N,3,0)</f>
        <v>#N/A</v>
      </c>
      <c r="AB77" s="310" t="e">
        <f>VLOOKUP(CONCATENATE(form!C53,".",form!D53),Лист1!$Q:$S,3,0)</f>
        <v>#N/A</v>
      </c>
      <c r="AC77" s="361" t="e">
        <f>VLOOKUP(CONCATENATE(form!C53,".",form!E53,".",form!F53,".",form!G53),Лист1!$U:$W,3,0)</f>
        <v>#N/A</v>
      </c>
      <c r="AD77" s="310" t="e">
        <f>VLOOKUP(form!I53,Лист1!$Y:$AA,3,0)</f>
        <v>#N/A</v>
      </c>
      <c r="AE77" s="313"/>
      <c r="AF77" s="313"/>
      <c r="AG77" s="314" t="e">
        <f>VLOOKUP(form!L53,Лист1!$AK$196:$AM$228,3,0)</f>
        <v>#N/A</v>
      </c>
      <c r="AH77" s="310" t="e">
        <f>VLOOKUP(CONCATENATE(form!L53,".",form!N53),Лист1!$AO$130:$AQ$181,3,0)</f>
        <v>#N/A</v>
      </c>
      <c r="AI77" s="270"/>
      <c r="AJ77" s="315" t="e">
        <f>VLOOKUP(CONCATENATE(form!C53,".",form!D53,".",form!H53),Лист1!$DD:$DH,5,0)</f>
        <v>#N/A</v>
      </c>
      <c r="AK77" s="313"/>
      <c r="AL77" s="313"/>
      <c r="AM77" s="313"/>
      <c r="AN77" s="315" t="e">
        <f>VLOOKUP(CONCATENATE(form!C53,".",form!L53),Лист1!$DV:$DZ,5,0)</f>
        <v>#N/A</v>
      </c>
      <c r="AO77" s="313"/>
      <c r="AP77" s="315" t="e">
        <f>VLOOKUP(CONCATENATE(form!C53,".",form!D53,".",form!H53,".",form!F53),Лист1!$EH:$EL,5,0)</f>
        <v>#N/A</v>
      </c>
      <c r="AQ77" s="364"/>
      <c r="AR77" s="364"/>
      <c r="AS77" s="365" t="e">
        <f t="shared" si="42"/>
        <v>#N/A</v>
      </c>
      <c r="AT77" s="270"/>
      <c r="AU77" s="668">
        <f t="shared" si="40"/>
        <v>0</v>
      </c>
      <c r="AV77" s="366">
        <f t="shared" si="41"/>
        <v>0</v>
      </c>
      <c r="AX77" s="309"/>
    </row>
    <row r="78" spans="2:50" s="288" customFormat="1" ht="24.9" customHeight="1">
      <c r="B78" s="396">
        <v>8</v>
      </c>
      <c r="C78" s="616" t="str">
        <f t="shared" si="31"/>
        <v/>
      </c>
      <c r="D78" s="617" t="str">
        <f t="shared" si="32"/>
        <v/>
      </c>
      <c r="E78" s="489" t="str">
        <f>IF(OR(J78=0,J78=""),"",VLOOKUP(R78,Лист1!$M:$O,3,0))</f>
        <v/>
      </c>
      <c r="F78" s="349" t="str">
        <f t="shared" si="33"/>
        <v/>
      </c>
      <c r="G78" s="628" t="str">
        <f t="shared" si="34"/>
        <v/>
      </c>
      <c r="H78" s="350" t="str">
        <f t="shared" si="35"/>
        <v/>
      </c>
      <c r="J78" s="360">
        <f>form!R54</f>
        <v>0</v>
      </c>
      <c r="K78" s="270"/>
      <c r="L78" s="361" t="str">
        <f t="shared" si="36"/>
        <v/>
      </c>
      <c r="M78" s="361" t="str">
        <f t="shared" si="37"/>
        <v/>
      </c>
      <c r="N78" s="361" t="str">
        <f t="shared" si="38"/>
        <v/>
      </c>
      <c r="O78" s="361" t="str">
        <f t="shared" si="39"/>
        <v/>
      </c>
      <c r="P78" s="270"/>
      <c r="Q78" s="270"/>
      <c r="R78" s="362" t="e">
        <f>VLOOKUP(CONCATENATE(form!C54,".",form!D54),Лист1!$L:$N,2,0)</f>
        <v>#N/A</v>
      </c>
      <c r="S78" s="363" t="e">
        <f>VLOOKUP(CONCATENATE(form!C54,".",form!D54),Лист1!$Q:$S,2,0)</f>
        <v>#N/A</v>
      </c>
      <c r="T78" s="363" t="e">
        <f>VLOOKUP(CONCATENATE(form!C54,".",form!E54,".",form!F54,".",form!G54),Лист1!$U:$W,2,0)</f>
        <v>#N/A</v>
      </c>
      <c r="U78" s="314" t="e">
        <f>VLOOKUP(form!I54,Лист1!$Y:$AA,2,0)</f>
        <v>#N/A</v>
      </c>
      <c r="V78" s="313"/>
      <c r="W78" s="313"/>
      <c r="X78" s="314" t="e">
        <f>VLOOKUP(form!L54,Лист1!$AK$196:$AM$228,2,0)</f>
        <v>#N/A</v>
      </c>
      <c r="Y78" s="314" t="e">
        <f>VLOOKUP(CONCATENATE(form!L54,".",form!N54),Лист1!$AO$130:$AQ$181,2,0)</f>
        <v>#N/A</v>
      </c>
      <c r="Z78" s="270"/>
      <c r="AA78" s="310" t="e">
        <f>VLOOKUP(CONCATENATE(form!C54,".",form!D54),Лист1!$L:$N,3,0)</f>
        <v>#N/A</v>
      </c>
      <c r="AB78" s="310" t="e">
        <f>VLOOKUP(CONCATENATE(form!C54,".",form!D54),Лист1!$Q:$S,3,0)</f>
        <v>#N/A</v>
      </c>
      <c r="AC78" s="361" t="e">
        <f>VLOOKUP(CONCATENATE(form!C54,".",form!E54,".",form!F54,".",form!G54),Лист1!$U:$W,3,0)</f>
        <v>#N/A</v>
      </c>
      <c r="AD78" s="310" t="e">
        <f>VLOOKUP(form!I54,Лист1!$Y:$AA,3,0)</f>
        <v>#N/A</v>
      </c>
      <c r="AE78" s="313"/>
      <c r="AF78" s="313"/>
      <c r="AG78" s="314" t="e">
        <f>VLOOKUP(form!L54,Лист1!$AK$196:$AM$228,3,0)</f>
        <v>#N/A</v>
      </c>
      <c r="AH78" s="310" t="e">
        <f>VLOOKUP(CONCATENATE(form!L54,".",form!N54),Лист1!$AO$130:$AQ$181,3,0)</f>
        <v>#N/A</v>
      </c>
      <c r="AI78" s="270"/>
      <c r="AJ78" s="315" t="e">
        <f>VLOOKUP(CONCATENATE(form!C54,".",form!D54,".",form!H54),Лист1!$DD:$DH,5,0)</f>
        <v>#N/A</v>
      </c>
      <c r="AK78" s="313"/>
      <c r="AL78" s="313"/>
      <c r="AM78" s="313"/>
      <c r="AN78" s="315" t="e">
        <f>VLOOKUP(CONCATENATE(form!C54,".",form!L54),Лист1!$DV:$DZ,5,0)</f>
        <v>#N/A</v>
      </c>
      <c r="AO78" s="313"/>
      <c r="AP78" s="315" t="e">
        <f>VLOOKUP(CONCATENATE(form!C54,".",form!D54,".",form!H54,".",form!F54),Лист1!$EH:$EL,5,0)</f>
        <v>#N/A</v>
      </c>
      <c r="AQ78" s="364"/>
      <c r="AR78" s="364"/>
      <c r="AS78" s="365" t="e">
        <f t="shared" si="42"/>
        <v>#N/A</v>
      </c>
      <c r="AT78" s="270"/>
      <c r="AU78" s="668">
        <f t="shared" si="40"/>
        <v>0</v>
      </c>
      <c r="AV78" s="366">
        <f t="shared" si="41"/>
        <v>0</v>
      </c>
      <c r="AX78" s="309"/>
    </row>
    <row r="79" spans="2:50" s="288" customFormat="1" ht="24.9" customHeight="1">
      <c r="B79" s="396">
        <v>9</v>
      </c>
      <c r="C79" s="616" t="str">
        <f t="shared" si="31"/>
        <v/>
      </c>
      <c r="D79" s="617" t="str">
        <f t="shared" si="32"/>
        <v/>
      </c>
      <c r="E79" s="489" t="str">
        <f>IF(OR(J79=0,J79=""),"",VLOOKUP(R79,Лист1!$M:$O,3,0))</f>
        <v/>
      </c>
      <c r="F79" s="349" t="str">
        <f t="shared" si="33"/>
        <v/>
      </c>
      <c r="G79" s="628" t="str">
        <f t="shared" si="34"/>
        <v/>
      </c>
      <c r="H79" s="350" t="str">
        <f t="shared" si="35"/>
        <v/>
      </c>
      <c r="J79" s="360">
        <f>form!R55</f>
        <v>0</v>
      </c>
      <c r="K79" s="270"/>
      <c r="L79" s="361" t="str">
        <f t="shared" si="36"/>
        <v/>
      </c>
      <c r="M79" s="361" t="str">
        <f t="shared" si="37"/>
        <v/>
      </c>
      <c r="N79" s="361" t="str">
        <f t="shared" si="38"/>
        <v/>
      </c>
      <c r="O79" s="361" t="str">
        <f t="shared" si="39"/>
        <v/>
      </c>
      <c r="P79" s="270"/>
      <c r="Q79" s="270"/>
      <c r="R79" s="362" t="e">
        <f>VLOOKUP(CONCATENATE(form!C55,".",form!D55),Лист1!$L:$N,2,0)</f>
        <v>#N/A</v>
      </c>
      <c r="S79" s="363" t="e">
        <f>VLOOKUP(CONCATENATE(form!C55,".",form!D55),Лист1!$Q:$S,2,0)</f>
        <v>#N/A</v>
      </c>
      <c r="T79" s="363" t="e">
        <f>VLOOKUP(CONCATENATE(form!C55,".",form!E55,".",form!F55,".",form!G55),Лист1!$U:$W,2,0)</f>
        <v>#N/A</v>
      </c>
      <c r="U79" s="314" t="e">
        <f>VLOOKUP(form!I55,Лист1!$Y:$AA,2,0)</f>
        <v>#N/A</v>
      </c>
      <c r="V79" s="313"/>
      <c r="W79" s="313"/>
      <c r="X79" s="314" t="e">
        <f>VLOOKUP(form!L55,Лист1!$AK$196:$AM$228,2,0)</f>
        <v>#N/A</v>
      </c>
      <c r="Y79" s="314" t="e">
        <f>VLOOKUP(CONCATENATE(form!L55,".",form!N55),Лист1!$AO$130:$AQ$181,2,0)</f>
        <v>#N/A</v>
      </c>
      <c r="Z79" s="270"/>
      <c r="AA79" s="310" t="e">
        <f>VLOOKUP(CONCATENATE(form!C55,".",form!D55),Лист1!$L:$N,3,0)</f>
        <v>#N/A</v>
      </c>
      <c r="AB79" s="310" t="e">
        <f>VLOOKUP(CONCATENATE(form!C55,".",form!D55),Лист1!$Q:$S,3,0)</f>
        <v>#N/A</v>
      </c>
      <c r="AC79" s="361" t="e">
        <f>VLOOKUP(CONCATENATE(form!C55,".",form!E55,".",form!F55,".",form!G55),Лист1!$U:$W,3,0)</f>
        <v>#N/A</v>
      </c>
      <c r="AD79" s="310" t="e">
        <f>VLOOKUP(form!I55,Лист1!$Y:$AA,3,0)</f>
        <v>#N/A</v>
      </c>
      <c r="AE79" s="313"/>
      <c r="AF79" s="313"/>
      <c r="AG79" s="314" t="e">
        <f>VLOOKUP(form!L55,Лист1!$AK$196:$AM$228,3,0)</f>
        <v>#N/A</v>
      </c>
      <c r="AH79" s="310" t="e">
        <f>VLOOKUP(CONCATENATE(form!L55,".",form!N55),Лист1!$AO$130:$AQ$181,3,0)</f>
        <v>#N/A</v>
      </c>
      <c r="AI79" s="270"/>
      <c r="AJ79" s="315" t="e">
        <f>VLOOKUP(CONCATENATE(form!C55,".",form!D55,".",form!H55),Лист1!$DD:$DH,5,0)</f>
        <v>#N/A</v>
      </c>
      <c r="AK79" s="313"/>
      <c r="AL79" s="313"/>
      <c r="AM79" s="313"/>
      <c r="AN79" s="315" t="e">
        <f>VLOOKUP(CONCATENATE(form!C55,".",form!L55),Лист1!$DV:$DZ,5,0)</f>
        <v>#N/A</v>
      </c>
      <c r="AO79" s="313"/>
      <c r="AP79" s="315" t="e">
        <f>VLOOKUP(CONCATENATE(form!C55,".",form!D55,".",form!H55,".",form!F55),Лист1!$EH:$EL,5,0)</f>
        <v>#N/A</v>
      </c>
      <c r="AQ79" s="364"/>
      <c r="AR79" s="364"/>
      <c r="AS79" s="365" t="e">
        <f t="shared" si="42"/>
        <v>#N/A</v>
      </c>
      <c r="AT79" s="270"/>
      <c r="AU79" s="668">
        <f t="shared" si="40"/>
        <v>0</v>
      </c>
      <c r="AV79" s="366">
        <f t="shared" si="41"/>
        <v>0</v>
      </c>
      <c r="AX79" s="309"/>
    </row>
    <row r="80" spans="2:50" s="288" customFormat="1" ht="24.9" customHeight="1">
      <c r="B80" s="396">
        <v>10</v>
      </c>
      <c r="C80" s="616" t="str">
        <f t="shared" si="31"/>
        <v/>
      </c>
      <c r="D80" s="617" t="str">
        <f t="shared" si="32"/>
        <v/>
      </c>
      <c r="E80" s="489" t="str">
        <f>IF(OR(J80=0,J80=""),"",VLOOKUP(R80,Лист1!$M:$O,3,0))</f>
        <v/>
      </c>
      <c r="F80" s="349" t="str">
        <f t="shared" si="33"/>
        <v/>
      </c>
      <c r="G80" s="628" t="str">
        <f t="shared" si="34"/>
        <v/>
      </c>
      <c r="H80" s="350" t="str">
        <f t="shared" si="35"/>
        <v/>
      </c>
      <c r="J80" s="360">
        <f>form!R56</f>
        <v>0</v>
      </c>
      <c r="K80" s="270"/>
      <c r="L80" s="361" t="str">
        <f t="shared" si="36"/>
        <v/>
      </c>
      <c r="M80" s="361" t="str">
        <f t="shared" si="37"/>
        <v/>
      </c>
      <c r="N80" s="361" t="str">
        <f t="shared" si="38"/>
        <v/>
      </c>
      <c r="O80" s="361" t="str">
        <f t="shared" si="39"/>
        <v/>
      </c>
      <c r="P80" s="270"/>
      <c r="Q80" s="270"/>
      <c r="R80" s="362" t="e">
        <f>VLOOKUP(CONCATENATE(form!C56,".",form!D56),Лист1!$L:$N,2,0)</f>
        <v>#N/A</v>
      </c>
      <c r="S80" s="363" t="e">
        <f>VLOOKUP(CONCATENATE(form!C56,".",form!D56),Лист1!$Q:$S,2,0)</f>
        <v>#N/A</v>
      </c>
      <c r="T80" s="363" t="e">
        <f>VLOOKUP(CONCATENATE(form!C56,".",form!E56,".",form!F56,".",form!G56),Лист1!$U:$W,2,0)</f>
        <v>#N/A</v>
      </c>
      <c r="U80" s="314" t="e">
        <f>VLOOKUP(form!I56,Лист1!$Y:$AA,2,0)</f>
        <v>#N/A</v>
      </c>
      <c r="V80" s="313"/>
      <c r="W80" s="313"/>
      <c r="X80" s="314" t="e">
        <f>VLOOKUP(form!L56,Лист1!$AK$196:$AM$228,2,0)</f>
        <v>#N/A</v>
      </c>
      <c r="Y80" s="314" t="e">
        <f>VLOOKUP(CONCATENATE(form!L56,".",form!N56),Лист1!$AO$130:$AQ$181,2,0)</f>
        <v>#N/A</v>
      </c>
      <c r="Z80" s="270"/>
      <c r="AA80" s="310" t="e">
        <f>VLOOKUP(CONCATENATE(form!C56,".",form!D56),Лист1!$L:$N,3,0)</f>
        <v>#N/A</v>
      </c>
      <c r="AB80" s="310" t="e">
        <f>VLOOKUP(CONCATENATE(form!C56,".",form!D56),Лист1!$Q:$S,3,0)</f>
        <v>#N/A</v>
      </c>
      <c r="AC80" s="361" t="e">
        <f>VLOOKUP(CONCATENATE(form!C56,".",form!E56,".",form!F56,".",form!G56),Лист1!$U:$W,3,0)</f>
        <v>#N/A</v>
      </c>
      <c r="AD80" s="310" t="e">
        <f>VLOOKUP(form!I56,Лист1!$Y:$AA,3,0)</f>
        <v>#N/A</v>
      </c>
      <c r="AE80" s="313"/>
      <c r="AF80" s="313"/>
      <c r="AG80" s="314" t="e">
        <f>VLOOKUP(form!L56,Лист1!$AK$196:$AM$228,3,0)</f>
        <v>#N/A</v>
      </c>
      <c r="AH80" s="310" t="e">
        <f>VLOOKUP(CONCATENATE(form!L56,".",form!N56),Лист1!$AO$130:$AQ$181,3,0)</f>
        <v>#N/A</v>
      </c>
      <c r="AI80" s="270"/>
      <c r="AJ80" s="315" t="e">
        <f>VLOOKUP(CONCATENATE(form!C56,".",form!D56,".",form!H56),Лист1!$DD:$DH,5,0)</f>
        <v>#N/A</v>
      </c>
      <c r="AK80" s="313"/>
      <c r="AL80" s="313"/>
      <c r="AM80" s="313"/>
      <c r="AN80" s="315" t="e">
        <f>VLOOKUP(CONCATENATE(form!C56,".",form!L56),Лист1!$DV:$DZ,5,0)</f>
        <v>#N/A</v>
      </c>
      <c r="AO80" s="313"/>
      <c r="AP80" s="315" t="e">
        <f>VLOOKUP(CONCATENATE(form!C56,".",form!D56,".",form!H56,".",form!F56),Лист1!$EH:$EL,5,0)</f>
        <v>#N/A</v>
      </c>
      <c r="AQ80" s="364"/>
      <c r="AR80" s="364"/>
      <c r="AS80" s="365" t="e">
        <f t="shared" si="42"/>
        <v>#N/A</v>
      </c>
      <c r="AT80" s="270"/>
      <c r="AU80" s="668">
        <f t="shared" si="40"/>
        <v>0</v>
      </c>
      <c r="AV80" s="366">
        <f t="shared" si="41"/>
        <v>0</v>
      </c>
      <c r="AX80" s="309"/>
    </row>
    <row r="81" spans="2:50" s="288" customFormat="1" ht="24.9" customHeight="1">
      <c r="B81" s="396">
        <v>11</v>
      </c>
      <c r="C81" s="616" t="str">
        <f t="shared" si="31"/>
        <v/>
      </c>
      <c r="D81" s="617" t="str">
        <f t="shared" si="32"/>
        <v/>
      </c>
      <c r="E81" s="489" t="str">
        <f>IF(OR(J81=0,J81=""),"",VLOOKUP(R81,Лист1!$M:$O,3,0))</f>
        <v/>
      </c>
      <c r="F81" s="349" t="str">
        <f t="shared" si="33"/>
        <v/>
      </c>
      <c r="G81" s="628" t="str">
        <f t="shared" si="34"/>
        <v/>
      </c>
      <c r="H81" s="350" t="str">
        <f t="shared" si="35"/>
        <v/>
      </c>
      <c r="J81" s="360">
        <f>form!R57</f>
        <v>0</v>
      </c>
      <c r="K81" s="270"/>
      <c r="L81" s="361" t="str">
        <f t="shared" si="36"/>
        <v/>
      </c>
      <c r="M81" s="361" t="str">
        <f t="shared" si="37"/>
        <v/>
      </c>
      <c r="N81" s="361" t="str">
        <f t="shared" si="38"/>
        <v/>
      </c>
      <c r="O81" s="361" t="str">
        <f t="shared" si="39"/>
        <v/>
      </c>
      <c r="P81" s="270"/>
      <c r="Q81" s="270"/>
      <c r="R81" s="362" t="e">
        <f>VLOOKUP(CONCATENATE(form!C57,".",form!D57),Лист1!$L:$N,2,0)</f>
        <v>#N/A</v>
      </c>
      <c r="S81" s="363" t="e">
        <f>VLOOKUP(CONCATENATE(form!C57,".",form!D57),Лист1!$Q:$S,2,0)</f>
        <v>#N/A</v>
      </c>
      <c r="T81" s="363" t="e">
        <f>VLOOKUP(CONCATENATE(form!C57,".",form!E57,".",form!F57,".",form!G57),Лист1!$U:$W,2,0)</f>
        <v>#N/A</v>
      </c>
      <c r="U81" s="314" t="e">
        <f>VLOOKUP(form!I57,Лист1!$Y:$AA,2,0)</f>
        <v>#N/A</v>
      </c>
      <c r="V81" s="313"/>
      <c r="W81" s="313"/>
      <c r="X81" s="314" t="e">
        <f>VLOOKUP(form!L57,Лист1!$AK$196:$AM$228,2,0)</f>
        <v>#N/A</v>
      </c>
      <c r="Y81" s="314" t="e">
        <f>VLOOKUP(CONCATENATE(form!L57,".",form!N57),Лист1!$AO$130:$AQ$181,2,0)</f>
        <v>#N/A</v>
      </c>
      <c r="Z81" s="270"/>
      <c r="AA81" s="310" t="e">
        <f>VLOOKUP(CONCATENATE(form!C57,".",form!D57),Лист1!$L:$N,3,0)</f>
        <v>#N/A</v>
      </c>
      <c r="AB81" s="310" t="e">
        <f>VLOOKUP(CONCATENATE(form!C57,".",form!D57),Лист1!$Q:$S,3,0)</f>
        <v>#N/A</v>
      </c>
      <c r="AC81" s="361" t="e">
        <f>VLOOKUP(CONCATENATE(form!C57,".",form!E57,".",form!F57,".",form!G57),Лист1!$U:$W,3,0)</f>
        <v>#N/A</v>
      </c>
      <c r="AD81" s="310" t="e">
        <f>VLOOKUP(form!I57,Лист1!$Y:$AA,3,0)</f>
        <v>#N/A</v>
      </c>
      <c r="AE81" s="313"/>
      <c r="AF81" s="313"/>
      <c r="AG81" s="314" t="e">
        <f>VLOOKUP(form!L57,Лист1!$AK$196:$AM$228,3,0)</f>
        <v>#N/A</v>
      </c>
      <c r="AH81" s="310" t="e">
        <f>VLOOKUP(CONCATENATE(form!L57,".",form!N57),Лист1!$AO$130:$AQ$181,3,0)</f>
        <v>#N/A</v>
      </c>
      <c r="AI81" s="270"/>
      <c r="AJ81" s="315" t="e">
        <f>VLOOKUP(CONCATENATE(form!C57,".",form!D57,".",form!H57),Лист1!$DD:$DH,5,0)</f>
        <v>#N/A</v>
      </c>
      <c r="AK81" s="313"/>
      <c r="AL81" s="313"/>
      <c r="AM81" s="313"/>
      <c r="AN81" s="315" t="e">
        <f>VLOOKUP(CONCATENATE(form!C57,".",form!L57),Лист1!$DV:$DZ,5,0)</f>
        <v>#N/A</v>
      </c>
      <c r="AO81" s="313"/>
      <c r="AP81" s="315" t="e">
        <f>VLOOKUP(CONCATENATE(form!C57,".",form!D57,".",form!H57,".",form!F57),Лист1!$EH:$EL,5,0)</f>
        <v>#N/A</v>
      </c>
      <c r="AQ81" s="364"/>
      <c r="AR81" s="364"/>
      <c r="AS81" s="365" t="e">
        <f t="shared" si="42"/>
        <v>#N/A</v>
      </c>
      <c r="AT81" s="270"/>
      <c r="AU81" s="668">
        <f t="shared" si="40"/>
        <v>0</v>
      </c>
      <c r="AV81" s="366">
        <f t="shared" si="41"/>
        <v>0</v>
      </c>
      <c r="AX81" s="309"/>
    </row>
    <row r="82" spans="2:50" s="288" customFormat="1" ht="24.9" customHeight="1">
      <c r="B82" s="396">
        <v>12</v>
      </c>
      <c r="C82" s="616" t="str">
        <f t="shared" si="31"/>
        <v/>
      </c>
      <c r="D82" s="617" t="str">
        <f t="shared" si="32"/>
        <v/>
      </c>
      <c r="E82" s="489" t="str">
        <f>IF(OR(J82=0,J82=""),"",VLOOKUP(R82,Лист1!$M:$O,3,0))</f>
        <v/>
      </c>
      <c r="F82" s="349" t="str">
        <f t="shared" si="33"/>
        <v/>
      </c>
      <c r="G82" s="628" t="str">
        <f t="shared" si="34"/>
        <v/>
      </c>
      <c r="H82" s="350" t="str">
        <f t="shared" si="35"/>
        <v/>
      </c>
      <c r="J82" s="360">
        <f>form!R58</f>
        <v>0</v>
      </c>
      <c r="K82" s="270"/>
      <c r="L82" s="361" t="str">
        <f t="shared" si="36"/>
        <v/>
      </c>
      <c r="M82" s="361" t="str">
        <f t="shared" si="37"/>
        <v/>
      </c>
      <c r="N82" s="361" t="str">
        <f t="shared" si="38"/>
        <v/>
      </c>
      <c r="O82" s="361" t="str">
        <f t="shared" si="39"/>
        <v/>
      </c>
      <c r="P82" s="270"/>
      <c r="Q82" s="270"/>
      <c r="R82" s="362" t="e">
        <f>VLOOKUP(CONCATENATE(form!C58,".",form!D58),Лист1!$L:$N,2,0)</f>
        <v>#N/A</v>
      </c>
      <c r="S82" s="363" t="e">
        <f>VLOOKUP(CONCATENATE(form!C58,".",form!D58),Лист1!$Q:$S,2,0)</f>
        <v>#N/A</v>
      </c>
      <c r="T82" s="363" t="e">
        <f>VLOOKUP(CONCATENATE(form!C58,".",form!E58,".",form!F58,".",form!G58),Лист1!$U:$W,2,0)</f>
        <v>#N/A</v>
      </c>
      <c r="U82" s="314" t="e">
        <f>VLOOKUP(form!I58,Лист1!$Y:$AA,2,0)</f>
        <v>#N/A</v>
      </c>
      <c r="V82" s="313"/>
      <c r="W82" s="313"/>
      <c r="X82" s="314" t="e">
        <f>VLOOKUP(form!L58,Лист1!$AK$196:$AM$228,2,0)</f>
        <v>#N/A</v>
      </c>
      <c r="Y82" s="314" t="e">
        <f>VLOOKUP(CONCATENATE(form!L58,".",form!N58),Лист1!$AO$130:$AQ$181,2,0)</f>
        <v>#N/A</v>
      </c>
      <c r="Z82" s="270"/>
      <c r="AA82" s="310" t="e">
        <f>VLOOKUP(CONCATENATE(form!C58,".",form!D58),Лист1!$L:$N,3,0)</f>
        <v>#N/A</v>
      </c>
      <c r="AB82" s="310" t="e">
        <f>VLOOKUP(CONCATENATE(form!C58,".",form!D58),Лист1!$Q:$S,3,0)</f>
        <v>#N/A</v>
      </c>
      <c r="AC82" s="361" t="e">
        <f>VLOOKUP(CONCATENATE(form!C58,".",form!E58,".",form!F58,".",form!G58),Лист1!$U:$W,3,0)</f>
        <v>#N/A</v>
      </c>
      <c r="AD82" s="310" t="e">
        <f>VLOOKUP(form!I58,Лист1!$Y:$AA,3,0)</f>
        <v>#N/A</v>
      </c>
      <c r="AE82" s="313"/>
      <c r="AF82" s="313"/>
      <c r="AG82" s="314" t="e">
        <f>VLOOKUP(form!L58,Лист1!$AK$196:$AM$228,3,0)</f>
        <v>#N/A</v>
      </c>
      <c r="AH82" s="310" t="e">
        <f>VLOOKUP(CONCATENATE(form!L58,".",form!N58),Лист1!$AO$130:$AQ$181,3,0)</f>
        <v>#N/A</v>
      </c>
      <c r="AI82" s="270"/>
      <c r="AJ82" s="315" t="e">
        <f>VLOOKUP(CONCATENATE(form!C58,".",form!D58,".",form!H58),Лист1!$DD:$DH,5,0)</f>
        <v>#N/A</v>
      </c>
      <c r="AK82" s="313"/>
      <c r="AL82" s="313"/>
      <c r="AM82" s="313"/>
      <c r="AN82" s="315" t="e">
        <f>VLOOKUP(CONCATENATE(form!C58,".",form!L58),Лист1!$DV:$DZ,5,0)</f>
        <v>#N/A</v>
      </c>
      <c r="AO82" s="313"/>
      <c r="AP82" s="315" t="e">
        <f>VLOOKUP(CONCATENATE(form!C58,".",form!D58,".",form!H58,".",form!F58),Лист1!$EH:$EL,5,0)</f>
        <v>#N/A</v>
      </c>
      <c r="AQ82" s="364"/>
      <c r="AR82" s="364"/>
      <c r="AS82" s="365" t="e">
        <f t="shared" si="42"/>
        <v>#N/A</v>
      </c>
      <c r="AT82" s="270"/>
      <c r="AU82" s="668">
        <f t="shared" si="40"/>
        <v>0</v>
      </c>
      <c r="AV82" s="366">
        <f t="shared" si="41"/>
        <v>0</v>
      </c>
      <c r="AX82" s="309"/>
    </row>
    <row r="83" spans="2:50" s="288" customFormat="1" ht="24.9" customHeight="1">
      <c r="B83" s="396">
        <v>13</v>
      </c>
      <c r="C83" s="616" t="str">
        <f t="shared" si="31"/>
        <v/>
      </c>
      <c r="D83" s="617" t="str">
        <f t="shared" si="32"/>
        <v/>
      </c>
      <c r="E83" s="489" t="str">
        <f>IF(OR(J83=0,J83=""),"",VLOOKUP(R83,Лист1!$M:$O,3,0))</f>
        <v/>
      </c>
      <c r="F83" s="349" t="str">
        <f t="shared" si="33"/>
        <v/>
      </c>
      <c r="G83" s="628" t="str">
        <f t="shared" si="34"/>
        <v/>
      </c>
      <c r="H83" s="350" t="str">
        <f t="shared" si="35"/>
        <v/>
      </c>
      <c r="J83" s="360">
        <f>form!R59</f>
        <v>0</v>
      </c>
      <c r="K83" s="270"/>
      <c r="L83" s="361" t="str">
        <f t="shared" si="36"/>
        <v/>
      </c>
      <c r="M83" s="361" t="str">
        <f t="shared" si="37"/>
        <v/>
      </c>
      <c r="N83" s="361" t="str">
        <f t="shared" si="38"/>
        <v/>
      </c>
      <c r="O83" s="361" t="str">
        <f t="shared" si="39"/>
        <v/>
      </c>
      <c r="P83" s="270"/>
      <c r="Q83" s="270"/>
      <c r="R83" s="362" t="e">
        <f>VLOOKUP(CONCATENATE(form!C59,".",form!D59),Лист1!$L:$N,2,0)</f>
        <v>#N/A</v>
      </c>
      <c r="S83" s="363" t="e">
        <f>VLOOKUP(CONCATENATE(form!C59,".",form!D59),Лист1!$Q:$S,2,0)</f>
        <v>#N/A</v>
      </c>
      <c r="T83" s="363" t="e">
        <f>VLOOKUP(CONCATENATE(form!C59,".",form!E59,".",form!F59,".",form!G59),Лист1!$U:$W,2,0)</f>
        <v>#N/A</v>
      </c>
      <c r="U83" s="314" t="e">
        <f>VLOOKUP(form!I59,Лист1!$Y:$AA,2,0)</f>
        <v>#N/A</v>
      </c>
      <c r="V83" s="313"/>
      <c r="W83" s="313"/>
      <c r="X83" s="314" t="e">
        <f>VLOOKUP(form!L59,Лист1!$AK$196:$AM$228,2,0)</f>
        <v>#N/A</v>
      </c>
      <c r="Y83" s="314" t="e">
        <f>VLOOKUP(CONCATENATE(form!L59,".",form!N59),Лист1!$AO$130:$AQ$181,2,0)</f>
        <v>#N/A</v>
      </c>
      <c r="Z83" s="270"/>
      <c r="AA83" s="310" t="e">
        <f>VLOOKUP(CONCATENATE(form!C59,".",form!D59),Лист1!$L:$N,3,0)</f>
        <v>#N/A</v>
      </c>
      <c r="AB83" s="310" t="e">
        <f>VLOOKUP(CONCATENATE(form!C59,".",form!D59),Лист1!$Q:$S,3,0)</f>
        <v>#N/A</v>
      </c>
      <c r="AC83" s="361" t="e">
        <f>VLOOKUP(CONCATENATE(form!C59,".",form!E59,".",form!F59,".",form!G59),Лист1!$U:$W,3,0)</f>
        <v>#N/A</v>
      </c>
      <c r="AD83" s="310" t="e">
        <f>VLOOKUP(form!I59,Лист1!$Y:$AA,3,0)</f>
        <v>#N/A</v>
      </c>
      <c r="AE83" s="313"/>
      <c r="AF83" s="313"/>
      <c r="AG83" s="314" t="e">
        <f>VLOOKUP(form!L59,Лист1!$AK$196:$AM$228,3,0)</f>
        <v>#N/A</v>
      </c>
      <c r="AH83" s="310" t="e">
        <f>VLOOKUP(CONCATENATE(form!L59,".",form!N59),Лист1!$AO$130:$AQ$181,3,0)</f>
        <v>#N/A</v>
      </c>
      <c r="AI83" s="270"/>
      <c r="AJ83" s="315" t="e">
        <f>VLOOKUP(CONCATENATE(form!C59,".",form!D59,".",form!H59),Лист1!$DD:$DH,5,0)</f>
        <v>#N/A</v>
      </c>
      <c r="AK83" s="313"/>
      <c r="AL83" s="313"/>
      <c r="AM83" s="313"/>
      <c r="AN83" s="315" t="e">
        <f>VLOOKUP(CONCATENATE(form!C59,".",form!L59),Лист1!$DV:$DZ,5,0)</f>
        <v>#N/A</v>
      </c>
      <c r="AO83" s="313"/>
      <c r="AP83" s="315" t="e">
        <f>VLOOKUP(CONCATENATE(form!C59,".",form!D59,".",form!H59,".",form!F59),Лист1!$EH:$EL,5,0)</f>
        <v>#N/A</v>
      </c>
      <c r="AQ83" s="364"/>
      <c r="AR83" s="364"/>
      <c r="AS83" s="365" t="e">
        <f t="shared" si="42"/>
        <v>#N/A</v>
      </c>
      <c r="AT83" s="270"/>
      <c r="AU83" s="668">
        <f t="shared" si="40"/>
        <v>0</v>
      </c>
      <c r="AV83" s="366">
        <f t="shared" si="41"/>
        <v>0</v>
      </c>
      <c r="AX83" s="309"/>
    </row>
    <row r="84" spans="2:50" s="288" customFormat="1" ht="24.9" customHeight="1">
      <c r="B84" s="396">
        <v>14</v>
      </c>
      <c r="C84" s="616" t="str">
        <f t="shared" si="31"/>
        <v/>
      </c>
      <c r="D84" s="617" t="str">
        <f t="shared" si="32"/>
        <v/>
      </c>
      <c r="E84" s="489" t="str">
        <f>IF(OR(J84=0,J84=""),"",VLOOKUP(R84,Лист1!$M:$O,3,0))</f>
        <v/>
      </c>
      <c r="F84" s="349" t="str">
        <f t="shared" si="33"/>
        <v/>
      </c>
      <c r="G84" s="628" t="str">
        <f t="shared" si="34"/>
        <v/>
      </c>
      <c r="H84" s="350" t="str">
        <f t="shared" si="35"/>
        <v/>
      </c>
      <c r="J84" s="360">
        <f>form!R60</f>
        <v>0</v>
      </c>
      <c r="K84" s="270"/>
      <c r="L84" s="361" t="str">
        <f t="shared" si="36"/>
        <v/>
      </c>
      <c r="M84" s="361" t="str">
        <f t="shared" si="37"/>
        <v/>
      </c>
      <c r="N84" s="361" t="str">
        <f t="shared" si="38"/>
        <v/>
      </c>
      <c r="O84" s="361" t="str">
        <f t="shared" si="39"/>
        <v/>
      </c>
      <c r="P84" s="270"/>
      <c r="Q84" s="270"/>
      <c r="R84" s="362" t="e">
        <f>VLOOKUP(CONCATENATE(form!C60,".",form!D60),Лист1!$L:$N,2,0)</f>
        <v>#N/A</v>
      </c>
      <c r="S84" s="363" t="e">
        <f>VLOOKUP(CONCATENATE(form!C60,".",form!D60),Лист1!$Q:$S,2,0)</f>
        <v>#N/A</v>
      </c>
      <c r="T84" s="363" t="e">
        <f>VLOOKUP(CONCATENATE(form!C60,".",form!E60,".",form!F60,".",form!G60),Лист1!$U:$W,2,0)</f>
        <v>#N/A</v>
      </c>
      <c r="U84" s="314" t="e">
        <f>VLOOKUP(form!I60,Лист1!$Y:$AA,2,0)</f>
        <v>#N/A</v>
      </c>
      <c r="V84" s="313"/>
      <c r="W84" s="313"/>
      <c r="X84" s="314" t="e">
        <f>VLOOKUP(form!L60,Лист1!$AK$196:$AM$228,2,0)</f>
        <v>#N/A</v>
      </c>
      <c r="Y84" s="314" t="e">
        <f>VLOOKUP(CONCATENATE(form!L60,".",form!N60),Лист1!$AO$130:$AQ$181,2,0)</f>
        <v>#N/A</v>
      </c>
      <c r="Z84" s="270"/>
      <c r="AA84" s="310" t="e">
        <f>VLOOKUP(CONCATENATE(form!C60,".",form!D60),Лист1!$L:$N,3,0)</f>
        <v>#N/A</v>
      </c>
      <c r="AB84" s="310" t="e">
        <f>VLOOKUP(CONCATENATE(form!C60,".",form!D60),Лист1!$Q:$S,3,0)</f>
        <v>#N/A</v>
      </c>
      <c r="AC84" s="361" t="e">
        <f>VLOOKUP(CONCATENATE(form!C60,".",form!E60,".",form!F60,".",form!G60),Лист1!$U:$W,3,0)</f>
        <v>#N/A</v>
      </c>
      <c r="AD84" s="310" t="e">
        <f>VLOOKUP(form!I60,Лист1!$Y:$AA,3,0)</f>
        <v>#N/A</v>
      </c>
      <c r="AE84" s="313"/>
      <c r="AF84" s="313"/>
      <c r="AG84" s="314" t="e">
        <f>VLOOKUP(form!L60,Лист1!$AK$196:$AM$228,3,0)</f>
        <v>#N/A</v>
      </c>
      <c r="AH84" s="310" t="e">
        <f>VLOOKUP(CONCATENATE(form!L60,".",form!N60),Лист1!$AO$130:$AQ$181,3,0)</f>
        <v>#N/A</v>
      </c>
      <c r="AI84" s="270"/>
      <c r="AJ84" s="315" t="e">
        <f>VLOOKUP(CONCATENATE(form!C60,".",form!D60,".",form!H60),Лист1!$DD:$DH,5,0)</f>
        <v>#N/A</v>
      </c>
      <c r="AK84" s="313"/>
      <c r="AL84" s="313"/>
      <c r="AM84" s="313"/>
      <c r="AN84" s="315" t="e">
        <f>VLOOKUP(CONCATENATE(form!C60,".",form!L60),Лист1!$DV:$DZ,5,0)</f>
        <v>#N/A</v>
      </c>
      <c r="AO84" s="313"/>
      <c r="AP84" s="315" t="e">
        <f>VLOOKUP(CONCATENATE(form!C60,".",form!D60,".",form!H60,".",form!F60),Лист1!$EH:$EL,5,0)</f>
        <v>#N/A</v>
      </c>
      <c r="AQ84" s="364"/>
      <c r="AR84" s="364"/>
      <c r="AS84" s="365" t="e">
        <f t="shared" si="42"/>
        <v>#N/A</v>
      </c>
      <c r="AT84" s="270"/>
      <c r="AU84" s="668">
        <f t="shared" si="40"/>
        <v>0</v>
      </c>
      <c r="AV84" s="366">
        <f t="shared" si="41"/>
        <v>0</v>
      </c>
      <c r="AX84" s="309"/>
    </row>
    <row r="85" spans="2:50" s="288" customFormat="1" ht="24.9" customHeight="1">
      <c r="B85" s="397">
        <v>15</v>
      </c>
      <c r="C85" s="618" t="str">
        <f t="shared" si="31"/>
        <v/>
      </c>
      <c r="D85" s="619" t="str">
        <f t="shared" si="32"/>
        <v/>
      </c>
      <c r="E85" s="490" t="str">
        <f>IF(OR(J85=0,J85=""),"",VLOOKUP(R85,Лист1!$M:$O,3,0))</f>
        <v/>
      </c>
      <c r="F85" s="367" t="str">
        <f t="shared" si="33"/>
        <v/>
      </c>
      <c r="G85" s="629" t="str">
        <f t="shared" si="34"/>
        <v/>
      </c>
      <c r="H85" s="368" t="str">
        <f t="shared" si="35"/>
        <v/>
      </c>
      <c r="J85" s="360">
        <f>form!R61</f>
        <v>0</v>
      </c>
      <c r="K85" s="270"/>
      <c r="L85" s="361" t="str">
        <f t="shared" si="36"/>
        <v/>
      </c>
      <c r="M85" s="361" t="str">
        <f t="shared" si="37"/>
        <v/>
      </c>
      <c r="N85" s="361" t="str">
        <f t="shared" si="38"/>
        <v/>
      </c>
      <c r="O85" s="361" t="str">
        <f t="shared" si="39"/>
        <v/>
      </c>
      <c r="P85" s="270"/>
      <c r="Q85" s="270"/>
      <c r="R85" s="362" t="e">
        <f>VLOOKUP(CONCATENATE(form!C61,".",form!D61),Лист1!$L:$N,2,0)</f>
        <v>#N/A</v>
      </c>
      <c r="S85" s="363" t="e">
        <f>VLOOKUP(CONCATENATE(form!C61,".",form!D61),Лист1!$Q:$S,2,0)</f>
        <v>#N/A</v>
      </c>
      <c r="T85" s="363" t="e">
        <f>VLOOKUP(CONCATENATE(form!C61,".",form!E61,".",form!F61,".",form!G61),Лист1!$U:$W,2,0)</f>
        <v>#N/A</v>
      </c>
      <c r="U85" s="314" t="e">
        <f>VLOOKUP(form!I61,Лист1!$Y:$AA,2,0)</f>
        <v>#N/A</v>
      </c>
      <c r="V85" s="313"/>
      <c r="W85" s="313"/>
      <c r="X85" s="314" t="e">
        <f>VLOOKUP(form!L61,Лист1!$AK$196:$AM$228,2,0)</f>
        <v>#N/A</v>
      </c>
      <c r="Y85" s="314" t="e">
        <f>VLOOKUP(CONCATENATE(form!L61,".",form!N61),Лист1!$AO$130:$AQ$181,2,0)</f>
        <v>#N/A</v>
      </c>
      <c r="Z85" s="270"/>
      <c r="AA85" s="310" t="e">
        <f>VLOOKUP(CONCATENATE(form!C61,".",form!D61),Лист1!$L:$N,3,0)</f>
        <v>#N/A</v>
      </c>
      <c r="AB85" s="310" t="e">
        <f>VLOOKUP(CONCATENATE(form!C61,".",form!D61),Лист1!$Q:$S,3,0)</f>
        <v>#N/A</v>
      </c>
      <c r="AC85" s="361" t="e">
        <f>VLOOKUP(CONCATENATE(form!C61,".",form!E61,".",form!F61,".",form!G61),Лист1!$U:$W,3,0)</f>
        <v>#N/A</v>
      </c>
      <c r="AD85" s="310" t="e">
        <f>VLOOKUP(form!I61,Лист1!$Y:$AA,3,0)</f>
        <v>#N/A</v>
      </c>
      <c r="AE85" s="313"/>
      <c r="AF85" s="313"/>
      <c r="AG85" s="314" t="e">
        <f>VLOOKUP(form!L61,Лист1!$AK$196:$AM$228,3,0)</f>
        <v>#N/A</v>
      </c>
      <c r="AH85" s="310" t="e">
        <f>VLOOKUP(CONCATENATE(form!L61,".",form!N61),Лист1!$AO$130:$AQ$181,3,0)</f>
        <v>#N/A</v>
      </c>
      <c r="AI85" s="270"/>
      <c r="AJ85" s="315" t="e">
        <f>VLOOKUP(CONCATENATE(form!C61,".",form!D61,".",form!H61),Лист1!$DD:$DH,5,0)</f>
        <v>#N/A</v>
      </c>
      <c r="AK85" s="313"/>
      <c r="AL85" s="313"/>
      <c r="AM85" s="313"/>
      <c r="AN85" s="315" t="e">
        <f>VLOOKUP(CONCATENATE(form!C61,".",form!L61),Лист1!$DV:$DZ,5,0)</f>
        <v>#N/A</v>
      </c>
      <c r="AO85" s="313"/>
      <c r="AP85" s="315" t="e">
        <f>VLOOKUP(CONCATENATE(form!C61,".",form!D61,".",form!H61,".",form!F61),Лист1!$EH:$EL,5,0)</f>
        <v>#N/A</v>
      </c>
      <c r="AQ85" s="364"/>
      <c r="AR85" s="364"/>
      <c r="AS85" s="365" t="e">
        <f t="shared" si="42"/>
        <v>#N/A</v>
      </c>
      <c r="AT85" s="270"/>
      <c r="AU85" s="668">
        <f t="shared" si="40"/>
        <v>0</v>
      </c>
      <c r="AV85" s="366">
        <f t="shared" si="41"/>
        <v>0</v>
      </c>
      <c r="AX85" s="309"/>
    </row>
    <row r="86" spans="2:50" s="288" customFormat="1" ht="24.9" customHeight="1">
      <c r="B86" s="608" t="str">
        <f>form!B63</f>
        <v>Розділ № 4: ФРАМУГИ</v>
      </c>
      <c r="C86" s="283"/>
      <c r="D86" s="486"/>
      <c r="E86" s="487"/>
      <c r="F86" s="286" t="str">
        <f>IF(H86="","","ИТОГО:")</f>
        <v/>
      </c>
      <c r="G86" s="624" t="str">
        <f>IF(J86=0,"",SUM(G87:G91))</f>
        <v/>
      </c>
      <c r="H86" s="287" t="str">
        <f>IF(J86=0,"",SUM(H87:H91))</f>
        <v/>
      </c>
      <c r="J86" s="340">
        <f>SUM(J87:J91)</f>
        <v>0</v>
      </c>
      <c r="L86" s="351"/>
      <c r="M86" s="351"/>
      <c r="N86" s="351"/>
      <c r="O86" s="351"/>
      <c r="P86" s="291"/>
      <c r="Q86" s="291"/>
      <c r="R86" s="369" t="s">
        <v>465</v>
      </c>
      <c r="S86" s="369" t="s">
        <v>464</v>
      </c>
      <c r="T86" s="292" t="s">
        <v>453</v>
      </c>
      <c r="U86" s="292" t="s">
        <v>463</v>
      </c>
      <c r="V86" s="292" t="s">
        <v>234</v>
      </c>
      <c r="W86" s="292" t="s">
        <v>236</v>
      </c>
      <c r="X86" s="292" t="s">
        <v>467</v>
      </c>
      <c r="Y86" s="292" t="s">
        <v>468</v>
      </c>
      <c r="AA86" s="369" t="s">
        <v>465</v>
      </c>
      <c r="AB86" s="292" t="s">
        <v>464</v>
      </c>
      <c r="AC86" s="292" t="s">
        <v>453</v>
      </c>
      <c r="AD86" s="292" t="s">
        <v>463</v>
      </c>
      <c r="AE86" s="292" t="s">
        <v>234</v>
      </c>
      <c r="AF86" s="292" t="s">
        <v>236</v>
      </c>
      <c r="AG86" s="292" t="s">
        <v>467</v>
      </c>
      <c r="AH86" s="292" t="s">
        <v>468</v>
      </c>
      <c r="AJ86" s="292" t="s">
        <v>348</v>
      </c>
      <c r="AK86" s="292" t="s">
        <v>753</v>
      </c>
      <c r="AL86" s="292" t="s">
        <v>466</v>
      </c>
      <c r="AM86" s="293"/>
      <c r="AN86" s="292" t="s">
        <v>544</v>
      </c>
      <c r="AO86" s="292" t="s">
        <v>256</v>
      </c>
      <c r="AP86" s="292" t="s">
        <v>114</v>
      </c>
      <c r="AQ86" s="370"/>
      <c r="AR86" s="370"/>
      <c r="AS86" s="369" t="s">
        <v>1038</v>
      </c>
      <c r="AU86" s="669"/>
      <c r="AV86" s="371" t="s">
        <v>578</v>
      </c>
    </row>
    <row r="87" spans="2:50" s="288" customFormat="1" ht="24.9" customHeight="1">
      <c r="B87" s="395">
        <v>1</v>
      </c>
      <c r="C87" s="605" t="str">
        <f t="shared" ref="C87:D91" si="43">IF(ISNA(L87),"",L87)</f>
        <v/>
      </c>
      <c r="D87" s="607" t="str">
        <f t="shared" si="43"/>
        <v/>
      </c>
      <c r="E87" s="485" t="str">
        <f>IF(OR(J87=0,J87=""),"",VLOOKUP(R87,Лист1!$M:$O,3,0))</f>
        <v/>
      </c>
      <c r="F87" s="318" t="str">
        <f>IF(ISNA(N87),"",N87)</f>
        <v/>
      </c>
      <c r="G87" s="626" t="str">
        <f>IF(J87=0,"",J87)</f>
        <v/>
      </c>
      <c r="H87" s="319" t="str">
        <f>IF(ISNA(O87),"",O87)</f>
        <v/>
      </c>
      <c r="J87" s="344">
        <f>form!R65</f>
        <v>0</v>
      </c>
      <c r="L87" s="361" t="str">
        <f>IF(G87="","",CONCATENATE(R87,".",T87,".",S87,".",U87,".",W87))</f>
        <v/>
      </c>
      <c r="M87" s="361" t="str">
        <f>IF(G87="","",CONCATENATE(AA87,", ",AB87,", ",AC87,", ",AD87,", ",AF87,))</f>
        <v/>
      </c>
      <c r="N87" s="361" t="str">
        <f>IF(G87="","",AS87*(1-$G$1))</f>
        <v/>
      </c>
      <c r="O87" s="361" t="str">
        <f>IF(F87="","",G87*F87)</f>
        <v/>
      </c>
      <c r="P87" s="270"/>
      <c r="Q87" s="270"/>
      <c r="R87" s="362" t="e">
        <f>VLOOKUP(CONCATENATE(form!C65,".",form!D65),Лист1!$L:$N,2,0)</f>
        <v>#N/A</v>
      </c>
      <c r="S87" s="363" t="e">
        <f>VLOOKUP(CONCATENATE(form!C65,".",form!D65),Лист1!$Q:$S,2,0)</f>
        <v>#N/A</v>
      </c>
      <c r="T87" s="363" t="str">
        <f>CONCATENATE(form!F65,"-",form!G65)</f>
        <v>-</v>
      </c>
      <c r="U87" s="358" t="e">
        <f>VLOOKUP(form!I65,Лист1!$Y:$AA,2,0)</f>
        <v>#N/A</v>
      </c>
      <c r="V87" s="313"/>
      <c r="W87" s="358" t="e">
        <f>VLOOKUP(form!K65,Лист1!$AG:$AI,2,0)</f>
        <v>#N/A</v>
      </c>
      <c r="X87" s="313"/>
      <c r="Y87" s="313"/>
      <c r="Z87" s="270"/>
      <c r="AA87" s="310" t="e">
        <f>VLOOKUP(CONCATENATE(form!C65,".",form!D65),Лист1!$L:$N,3,0)</f>
        <v>#N/A</v>
      </c>
      <c r="AB87" s="310" t="e">
        <f>VLOOKUP(CONCATENATE(form!C65,".",form!D65),Лист1!$Q:$S,3,0)</f>
        <v>#N/A</v>
      </c>
      <c r="AC87" s="361" t="str">
        <f>CONCATENATE("размер(мм): ",form!F65,"*",form!G65)</f>
        <v>размер(мм): *</v>
      </c>
      <c r="AD87" s="310" t="e">
        <f>VLOOKUP(form!I65,Лист1!$Y:$AA,3,0)</f>
        <v>#N/A</v>
      </c>
      <c r="AE87" s="313"/>
      <c r="AF87" s="372" t="e">
        <f>VLOOKUP(form!K65,Лист1!$AG:$AI,3,0)</f>
        <v>#N/A</v>
      </c>
      <c r="AG87" s="313"/>
      <c r="AH87" s="313"/>
      <c r="AI87" s="270"/>
      <c r="AJ87" s="315" t="e">
        <f>(VLOOKUP(CONCATENATE(form!C65,".",form!D65,".",form!H65),Лист1!$DD:$DH,5,0))*(((form!F65/1000)*2)+((form!G65/1000)*2))</f>
        <v>#N/A</v>
      </c>
      <c r="AK87" s="313"/>
      <c r="AL87" s="315" t="e">
        <f>(VLOOKUP(CONCATENATE(form!C65,".",form!K65),Лист1!$DP:$DT,5,0))*((form!F65/1000)*(form!G65/1000))</f>
        <v>#N/A</v>
      </c>
      <c r="AM87" s="313"/>
      <c r="AN87" s="313"/>
      <c r="AO87" s="313"/>
      <c r="AP87" s="313"/>
      <c r="AQ87" s="313"/>
      <c r="AR87" s="313"/>
      <c r="AS87" s="365" t="e">
        <f>ROUND(SUM(AJ87:AQ87),2)</f>
        <v>#N/A</v>
      </c>
      <c r="AT87" s="270"/>
      <c r="AU87" s="668">
        <f>IF(ISNA(AV87),"0",AV87)</f>
        <v>0</v>
      </c>
      <c r="AV87" s="366">
        <f>IF(G87="",0,ROUND(AS87*G87,2))</f>
        <v>0</v>
      </c>
      <c r="AX87" s="309"/>
    </row>
    <row r="88" spans="2:50" s="288" customFormat="1" ht="24.9" customHeight="1">
      <c r="B88" s="396">
        <v>2</v>
      </c>
      <c r="C88" s="605" t="str">
        <f t="shared" si="43"/>
        <v/>
      </c>
      <c r="D88" s="607" t="str">
        <f t="shared" si="43"/>
        <v/>
      </c>
      <c r="E88" s="485" t="str">
        <f>IF(OR(J88=0,J88=""),"",VLOOKUP(R88,Лист1!$M:$O,3,0))</f>
        <v/>
      </c>
      <c r="F88" s="318" t="str">
        <f>IF(ISNA(N88),"",N88)</f>
        <v/>
      </c>
      <c r="G88" s="626" t="str">
        <f>IF(J88=0,"",J88)</f>
        <v/>
      </c>
      <c r="H88" s="319" t="str">
        <f>IF(ISNA(O88),"",O88)</f>
        <v/>
      </c>
      <c r="J88" s="360">
        <f>form!R66</f>
        <v>0</v>
      </c>
      <c r="L88" s="361" t="str">
        <f>IF(G88="","",CONCATENATE(R88,".",T88,".",S88,".",U88,".",W88))</f>
        <v/>
      </c>
      <c r="M88" s="361" t="str">
        <f>IF(G88="","",CONCATENATE(AA88,", ",AB88,", ",AC88,", ",AD88,", ",AF88,))</f>
        <v/>
      </c>
      <c r="N88" s="361" t="str">
        <f>IF(G88="","",AS88*(1-$G$1))</f>
        <v/>
      </c>
      <c r="O88" s="361" t="str">
        <f>IF(F88="","",G88*F88)</f>
        <v/>
      </c>
      <c r="P88" s="270"/>
      <c r="Q88" s="270"/>
      <c r="R88" s="362" t="e">
        <f>VLOOKUP(CONCATENATE(form!C66,".",form!D66),Лист1!$L:$N,2,0)</f>
        <v>#N/A</v>
      </c>
      <c r="S88" s="363" t="e">
        <f>VLOOKUP(CONCATENATE(form!C66,".",form!D66),Лист1!$Q:$S,2,0)</f>
        <v>#N/A</v>
      </c>
      <c r="T88" s="363" t="str">
        <f>CONCATENATE(form!F66,"-",form!G66)</f>
        <v>-</v>
      </c>
      <c r="U88" s="314" t="e">
        <f>VLOOKUP(form!I66,Лист1!$Y:$AA,2,0)</f>
        <v>#N/A</v>
      </c>
      <c r="V88" s="313"/>
      <c r="W88" s="314" t="e">
        <f>VLOOKUP(form!K66,Лист1!$AG:$AI,2,0)</f>
        <v>#N/A</v>
      </c>
      <c r="X88" s="313"/>
      <c r="Y88" s="313"/>
      <c r="Z88" s="270"/>
      <c r="AA88" s="310" t="e">
        <f>VLOOKUP(CONCATENATE(form!C66,".",form!D66),Лист1!$L:$N,3,0)</f>
        <v>#N/A</v>
      </c>
      <c r="AB88" s="310" t="e">
        <f>VLOOKUP(CONCATENATE(form!C66,".",form!D66),Лист1!$Q:$S,3,0)</f>
        <v>#N/A</v>
      </c>
      <c r="AC88" s="361" t="str">
        <f>CONCATENATE("размер(мм): ",form!F66,"*",form!G66)</f>
        <v>размер(мм): *</v>
      </c>
      <c r="AD88" s="310" t="e">
        <f>VLOOKUP(form!I66,Лист1!$Y:$AA,3,0)</f>
        <v>#N/A</v>
      </c>
      <c r="AE88" s="313"/>
      <c r="AF88" s="372" t="e">
        <f>VLOOKUP(form!K66,Лист1!$AG:$AI,3,0)</f>
        <v>#N/A</v>
      </c>
      <c r="AG88" s="313"/>
      <c r="AH88" s="313"/>
      <c r="AI88" s="270"/>
      <c r="AJ88" s="315" t="e">
        <f>(VLOOKUP(CONCATENATE(form!C66,".",form!D66,".",form!H66),Лист1!$DD:$DH,5,0))*(((form!F66/1000)*2)+((form!G66/1000)*2))</f>
        <v>#N/A</v>
      </c>
      <c r="AK88" s="313"/>
      <c r="AL88" s="315" t="e">
        <f>(VLOOKUP(CONCATENATE(form!C66,".",form!K66),Лист1!$DP:$DT,5,0))*((form!F66/1000)*(form!G66/1000))</f>
        <v>#N/A</v>
      </c>
      <c r="AM88" s="313"/>
      <c r="AN88" s="313"/>
      <c r="AO88" s="313"/>
      <c r="AP88" s="313"/>
      <c r="AQ88" s="313"/>
      <c r="AR88" s="313"/>
      <c r="AS88" s="365" t="e">
        <f>ROUND(SUM(AJ88:AQ88),2)</f>
        <v>#N/A</v>
      </c>
      <c r="AT88" s="270"/>
      <c r="AU88" s="668">
        <f>IF(ISNA(AV88),"0",AV88)</f>
        <v>0</v>
      </c>
      <c r="AV88" s="366">
        <f>IF(G88="",0,ROUND(AS88*G88,2))</f>
        <v>0</v>
      </c>
      <c r="AX88" s="309"/>
    </row>
    <row r="89" spans="2:50" s="288" customFormat="1" ht="24.9" customHeight="1">
      <c r="B89" s="396">
        <v>3</v>
      </c>
      <c r="C89" s="605" t="str">
        <f t="shared" si="43"/>
        <v/>
      </c>
      <c r="D89" s="607" t="str">
        <f t="shared" si="43"/>
        <v/>
      </c>
      <c r="E89" s="485" t="str">
        <f>IF(OR(J89=0,J89=""),"",VLOOKUP(R89,Лист1!$M:$O,3,0))</f>
        <v/>
      </c>
      <c r="F89" s="318" t="str">
        <f>IF(ISNA(N89),"",N89)</f>
        <v/>
      </c>
      <c r="G89" s="626" t="str">
        <f>IF(J89=0,"",J89)</f>
        <v/>
      </c>
      <c r="H89" s="319" t="str">
        <f>IF(ISNA(O89),"",O89)</f>
        <v/>
      </c>
      <c r="J89" s="360">
        <f>form!R67</f>
        <v>0</v>
      </c>
      <c r="K89" s="270"/>
      <c r="L89" s="361" t="str">
        <f>IF(G89="","",CONCATENATE(R89,".",T89,".",S89,".",U89,".",W89))</f>
        <v/>
      </c>
      <c r="M89" s="361" t="str">
        <f>IF(G89="","",CONCATENATE(AA89,", ",AB89,", ",AC89,", ",AD89,", ",AF89,))</f>
        <v/>
      </c>
      <c r="N89" s="361" t="str">
        <f>IF(G89="","",AS89*(1-$G$1))</f>
        <v/>
      </c>
      <c r="O89" s="361" t="str">
        <f>IF(F89="","",G89*F89)</f>
        <v/>
      </c>
      <c r="P89" s="270"/>
      <c r="Q89" s="270"/>
      <c r="R89" s="362" t="e">
        <f>VLOOKUP(CONCATENATE(form!C67,".",form!D67),Лист1!$L:$N,2,0)</f>
        <v>#N/A</v>
      </c>
      <c r="S89" s="363" t="e">
        <f>VLOOKUP(CONCATENATE(form!C67,".",form!D67),Лист1!$Q:$S,2,0)</f>
        <v>#N/A</v>
      </c>
      <c r="T89" s="363" t="str">
        <f>CONCATENATE(form!F67,"-",form!G67)</f>
        <v>-</v>
      </c>
      <c r="U89" s="314" t="e">
        <f>VLOOKUP(form!I67,Лист1!$Y:$AA,2,0)</f>
        <v>#N/A</v>
      </c>
      <c r="V89" s="313"/>
      <c r="W89" s="314" t="e">
        <f>VLOOKUP(form!K67,Лист1!$AG:$AI,2,0)</f>
        <v>#N/A</v>
      </c>
      <c r="X89" s="313"/>
      <c r="Y89" s="313"/>
      <c r="Z89" s="270"/>
      <c r="AA89" s="310" t="e">
        <f>VLOOKUP(CONCATENATE(form!C67,".",form!D67),Лист1!$L:$N,3,0)</f>
        <v>#N/A</v>
      </c>
      <c r="AB89" s="310" t="e">
        <f>VLOOKUP(CONCATENATE(form!C67,".",form!D67),Лист1!$Q:$S,3,0)</f>
        <v>#N/A</v>
      </c>
      <c r="AC89" s="361" t="str">
        <f>CONCATENATE("размер(мм): ",form!F67,"*",form!G67)</f>
        <v>размер(мм): *</v>
      </c>
      <c r="AD89" s="310" t="e">
        <f>VLOOKUP(form!I67,Лист1!$Y:$AA,3,0)</f>
        <v>#N/A</v>
      </c>
      <c r="AE89" s="313"/>
      <c r="AF89" s="372" t="e">
        <f>VLOOKUP(form!K67,Лист1!$AG:$AI,3,0)</f>
        <v>#N/A</v>
      </c>
      <c r="AG89" s="313"/>
      <c r="AH89" s="313"/>
      <c r="AI89" s="270"/>
      <c r="AJ89" s="315" t="e">
        <f>(VLOOKUP(CONCATENATE(form!C67,".",form!D67,".",form!H67),Лист1!$DD:$DH,5,0))*(((form!F67/1000)*2)+((form!G67/1000)*2))</f>
        <v>#N/A</v>
      </c>
      <c r="AK89" s="313"/>
      <c r="AL89" s="315" t="e">
        <f>(VLOOKUP(CONCATENATE(form!C67,".",form!K67),Лист1!$DP:$DT,5,0))*((form!F67/1000)*(form!G67/1000))</f>
        <v>#N/A</v>
      </c>
      <c r="AM89" s="313"/>
      <c r="AN89" s="313"/>
      <c r="AO89" s="313"/>
      <c r="AP89" s="313"/>
      <c r="AQ89" s="313"/>
      <c r="AR89" s="313"/>
      <c r="AS89" s="365" t="e">
        <f>ROUND(SUM(AJ89:AQ89),2)</f>
        <v>#N/A</v>
      </c>
      <c r="AT89" s="270"/>
      <c r="AU89" s="668">
        <f>IF(ISNA(AV89),"0",AV89)</f>
        <v>0</v>
      </c>
      <c r="AV89" s="366">
        <f>IF(G89="",0,ROUND(AS89*G89,2))</f>
        <v>0</v>
      </c>
      <c r="AX89" s="309"/>
    </row>
    <row r="90" spans="2:50" s="288" customFormat="1" ht="24.9" customHeight="1">
      <c r="B90" s="396">
        <v>4</v>
      </c>
      <c r="C90" s="605" t="str">
        <f t="shared" si="43"/>
        <v/>
      </c>
      <c r="D90" s="607" t="str">
        <f t="shared" si="43"/>
        <v/>
      </c>
      <c r="E90" s="485" t="str">
        <f>IF(OR(J90=0,J90=""),"",VLOOKUP(R90,Лист1!$M:$O,3,0))</f>
        <v/>
      </c>
      <c r="F90" s="318" t="str">
        <f>IF(ISNA(N90),"",N90)</f>
        <v/>
      </c>
      <c r="G90" s="626" t="str">
        <f>IF(J90=0,"",J90)</f>
        <v/>
      </c>
      <c r="H90" s="319" t="str">
        <f>IF(ISNA(O90),"",O90)</f>
        <v/>
      </c>
      <c r="J90" s="360">
        <f>form!R68</f>
        <v>0</v>
      </c>
      <c r="K90" s="270"/>
      <c r="L90" s="361" t="str">
        <f>IF(G90="","",CONCATENATE(R90,".",T90,".",S90,".",U90,".",W90))</f>
        <v/>
      </c>
      <c r="M90" s="361" t="str">
        <f>IF(G90="","",CONCATENATE(AA90,", ",AB90,", ",AC90,", ",AD90,", ",AF90,))</f>
        <v/>
      </c>
      <c r="N90" s="361" t="str">
        <f>IF(G90="","",AS90*(1-$G$1))</f>
        <v/>
      </c>
      <c r="O90" s="361" t="str">
        <f>IF(F90="","",G90*F90)</f>
        <v/>
      </c>
      <c r="P90" s="270"/>
      <c r="Q90" s="270"/>
      <c r="R90" s="362" t="e">
        <f>VLOOKUP(CONCATENATE(form!C68,".",form!D68),Лист1!$L:$N,2,0)</f>
        <v>#N/A</v>
      </c>
      <c r="S90" s="363" t="e">
        <f>VLOOKUP(CONCATENATE(form!C68,".",form!D68),Лист1!$Q:$S,2,0)</f>
        <v>#N/A</v>
      </c>
      <c r="T90" s="363" t="str">
        <f>CONCATENATE(form!F68,"-",form!G68)</f>
        <v>-</v>
      </c>
      <c r="U90" s="314" t="e">
        <f>VLOOKUP(form!I68,Лист1!$Y:$AA,2,0)</f>
        <v>#N/A</v>
      </c>
      <c r="V90" s="313"/>
      <c r="W90" s="314" t="e">
        <f>VLOOKUP(form!K68,Лист1!$AG:$AI,2,0)</f>
        <v>#N/A</v>
      </c>
      <c r="X90" s="313"/>
      <c r="Y90" s="313"/>
      <c r="Z90" s="270"/>
      <c r="AA90" s="310" t="e">
        <f>VLOOKUP(CONCATENATE(form!C68,".",form!D68),Лист1!$L:$N,3,0)</f>
        <v>#N/A</v>
      </c>
      <c r="AB90" s="310" t="e">
        <f>VLOOKUP(CONCATENATE(form!C68,".",form!D68),Лист1!$Q:$S,3,0)</f>
        <v>#N/A</v>
      </c>
      <c r="AC90" s="361" t="str">
        <f>CONCATENATE("размер(мм): ",form!F68,"*",form!G68)</f>
        <v>размер(мм): *</v>
      </c>
      <c r="AD90" s="310" t="e">
        <f>VLOOKUP(form!I68,Лист1!$Y:$AA,3,0)</f>
        <v>#N/A</v>
      </c>
      <c r="AE90" s="313"/>
      <c r="AF90" s="372" t="e">
        <f>VLOOKUP(form!K68,Лист1!$AG:$AI,3,0)</f>
        <v>#N/A</v>
      </c>
      <c r="AG90" s="313"/>
      <c r="AH90" s="313"/>
      <c r="AI90" s="270"/>
      <c r="AJ90" s="315" t="e">
        <f>(VLOOKUP(CONCATENATE(form!C68,".",form!D68,".",form!H68),Лист1!$DD:$DH,5,0))*(((form!F68/1000)*2)+((form!G68/1000)*2))</f>
        <v>#N/A</v>
      </c>
      <c r="AK90" s="313"/>
      <c r="AL90" s="315" t="e">
        <f>(VLOOKUP(CONCATENATE(form!C68,".",form!K68),Лист1!$DP:$DT,5,0))*((form!F68/1000)*(form!G68/1000))</f>
        <v>#N/A</v>
      </c>
      <c r="AM90" s="313"/>
      <c r="AN90" s="313"/>
      <c r="AO90" s="313"/>
      <c r="AP90" s="313"/>
      <c r="AQ90" s="313"/>
      <c r="AR90" s="313"/>
      <c r="AS90" s="365" t="e">
        <f>ROUND(SUM(AJ90:AQ90),2)</f>
        <v>#N/A</v>
      </c>
      <c r="AT90" s="270"/>
      <c r="AU90" s="668">
        <f>IF(ISNA(AV90),"0",AV90)</f>
        <v>0</v>
      </c>
      <c r="AV90" s="366">
        <f>IF(G90="",0,ROUND(AS90*G90,2))</f>
        <v>0</v>
      </c>
      <c r="AX90" s="309"/>
    </row>
    <row r="91" spans="2:50" s="288" customFormat="1" ht="24.9" customHeight="1">
      <c r="B91" s="397">
        <v>5</v>
      </c>
      <c r="C91" s="605" t="str">
        <f t="shared" si="43"/>
        <v/>
      </c>
      <c r="D91" s="607" t="str">
        <f t="shared" si="43"/>
        <v/>
      </c>
      <c r="E91" s="485" t="str">
        <f>IF(OR(J91=0,J91=""),"",VLOOKUP(R91,Лист1!$M:$O,3,0))</f>
        <v/>
      </c>
      <c r="F91" s="318" t="str">
        <f>IF(ISNA(N91),"",N91)</f>
        <v/>
      </c>
      <c r="G91" s="626" t="str">
        <f>IF(J91=0,"",J91)</f>
        <v/>
      </c>
      <c r="H91" s="319" t="str">
        <f>IF(ISNA(O91),"",O91)</f>
        <v/>
      </c>
      <c r="J91" s="360">
        <f>form!R69</f>
        <v>0</v>
      </c>
      <c r="K91" s="270"/>
      <c r="L91" s="361" t="str">
        <f>IF(G91="","",CONCATENATE(R91,".",T91,".",S91,".",U91,".",W91))</f>
        <v/>
      </c>
      <c r="M91" s="361" t="str">
        <f>IF(G91="","",CONCATENATE(AA91,", ",AB91,", ",AC91,", ",AD91,", ",AF91,))</f>
        <v/>
      </c>
      <c r="N91" s="361" t="str">
        <f>IF(G91="","",AS91*(1-$G$1))</f>
        <v/>
      </c>
      <c r="O91" s="361" t="str">
        <f>IF(F91="","",G91*F91)</f>
        <v/>
      </c>
      <c r="P91" s="270"/>
      <c r="Q91" s="270"/>
      <c r="R91" s="362" t="e">
        <f>VLOOKUP(CONCATENATE(form!C69,".",form!D69),Лист1!$L:$N,2,0)</f>
        <v>#N/A</v>
      </c>
      <c r="S91" s="363" t="e">
        <f>VLOOKUP(CONCATENATE(form!C69,".",form!D69),Лист1!$Q:$S,2,0)</f>
        <v>#N/A</v>
      </c>
      <c r="T91" s="363" t="str">
        <f>CONCATENATE(form!F69,"-",form!G69)</f>
        <v>-</v>
      </c>
      <c r="U91" s="314" t="e">
        <f>VLOOKUP(form!I69,Лист1!$Y:$AA,2,0)</f>
        <v>#N/A</v>
      </c>
      <c r="V91" s="313"/>
      <c r="W91" s="314" t="e">
        <f>VLOOKUP(form!K69,Лист1!$AG:$AI,2,0)</f>
        <v>#N/A</v>
      </c>
      <c r="X91" s="313"/>
      <c r="Y91" s="313"/>
      <c r="Z91" s="270"/>
      <c r="AA91" s="310" t="e">
        <f>VLOOKUP(CONCATENATE(form!C69,".",form!D69),Лист1!$L:$N,3,0)</f>
        <v>#N/A</v>
      </c>
      <c r="AB91" s="310" t="e">
        <f>VLOOKUP(CONCATENATE(form!C69,".",form!D69),Лист1!$Q:$S,3,0)</f>
        <v>#N/A</v>
      </c>
      <c r="AC91" s="361" t="str">
        <f>CONCATENATE("размер(мм): ",form!F69,"*",form!G69)</f>
        <v>размер(мм): *</v>
      </c>
      <c r="AD91" s="310" t="e">
        <f>VLOOKUP(form!I69,Лист1!$Y:$AA,3,0)</f>
        <v>#N/A</v>
      </c>
      <c r="AE91" s="313"/>
      <c r="AF91" s="372" t="e">
        <f>VLOOKUP(form!K69,Лист1!$AG:$AI,3,0)</f>
        <v>#N/A</v>
      </c>
      <c r="AG91" s="313"/>
      <c r="AH91" s="313"/>
      <c r="AI91" s="270"/>
      <c r="AJ91" s="315" t="e">
        <f>(VLOOKUP(CONCATENATE(form!C69,".",form!D69,".",form!H69),Лист1!$DD:$DH,5,0))*(((form!F69/1000)*2)+((form!G69/1000)*2))</f>
        <v>#N/A</v>
      </c>
      <c r="AK91" s="313"/>
      <c r="AL91" s="315" t="e">
        <f>(VLOOKUP(CONCATENATE(form!C69,".",form!K69),Лист1!$DP:$DT,5,0))*((form!F69/1000)*(form!G69/1000))</f>
        <v>#N/A</v>
      </c>
      <c r="AM91" s="313"/>
      <c r="AN91" s="313"/>
      <c r="AO91" s="313"/>
      <c r="AP91" s="313"/>
      <c r="AQ91" s="313"/>
      <c r="AR91" s="313"/>
      <c r="AS91" s="365" t="e">
        <f>ROUND(SUM(AJ91:AQ91),2)</f>
        <v>#N/A</v>
      </c>
      <c r="AT91" s="270"/>
      <c r="AU91" s="668">
        <f>IF(ISNA(AV91),"0",AV91)</f>
        <v>0</v>
      </c>
      <c r="AV91" s="366">
        <f>IF(G91="",0,ROUND(AS91*G91,2))</f>
        <v>0</v>
      </c>
      <c r="AX91" s="309"/>
    </row>
    <row r="92" spans="2:50" s="288" customFormat="1" ht="24.9" customHeight="1">
      <c r="B92" s="608" t="str">
        <f>form!B71</f>
        <v>Розділ № 5:ЛИШТВА / ДОБРІ ПЛАНКИ / ІНШІ АКСЕСУАРИ</v>
      </c>
      <c r="C92" s="283"/>
      <c r="D92" s="486"/>
      <c r="E92" s="487"/>
      <c r="F92" s="286" t="str">
        <f>IF(H92="","","ИТОГО:")</f>
        <v/>
      </c>
      <c r="G92" s="624" t="str">
        <f>IF(J92=0,"",SUM(G93:G112))</f>
        <v/>
      </c>
      <c r="H92" s="287" t="str">
        <f>IF(J92=0,"",SUM(H93:H112))</f>
        <v/>
      </c>
      <c r="J92" s="340">
        <f>SUM(J93:J112)</f>
        <v>0</v>
      </c>
      <c r="L92" s="351"/>
      <c r="M92" s="351"/>
      <c r="N92" s="351"/>
      <c r="O92" s="351"/>
      <c r="P92" s="291"/>
      <c r="Q92" s="291"/>
      <c r="R92" s="369" t="s">
        <v>465</v>
      </c>
      <c r="S92" s="369" t="s">
        <v>464</v>
      </c>
      <c r="T92" s="292" t="s">
        <v>453</v>
      </c>
      <c r="U92" s="292" t="s">
        <v>463</v>
      </c>
      <c r="V92" s="292" t="s">
        <v>234</v>
      </c>
      <c r="W92" s="292" t="s">
        <v>236</v>
      </c>
      <c r="X92" s="292" t="s">
        <v>467</v>
      </c>
      <c r="Y92" s="292" t="s">
        <v>468</v>
      </c>
      <c r="AA92" s="369" t="s">
        <v>465</v>
      </c>
      <c r="AB92" s="369" t="s">
        <v>464</v>
      </c>
      <c r="AC92" s="292" t="s">
        <v>453</v>
      </c>
      <c r="AD92" s="292" t="s">
        <v>463</v>
      </c>
      <c r="AE92" s="292" t="s">
        <v>234</v>
      </c>
      <c r="AF92" s="292" t="s">
        <v>236</v>
      </c>
      <c r="AG92" s="292" t="s">
        <v>467</v>
      </c>
      <c r="AH92" s="292" t="s">
        <v>468</v>
      </c>
      <c r="AJ92" s="292" t="s">
        <v>348</v>
      </c>
      <c r="AK92" s="292" t="s">
        <v>753</v>
      </c>
      <c r="AL92" s="292" t="s">
        <v>466</v>
      </c>
      <c r="AM92" s="293"/>
      <c r="AN92" s="292" t="s">
        <v>544</v>
      </c>
      <c r="AO92" s="292" t="s">
        <v>256</v>
      </c>
      <c r="AP92" s="292" t="s">
        <v>114</v>
      </c>
      <c r="AQ92" s="370"/>
      <c r="AR92" s="370"/>
      <c r="AS92" s="292" t="s">
        <v>1038</v>
      </c>
      <c r="AU92" s="669"/>
      <c r="AV92" s="371" t="s">
        <v>578</v>
      </c>
    </row>
    <row r="93" spans="2:50" s="288" customFormat="1" ht="24.9" customHeight="1">
      <c r="B93" s="395">
        <v>1</v>
      </c>
      <c r="C93" s="614" t="str">
        <f>IF(ISNA(L93),"",L93)</f>
        <v/>
      </c>
      <c r="D93" s="615" t="str">
        <f>IF(ISNA(M93),"",M93)</f>
        <v/>
      </c>
      <c r="E93" s="488" t="str">
        <f>IF(OR(J93=0,J93=""),"",VLOOKUP(R93,Лист1!$M:$O,3,0))</f>
        <v/>
      </c>
      <c r="F93" s="342" t="str">
        <f>IF(ISNA(N93),"",N93)</f>
        <v/>
      </c>
      <c r="G93" s="627" t="str">
        <f>IF(J93=0,"",J93)</f>
        <v/>
      </c>
      <c r="H93" s="343" t="str">
        <f>IF(ISNA(O93),"",O93)</f>
        <v/>
      </c>
      <c r="J93" s="344">
        <f>form!R73</f>
        <v>0</v>
      </c>
      <c r="L93" s="290" t="str">
        <f>IF(G93="","",CONCATENATE(R93,".",T93,".",S93,".",U93))</f>
        <v/>
      </c>
      <c r="M93" s="290" t="str">
        <f>IF(G93="","",CONCATENATE(AA93,", ",AC93,", ",AD93))</f>
        <v/>
      </c>
      <c r="N93" s="290" t="str">
        <f>IF(G93="","",AS93*(1-$G$1))</f>
        <v/>
      </c>
      <c r="O93" s="290" t="str">
        <f>IF(F93="","",G93*F93)</f>
        <v/>
      </c>
      <c r="R93" s="345" t="e">
        <f>VLOOKUP(form!C73,Лист1!$L:$N,2,0)</f>
        <v>#N/A</v>
      </c>
      <c r="S93" s="346" t="e">
        <f>VLOOKUP(form!C73,Лист1!$Q:$S,2,0)</f>
        <v>#N/A</v>
      </c>
      <c r="T93" s="346" t="e">
        <f>VLOOKUP(CONCATENATE(form!C73,".",form!G73),Лист1!$U:$W,2,0)</f>
        <v>#N/A</v>
      </c>
      <c r="U93" s="314" t="e">
        <f>VLOOKUP(form!I73,Лист1!$Y:$AA,2,0)</f>
        <v>#N/A</v>
      </c>
      <c r="V93" s="316"/>
      <c r="W93" s="316"/>
      <c r="X93" s="316"/>
      <c r="Y93" s="316"/>
      <c r="AA93" s="347" t="e">
        <f>VLOOKUP(form!C73,Лист1!$L:$N,3,0)</f>
        <v>#N/A</v>
      </c>
      <c r="AB93" s="317"/>
      <c r="AC93" s="373" t="e">
        <f>VLOOKUP(CONCATENATE(form!C73,".",form!G73),Лист1!$U:$W,3,0)</f>
        <v>#N/A</v>
      </c>
      <c r="AD93" s="373" t="e">
        <f>VLOOKUP(form!I73,Лист1!$Y:$AA,3,0)</f>
        <v>#N/A</v>
      </c>
      <c r="AE93" s="317"/>
      <c r="AF93" s="316"/>
      <c r="AG93" s="316"/>
      <c r="AH93" s="316"/>
      <c r="AJ93" s="359" t="e">
        <f>VLOOKUP(CONCATENATE(form!C73,".",form!H73),Лист1!$DD:$DH,5,0)</f>
        <v>#N/A</v>
      </c>
      <c r="AK93" s="374"/>
      <c r="AL93" s="374"/>
      <c r="AM93" s="374"/>
      <c r="AN93" s="374"/>
      <c r="AO93" s="374"/>
      <c r="AP93" s="359" t="e">
        <f>VLOOKUP(CONCATENATE(form!C73,".",form!H73,".",form!F73),Лист1!$EH:$EL,5,0)</f>
        <v>#N/A</v>
      </c>
      <c r="AQ93" s="317"/>
      <c r="AR93" s="317"/>
      <c r="AS93" s="365" t="e">
        <f>SUM(AJ93:AQ93)</f>
        <v>#N/A</v>
      </c>
      <c r="AU93" s="663">
        <f>IF(ISNA(AV93),"0",AV93)</f>
        <v>0</v>
      </c>
      <c r="AV93" s="309">
        <f>IF(G93="",0,ROUND(AS93*G93,2))</f>
        <v>0</v>
      </c>
      <c r="AX93" s="309"/>
    </row>
    <row r="94" spans="2:50" s="288" customFormat="1" ht="24.9" customHeight="1">
      <c r="B94" s="396">
        <v>2</v>
      </c>
      <c r="C94" s="616" t="str">
        <f t="shared" ref="C94:C102" si="44">IF(ISNA(L94),"",L94)</f>
        <v/>
      </c>
      <c r="D94" s="617" t="str">
        <f t="shared" ref="D94:D102" si="45">IF(ISNA(M94),"",M94)</f>
        <v/>
      </c>
      <c r="E94" s="489" t="str">
        <f>IF(OR(J94=0,J94=""),"",VLOOKUP(R94,Лист1!$M:$O,3,0))</f>
        <v/>
      </c>
      <c r="F94" s="349" t="str">
        <f t="shared" ref="F94:F102" si="46">IF(ISNA(N94),"",N94)</f>
        <v/>
      </c>
      <c r="G94" s="628" t="str">
        <f t="shared" ref="G94:G102" si="47">IF(J94=0,"",J94)</f>
        <v/>
      </c>
      <c r="H94" s="350" t="str">
        <f t="shared" ref="H94:H102" si="48">IF(ISNA(O94),"",O94)</f>
        <v/>
      </c>
      <c r="J94" s="344">
        <f>form!R74</f>
        <v>0</v>
      </c>
      <c r="L94" s="290" t="str">
        <f t="shared" ref="L94:L102" si="49">IF(G94="","",CONCATENATE(R94,".",T94,".",S94,".",U94))</f>
        <v/>
      </c>
      <c r="M94" s="290" t="str">
        <f t="shared" ref="M94:M102" si="50">IF(G94="","",CONCATENATE(AA94,", ",AC94,", ",AD94))</f>
        <v/>
      </c>
      <c r="N94" s="290" t="str">
        <f>IF(G94="","",AS94*(1-$G$1))</f>
        <v/>
      </c>
      <c r="O94" s="290" t="str">
        <f>IF(F94="","",G94*F94)</f>
        <v/>
      </c>
      <c r="R94" s="345" t="e">
        <f>VLOOKUP(form!C74,Лист1!$L:$N,2,0)</f>
        <v>#N/A</v>
      </c>
      <c r="S94" s="346" t="e">
        <f>VLOOKUP(form!C74,Лист1!$Q:$S,2,0)</f>
        <v>#N/A</v>
      </c>
      <c r="T94" s="346" t="e">
        <f>VLOOKUP(CONCATENATE(form!C74,".",form!G74),Лист1!$U:$W,2,0)</f>
        <v>#N/A</v>
      </c>
      <c r="U94" s="314" t="e">
        <f>VLOOKUP(form!I74,Лист1!$Y:$AA,2,0)</f>
        <v>#N/A</v>
      </c>
      <c r="V94" s="316"/>
      <c r="W94" s="316"/>
      <c r="X94" s="316"/>
      <c r="Y94" s="316"/>
      <c r="AA94" s="347" t="e">
        <f>VLOOKUP(form!C74,Лист1!$L:$N,3,0)</f>
        <v>#N/A</v>
      </c>
      <c r="AB94" s="317"/>
      <c r="AC94" s="373" t="e">
        <f>VLOOKUP(CONCATENATE(form!C74,".",form!G74),Лист1!$U:$W,3,0)</f>
        <v>#N/A</v>
      </c>
      <c r="AD94" s="373" t="e">
        <f>VLOOKUP(form!I74,Лист1!$Y:$AA,3,0)</f>
        <v>#N/A</v>
      </c>
      <c r="AE94" s="317"/>
      <c r="AF94" s="316"/>
      <c r="AG94" s="316"/>
      <c r="AH94" s="316"/>
      <c r="AJ94" s="315" t="e">
        <f>VLOOKUP(CONCATENATE(form!C74,".",form!H74),Лист1!$DD:$DH,5,0)</f>
        <v>#N/A</v>
      </c>
      <c r="AK94" s="313"/>
      <c r="AL94" s="313"/>
      <c r="AM94" s="313"/>
      <c r="AN94" s="313"/>
      <c r="AO94" s="313"/>
      <c r="AP94" s="315" t="e">
        <f>VLOOKUP(CONCATENATE(form!C74,".",form!H74,".",form!F74),Лист1!$EH:$EL,5,0)</f>
        <v>#N/A</v>
      </c>
      <c r="AQ94" s="317"/>
      <c r="AR94" s="317"/>
      <c r="AS94" s="365" t="e">
        <f t="shared" ref="AS94:AS112" si="51">SUM(AJ94:AQ94)</f>
        <v>#N/A</v>
      </c>
      <c r="AU94" s="663">
        <f t="shared" ref="AU94:AU102" si="52">IF(ISNA(AV94),"0",AV94)</f>
        <v>0</v>
      </c>
      <c r="AV94" s="309">
        <f t="shared" ref="AV94:AV102" si="53">IF(G94="",0,ROUND(AS94*G94,2))</f>
        <v>0</v>
      </c>
      <c r="AX94" s="309"/>
    </row>
    <row r="95" spans="2:50" s="288" customFormat="1" ht="24.9" customHeight="1">
      <c r="B95" s="396">
        <v>3</v>
      </c>
      <c r="C95" s="616" t="str">
        <f t="shared" si="44"/>
        <v/>
      </c>
      <c r="D95" s="617" t="str">
        <f t="shared" si="45"/>
        <v/>
      </c>
      <c r="E95" s="489" t="str">
        <f>IF(OR(J95=0,J95=""),"",VLOOKUP(R95,Лист1!$M:$O,3,0))</f>
        <v/>
      </c>
      <c r="F95" s="349" t="str">
        <f t="shared" si="46"/>
        <v/>
      </c>
      <c r="G95" s="628" t="str">
        <f t="shared" si="47"/>
        <v/>
      </c>
      <c r="H95" s="350" t="str">
        <f t="shared" si="48"/>
        <v/>
      </c>
      <c r="J95" s="344">
        <f>form!R75</f>
        <v>0</v>
      </c>
      <c r="L95" s="290" t="str">
        <f t="shared" si="49"/>
        <v/>
      </c>
      <c r="M95" s="290" t="str">
        <f t="shared" si="50"/>
        <v/>
      </c>
      <c r="N95" s="290" t="str">
        <f t="shared" ref="N95:N102" si="54">IF(G95="","",AS95*(1-$G$1))</f>
        <v/>
      </c>
      <c r="O95" s="290" t="str">
        <f t="shared" ref="O95:O102" si="55">IF(F95="","",G95*F95)</f>
        <v/>
      </c>
      <c r="R95" s="345" t="e">
        <f>VLOOKUP(form!C75,Лист1!$L:$N,2,0)</f>
        <v>#N/A</v>
      </c>
      <c r="S95" s="346" t="e">
        <f>VLOOKUP(form!C75,Лист1!$Q:$S,2,0)</f>
        <v>#N/A</v>
      </c>
      <c r="T95" s="346" t="e">
        <f>VLOOKUP(CONCATENATE(form!C75,".",form!G75),Лист1!$U:$W,2,0)</f>
        <v>#N/A</v>
      </c>
      <c r="U95" s="314" t="e">
        <f>VLOOKUP(form!I75,Лист1!$Y:$AA,2,0)</f>
        <v>#N/A</v>
      </c>
      <c r="V95" s="316"/>
      <c r="W95" s="316"/>
      <c r="X95" s="316"/>
      <c r="Y95" s="316"/>
      <c r="AA95" s="347" t="e">
        <f>VLOOKUP(form!C75,Лист1!$L:$N,3,0)</f>
        <v>#N/A</v>
      </c>
      <c r="AB95" s="317"/>
      <c r="AC95" s="373" t="e">
        <f>VLOOKUP(CONCATENATE(form!C75,".",form!G75),Лист1!$U:$W,3,0)</f>
        <v>#N/A</v>
      </c>
      <c r="AD95" s="373" t="e">
        <f>VLOOKUP(form!I75,Лист1!$Y:$AA,3,0)</f>
        <v>#N/A</v>
      </c>
      <c r="AE95" s="317"/>
      <c r="AF95" s="316"/>
      <c r="AG95" s="316"/>
      <c r="AH95" s="316"/>
      <c r="AJ95" s="315" t="e">
        <f>VLOOKUP(CONCATENATE(form!C75,".",form!H75),Лист1!$DD:$DH,5,0)</f>
        <v>#N/A</v>
      </c>
      <c r="AK95" s="313"/>
      <c r="AL95" s="313"/>
      <c r="AM95" s="313"/>
      <c r="AN95" s="313"/>
      <c r="AO95" s="313"/>
      <c r="AP95" s="315" t="e">
        <f>VLOOKUP(CONCATENATE(form!C75,".",form!H75,".",form!F75),Лист1!$EH:$EL,5,0)</f>
        <v>#N/A</v>
      </c>
      <c r="AQ95" s="317"/>
      <c r="AR95" s="317"/>
      <c r="AS95" s="365" t="e">
        <f t="shared" si="51"/>
        <v>#N/A</v>
      </c>
      <c r="AU95" s="663">
        <f t="shared" si="52"/>
        <v>0</v>
      </c>
      <c r="AV95" s="309">
        <f t="shared" si="53"/>
        <v>0</v>
      </c>
      <c r="AX95" s="309"/>
    </row>
    <row r="96" spans="2:50" s="288" customFormat="1" ht="24.9" customHeight="1">
      <c r="B96" s="396">
        <v>4</v>
      </c>
      <c r="C96" s="616" t="str">
        <f t="shared" si="44"/>
        <v/>
      </c>
      <c r="D96" s="617" t="str">
        <f t="shared" si="45"/>
        <v/>
      </c>
      <c r="E96" s="489" t="str">
        <f>IF(OR(J96=0,J96=""),"",VLOOKUP(R96,Лист1!$M:$O,3,0))</f>
        <v/>
      </c>
      <c r="F96" s="349" t="str">
        <f t="shared" si="46"/>
        <v/>
      </c>
      <c r="G96" s="628" t="str">
        <f t="shared" si="47"/>
        <v/>
      </c>
      <c r="H96" s="350" t="str">
        <f t="shared" si="48"/>
        <v/>
      </c>
      <c r="J96" s="344">
        <f>form!R76</f>
        <v>0</v>
      </c>
      <c r="L96" s="290" t="str">
        <f t="shared" si="49"/>
        <v/>
      </c>
      <c r="M96" s="290" t="str">
        <f t="shared" si="50"/>
        <v/>
      </c>
      <c r="N96" s="290" t="str">
        <f t="shared" si="54"/>
        <v/>
      </c>
      <c r="O96" s="290" t="str">
        <f t="shared" si="55"/>
        <v/>
      </c>
      <c r="R96" s="345" t="e">
        <f>VLOOKUP(form!C76,Лист1!$L:$N,2,0)</f>
        <v>#N/A</v>
      </c>
      <c r="S96" s="346" t="e">
        <f>VLOOKUP(form!C76,Лист1!$Q:$S,2,0)</f>
        <v>#N/A</v>
      </c>
      <c r="T96" s="346" t="e">
        <f>VLOOKUP(CONCATENATE(form!C76,".",form!G76),Лист1!$U:$W,2,0)</f>
        <v>#N/A</v>
      </c>
      <c r="U96" s="314" t="e">
        <f>VLOOKUP(form!I76,Лист1!$Y:$AA,2,0)</f>
        <v>#N/A</v>
      </c>
      <c r="V96" s="316"/>
      <c r="W96" s="316"/>
      <c r="X96" s="316"/>
      <c r="Y96" s="316"/>
      <c r="AA96" s="347" t="e">
        <f>VLOOKUP(form!C76,Лист1!$L:$N,3,0)</f>
        <v>#N/A</v>
      </c>
      <c r="AB96" s="317"/>
      <c r="AC96" s="373" t="e">
        <f>VLOOKUP(CONCATENATE(form!C76,".",form!G76),Лист1!$U:$W,3,0)</f>
        <v>#N/A</v>
      </c>
      <c r="AD96" s="373" t="e">
        <f>VLOOKUP(form!I76,Лист1!$Y:$AA,3,0)</f>
        <v>#N/A</v>
      </c>
      <c r="AE96" s="317"/>
      <c r="AF96" s="316"/>
      <c r="AG96" s="316"/>
      <c r="AH96" s="316"/>
      <c r="AJ96" s="315" t="e">
        <f>VLOOKUP(CONCATENATE(form!C76,".",form!H76),Лист1!$DD:$DH,5,0)</f>
        <v>#N/A</v>
      </c>
      <c r="AK96" s="313"/>
      <c r="AL96" s="313"/>
      <c r="AM96" s="313"/>
      <c r="AN96" s="313"/>
      <c r="AO96" s="313"/>
      <c r="AP96" s="315" t="e">
        <f>VLOOKUP(CONCATENATE(form!C76,".",form!H76,".",form!F76),Лист1!$EH:$EL,5,0)</f>
        <v>#N/A</v>
      </c>
      <c r="AQ96" s="317"/>
      <c r="AR96" s="317"/>
      <c r="AS96" s="365" t="e">
        <f t="shared" si="51"/>
        <v>#N/A</v>
      </c>
      <c r="AU96" s="663">
        <f t="shared" si="52"/>
        <v>0</v>
      </c>
      <c r="AV96" s="309">
        <f t="shared" si="53"/>
        <v>0</v>
      </c>
      <c r="AX96" s="309"/>
    </row>
    <row r="97" spans="2:50" s="288" customFormat="1" ht="24.9" customHeight="1">
      <c r="B97" s="396">
        <v>5</v>
      </c>
      <c r="C97" s="616" t="str">
        <f t="shared" si="44"/>
        <v/>
      </c>
      <c r="D97" s="617" t="str">
        <f t="shared" si="45"/>
        <v/>
      </c>
      <c r="E97" s="489" t="str">
        <f>IF(OR(J97=0,J97=""),"",VLOOKUP(R97,Лист1!$M:$O,3,0))</f>
        <v/>
      </c>
      <c r="F97" s="349" t="str">
        <f t="shared" si="46"/>
        <v/>
      </c>
      <c r="G97" s="628" t="str">
        <f t="shared" si="47"/>
        <v/>
      </c>
      <c r="H97" s="350" t="str">
        <f t="shared" si="48"/>
        <v/>
      </c>
      <c r="J97" s="344">
        <f>form!R77</f>
        <v>0</v>
      </c>
      <c r="L97" s="290" t="str">
        <f t="shared" si="49"/>
        <v/>
      </c>
      <c r="M97" s="290" t="str">
        <f t="shared" si="50"/>
        <v/>
      </c>
      <c r="N97" s="290" t="str">
        <f t="shared" si="54"/>
        <v/>
      </c>
      <c r="O97" s="290" t="str">
        <f t="shared" si="55"/>
        <v/>
      </c>
      <c r="R97" s="345" t="e">
        <f>VLOOKUP(form!C77,Лист1!$L:$N,2,0)</f>
        <v>#N/A</v>
      </c>
      <c r="S97" s="346" t="e">
        <f>VLOOKUP(form!C77,Лист1!$Q:$S,2,0)</f>
        <v>#N/A</v>
      </c>
      <c r="T97" s="346" t="e">
        <f>VLOOKUP(CONCATENATE(form!C77,".",form!G77),Лист1!$U:$W,2,0)</f>
        <v>#N/A</v>
      </c>
      <c r="U97" s="314" t="e">
        <f>VLOOKUP(form!I77,Лист1!$Y:$AA,2,0)</f>
        <v>#N/A</v>
      </c>
      <c r="V97" s="316"/>
      <c r="W97" s="316"/>
      <c r="X97" s="316"/>
      <c r="Y97" s="316"/>
      <c r="AA97" s="347" t="e">
        <f>VLOOKUP(form!C77,Лист1!$L:$N,3,0)</f>
        <v>#N/A</v>
      </c>
      <c r="AB97" s="317"/>
      <c r="AC97" s="373" t="e">
        <f>VLOOKUP(CONCATENATE(form!C77,".",form!G77),Лист1!$U:$W,3,0)</f>
        <v>#N/A</v>
      </c>
      <c r="AD97" s="373" t="e">
        <f>VLOOKUP(form!I77,Лист1!$Y:$AA,3,0)</f>
        <v>#N/A</v>
      </c>
      <c r="AE97" s="317"/>
      <c r="AF97" s="316"/>
      <c r="AG97" s="316"/>
      <c r="AH97" s="316"/>
      <c r="AJ97" s="315" t="e">
        <f>VLOOKUP(CONCATENATE(form!C77,".",form!H77),Лист1!$DD:$DH,5,0)</f>
        <v>#N/A</v>
      </c>
      <c r="AK97" s="313"/>
      <c r="AL97" s="313"/>
      <c r="AM97" s="313"/>
      <c r="AN97" s="313"/>
      <c r="AO97" s="313"/>
      <c r="AP97" s="315" t="e">
        <f>VLOOKUP(CONCATENATE(form!C77,".",form!H77,".",form!F77),Лист1!$EH:$EL,5,0)</f>
        <v>#N/A</v>
      </c>
      <c r="AQ97" s="317"/>
      <c r="AR97" s="317"/>
      <c r="AS97" s="365" t="e">
        <f t="shared" si="51"/>
        <v>#N/A</v>
      </c>
      <c r="AU97" s="663">
        <f t="shared" si="52"/>
        <v>0</v>
      </c>
      <c r="AV97" s="309">
        <f t="shared" si="53"/>
        <v>0</v>
      </c>
      <c r="AX97" s="309"/>
    </row>
    <row r="98" spans="2:50" s="288" customFormat="1" ht="24.9" customHeight="1">
      <c r="B98" s="396">
        <v>6</v>
      </c>
      <c r="C98" s="616" t="str">
        <f t="shared" si="44"/>
        <v/>
      </c>
      <c r="D98" s="617" t="str">
        <f t="shared" si="45"/>
        <v/>
      </c>
      <c r="E98" s="489" t="str">
        <f>IF(OR(J98=0,J98=""),"",VLOOKUP(R98,Лист1!$M:$O,3,0))</f>
        <v/>
      </c>
      <c r="F98" s="349" t="str">
        <f t="shared" si="46"/>
        <v/>
      </c>
      <c r="G98" s="628" t="str">
        <f t="shared" si="47"/>
        <v/>
      </c>
      <c r="H98" s="350" t="str">
        <f t="shared" si="48"/>
        <v/>
      </c>
      <c r="J98" s="344">
        <f>form!R78</f>
        <v>0</v>
      </c>
      <c r="L98" s="290" t="str">
        <f t="shared" si="49"/>
        <v/>
      </c>
      <c r="M98" s="290" t="str">
        <f t="shared" si="50"/>
        <v/>
      </c>
      <c r="N98" s="290" t="str">
        <f t="shared" si="54"/>
        <v/>
      </c>
      <c r="O98" s="290" t="str">
        <f t="shared" si="55"/>
        <v/>
      </c>
      <c r="R98" s="345" t="e">
        <f>VLOOKUP(form!C78,Лист1!$L:$N,2,0)</f>
        <v>#N/A</v>
      </c>
      <c r="S98" s="346" t="e">
        <f>VLOOKUP(form!C78,Лист1!$Q:$S,2,0)</f>
        <v>#N/A</v>
      </c>
      <c r="T98" s="346" t="e">
        <f>VLOOKUP(CONCATENATE(form!C78,".",form!G78),Лист1!$U:$W,2,0)</f>
        <v>#N/A</v>
      </c>
      <c r="U98" s="314" t="e">
        <f>VLOOKUP(form!I78,Лист1!$Y:$AA,2,0)</f>
        <v>#N/A</v>
      </c>
      <c r="V98" s="316"/>
      <c r="W98" s="316"/>
      <c r="X98" s="316"/>
      <c r="Y98" s="316"/>
      <c r="AA98" s="347" t="e">
        <f>VLOOKUP(form!C78,Лист1!$L:$N,3,0)</f>
        <v>#N/A</v>
      </c>
      <c r="AB98" s="317"/>
      <c r="AC98" s="373" t="e">
        <f>VLOOKUP(CONCATENATE(form!C78,".",form!G78),Лист1!$U:$W,3,0)</f>
        <v>#N/A</v>
      </c>
      <c r="AD98" s="373" t="e">
        <f>VLOOKUP(form!I78,Лист1!$Y:$AA,3,0)</f>
        <v>#N/A</v>
      </c>
      <c r="AE98" s="317"/>
      <c r="AF98" s="316"/>
      <c r="AG98" s="316"/>
      <c r="AH98" s="316"/>
      <c r="AJ98" s="315" t="e">
        <f>VLOOKUP(CONCATENATE(form!C78,".",form!H78),Лист1!$DD:$DH,5,0)</f>
        <v>#N/A</v>
      </c>
      <c r="AK98" s="313"/>
      <c r="AL98" s="313"/>
      <c r="AM98" s="313"/>
      <c r="AN98" s="313"/>
      <c r="AO98" s="313"/>
      <c r="AP98" s="315" t="e">
        <f>VLOOKUP(CONCATENATE(form!C78,".",form!H78,".",form!F78),Лист1!$EH:$EL,5,0)</f>
        <v>#N/A</v>
      </c>
      <c r="AQ98" s="317"/>
      <c r="AR98" s="317"/>
      <c r="AS98" s="365" t="e">
        <f t="shared" si="51"/>
        <v>#N/A</v>
      </c>
      <c r="AU98" s="663">
        <f t="shared" si="52"/>
        <v>0</v>
      </c>
      <c r="AV98" s="309">
        <f t="shared" si="53"/>
        <v>0</v>
      </c>
      <c r="AX98" s="309"/>
    </row>
    <row r="99" spans="2:50" s="288" customFormat="1" ht="24.9" customHeight="1">
      <c r="B99" s="396">
        <v>7</v>
      </c>
      <c r="C99" s="616" t="str">
        <f t="shared" si="44"/>
        <v/>
      </c>
      <c r="D99" s="617" t="str">
        <f t="shared" si="45"/>
        <v/>
      </c>
      <c r="E99" s="489" t="str">
        <f>IF(OR(J99=0,J99=""),"",VLOOKUP(R99,Лист1!$M:$O,3,0))</f>
        <v/>
      </c>
      <c r="F99" s="349" t="str">
        <f t="shared" si="46"/>
        <v/>
      </c>
      <c r="G99" s="628" t="str">
        <f t="shared" si="47"/>
        <v/>
      </c>
      <c r="H99" s="350" t="str">
        <f t="shared" si="48"/>
        <v/>
      </c>
      <c r="J99" s="344">
        <f>form!R79</f>
        <v>0</v>
      </c>
      <c r="L99" s="290" t="str">
        <f t="shared" si="49"/>
        <v/>
      </c>
      <c r="M99" s="290" t="str">
        <f t="shared" si="50"/>
        <v/>
      </c>
      <c r="N99" s="290" t="str">
        <f t="shared" si="54"/>
        <v/>
      </c>
      <c r="O99" s="290" t="str">
        <f t="shared" si="55"/>
        <v/>
      </c>
      <c r="R99" s="345" t="e">
        <f>VLOOKUP(form!C79,Лист1!$L:$N,2,0)</f>
        <v>#N/A</v>
      </c>
      <c r="S99" s="346" t="e">
        <f>VLOOKUP(form!C79,Лист1!$Q:$S,2,0)</f>
        <v>#N/A</v>
      </c>
      <c r="T99" s="346" t="e">
        <f>VLOOKUP(CONCATENATE(form!C79,".",form!G79),Лист1!$U:$W,2,0)</f>
        <v>#N/A</v>
      </c>
      <c r="U99" s="314" t="e">
        <f>VLOOKUP(form!I79,Лист1!$Y:$AA,2,0)</f>
        <v>#N/A</v>
      </c>
      <c r="V99" s="316"/>
      <c r="W99" s="316"/>
      <c r="X99" s="316"/>
      <c r="Y99" s="316"/>
      <c r="AA99" s="347" t="e">
        <f>VLOOKUP(form!C79,Лист1!$L:$N,3,0)</f>
        <v>#N/A</v>
      </c>
      <c r="AB99" s="317"/>
      <c r="AC99" s="373" t="e">
        <f>VLOOKUP(CONCATENATE(form!C79,".",form!G79),Лист1!$U:$W,3,0)</f>
        <v>#N/A</v>
      </c>
      <c r="AD99" s="373" t="e">
        <f>VLOOKUP(form!I79,Лист1!$Y:$AA,3,0)</f>
        <v>#N/A</v>
      </c>
      <c r="AE99" s="317"/>
      <c r="AF99" s="316"/>
      <c r="AG99" s="316"/>
      <c r="AH99" s="316"/>
      <c r="AJ99" s="315" t="e">
        <f>VLOOKUP(CONCATENATE(form!C79,".",form!H79),Лист1!$DD:$DH,5,0)</f>
        <v>#N/A</v>
      </c>
      <c r="AK99" s="313"/>
      <c r="AL99" s="313"/>
      <c r="AM99" s="313"/>
      <c r="AN99" s="313"/>
      <c r="AO99" s="313"/>
      <c r="AP99" s="315" t="e">
        <f>VLOOKUP(CONCATENATE(form!C79,".",form!H79,".",form!F79),Лист1!$EH:$EL,5,0)</f>
        <v>#N/A</v>
      </c>
      <c r="AQ99" s="317"/>
      <c r="AR99" s="317"/>
      <c r="AS99" s="365" t="e">
        <f t="shared" si="51"/>
        <v>#N/A</v>
      </c>
      <c r="AU99" s="663">
        <f t="shared" si="52"/>
        <v>0</v>
      </c>
      <c r="AV99" s="309">
        <f t="shared" si="53"/>
        <v>0</v>
      </c>
      <c r="AX99" s="309"/>
    </row>
    <row r="100" spans="2:50" s="288" customFormat="1" ht="24.9" customHeight="1">
      <c r="B100" s="396">
        <v>8</v>
      </c>
      <c r="C100" s="616" t="str">
        <f t="shared" si="44"/>
        <v/>
      </c>
      <c r="D100" s="617" t="str">
        <f t="shared" si="45"/>
        <v/>
      </c>
      <c r="E100" s="489" t="str">
        <f>IF(OR(J100=0,J100=""),"",VLOOKUP(R100,Лист1!$M:$O,3,0))</f>
        <v/>
      </c>
      <c r="F100" s="349" t="str">
        <f t="shared" si="46"/>
        <v/>
      </c>
      <c r="G100" s="628" t="str">
        <f t="shared" si="47"/>
        <v/>
      </c>
      <c r="H100" s="350" t="str">
        <f t="shared" si="48"/>
        <v/>
      </c>
      <c r="J100" s="344">
        <f>form!R80</f>
        <v>0</v>
      </c>
      <c r="L100" s="290" t="str">
        <f t="shared" si="49"/>
        <v/>
      </c>
      <c r="M100" s="290" t="str">
        <f t="shared" si="50"/>
        <v/>
      </c>
      <c r="N100" s="290" t="str">
        <f t="shared" si="54"/>
        <v/>
      </c>
      <c r="O100" s="290" t="str">
        <f t="shared" si="55"/>
        <v/>
      </c>
      <c r="R100" s="345" t="e">
        <f>VLOOKUP(form!C80,Лист1!$L:$N,2,0)</f>
        <v>#N/A</v>
      </c>
      <c r="S100" s="346" t="e">
        <f>VLOOKUP(form!C80,Лист1!$Q:$S,2,0)</f>
        <v>#N/A</v>
      </c>
      <c r="T100" s="346" t="e">
        <f>VLOOKUP(CONCATENATE(form!C80,".",form!G80),Лист1!$U:$W,2,0)</f>
        <v>#N/A</v>
      </c>
      <c r="U100" s="314" t="e">
        <f>VLOOKUP(form!I80,Лист1!$Y:$AA,2,0)</f>
        <v>#N/A</v>
      </c>
      <c r="V100" s="316"/>
      <c r="W100" s="316"/>
      <c r="X100" s="316"/>
      <c r="Y100" s="316"/>
      <c r="AA100" s="347" t="e">
        <f>VLOOKUP(form!C80,Лист1!$L:$N,3,0)</f>
        <v>#N/A</v>
      </c>
      <c r="AB100" s="317"/>
      <c r="AC100" s="373" t="e">
        <f>VLOOKUP(CONCATENATE(form!C80,".",form!G80),Лист1!$U:$W,3,0)</f>
        <v>#N/A</v>
      </c>
      <c r="AD100" s="373" t="e">
        <f>VLOOKUP(form!I80,Лист1!$Y:$AA,3,0)</f>
        <v>#N/A</v>
      </c>
      <c r="AE100" s="317"/>
      <c r="AF100" s="316"/>
      <c r="AG100" s="316"/>
      <c r="AH100" s="316"/>
      <c r="AJ100" s="315" t="e">
        <f>VLOOKUP(CONCATENATE(form!C80,".",form!H80),Лист1!$DD:$DH,5,0)</f>
        <v>#N/A</v>
      </c>
      <c r="AK100" s="313"/>
      <c r="AL100" s="313"/>
      <c r="AM100" s="313"/>
      <c r="AN100" s="313"/>
      <c r="AO100" s="313"/>
      <c r="AP100" s="315" t="e">
        <f>VLOOKUP(CONCATENATE(form!C80,".",form!H80,".",form!F80),Лист1!$EH:$EL,5,0)</f>
        <v>#N/A</v>
      </c>
      <c r="AQ100" s="317"/>
      <c r="AR100" s="317"/>
      <c r="AS100" s="365" t="e">
        <f t="shared" si="51"/>
        <v>#N/A</v>
      </c>
      <c r="AU100" s="663">
        <f t="shared" si="52"/>
        <v>0</v>
      </c>
      <c r="AV100" s="309">
        <f t="shared" si="53"/>
        <v>0</v>
      </c>
      <c r="AX100" s="309"/>
    </row>
    <row r="101" spans="2:50" s="288" customFormat="1" ht="24.9" customHeight="1">
      <c r="B101" s="396">
        <v>9</v>
      </c>
      <c r="C101" s="616" t="str">
        <f t="shared" si="44"/>
        <v/>
      </c>
      <c r="D101" s="617" t="str">
        <f t="shared" si="45"/>
        <v/>
      </c>
      <c r="E101" s="489" t="str">
        <f>IF(OR(J101=0,J101=""),"",VLOOKUP(R101,Лист1!$M:$O,3,0))</f>
        <v/>
      </c>
      <c r="F101" s="349" t="str">
        <f t="shared" si="46"/>
        <v/>
      </c>
      <c r="G101" s="628" t="str">
        <f t="shared" si="47"/>
        <v/>
      </c>
      <c r="H101" s="350" t="str">
        <f t="shared" si="48"/>
        <v/>
      </c>
      <c r="J101" s="344">
        <f>form!R81</f>
        <v>0</v>
      </c>
      <c r="L101" s="290" t="str">
        <f t="shared" si="49"/>
        <v/>
      </c>
      <c r="M101" s="290" t="str">
        <f t="shared" si="50"/>
        <v/>
      </c>
      <c r="N101" s="290" t="str">
        <f t="shared" si="54"/>
        <v/>
      </c>
      <c r="O101" s="290" t="str">
        <f t="shared" si="55"/>
        <v/>
      </c>
      <c r="R101" s="345" t="e">
        <f>VLOOKUP(form!C81,Лист1!$L:$N,2,0)</f>
        <v>#N/A</v>
      </c>
      <c r="S101" s="346" t="e">
        <f>VLOOKUP(form!C81,Лист1!$Q:$S,2,0)</f>
        <v>#N/A</v>
      </c>
      <c r="T101" s="346" t="e">
        <f>VLOOKUP(CONCATENATE(form!C81,".",form!G81),Лист1!$U:$W,2,0)</f>
        <v>#N/A</v>
      </c>
      <c r="U101" s="314" t="e">
        <f>VLOOKUP(form!I81,Лист1!$Y:$AA,2,0)</f>
        <v>#N/A</v>
      </c>
      <c r="V101" s="316"/>
      <c r="W101" s="316"/>
      <c r="X101" s="316"/>
      <c r="Y101" s="316"/>
      <c r="AA101" s="347" t="e">
        <f>VLOOKUP(form!C81,Лист1!$L:$N,3,0)</f>
        <v>#N/A</v>
      </c>
      <c r="AB101" s="317"/>
      <c r="AC101" s="373" t="e">
        <f>VLOOKUP(CONCATENATE(form!C81,".",form!G81),Лист1!$U:$W,3,0)</f>
        <v>#N/A</v>
      </c>
      <c r="AD101" s="373" t="e">
        <f>VLOOKUP(form!I81,Лист1!$Y:$AA,3,0)</f>
        <v>#N/A</v>
      </c>
      <c r="AE101" s="317"/>
      <c r="AF101" s="316"/>
      <c r="AG101" s="316"/>
      <c r="AH101" s="316"/>
      <c r="AJ101" s="315" t="e">
        <f>VLOOKUP(CONCATENATE(form!C81,".",form!H81),Лист1!$DD:$DH,5,0)</f>
        <v>#N/A</v>
      </c>
      <c r="AK101" s="313"/>
      <c r="AL101" s="313"/>
      <c r="AM101" s="313"/>
      <c r="AN101" s="313"/>
      <c r="AO101" s="313"/>
      <c r="AP101" s="315" t="e">
        <f>VLOOKUP(CONCATENATE(form!C81,".",form!H81,".",form!F81),Лист1!$EH:$EL,5,0)</f>
        <v>#N/A</v>
      </c>
      <c r="AQ101" s="317"/>
      <c r="AR101" s="317"/>
      <c r="AS101" s="365" t="e">
        <f t="shared" si="51"/>
        <v>#N/A</v>
      </c>
      <c r="AU101" s="663">
        <f t="shared" si="52"/>
        <v>0</v>
      </c>
      <c r="AV101" s="309">
        <f t="shared" si="53"/>
        <v>0</v>
      </c>
      <c r="AX101" s="309"/>
    </row>
    <row r="102" spans="2:50" s="288" customFormat="1" ht="24.9" customHeight="1">
      <c r="B102" s="397">
        <v>10</v>
      </c>
      <c r="C102" s="620" t="str">
        <f t="shared" si="44"/>
        <v/>
      </c>
      <c r="D102" s="621" t="str">
        <f t="shared" si="45"/>
        <v/>
      </c>
      <c r="E102" s="491" t="str">
        <f>IF(OR(J102=0,J102=""),"",VLOOKUP(R102,Лист1!$M:$O,3,0))</f>
        <v/>
      </c>
      <c r="F102" s="375" t="str">
        <f t="shared" si="46"/>
        <v/>
      </c>
      <c r="G102" s="630" t="str">
        <f t="shared" si="47"/>
        <v/>
      </c>
      <c r="H102" s="376" t="str">
        <f t="shared" si="48"/>
        <v/>
      </c>
      <c r="J102" s="344">
        <f>form!R82</f>
        <v>0</v>
      </c>
      <c r="L102" s="351" t="str">
        <f t="shared" si="49"/>
        <v/>
      </c>
      <c r="M102" s="351" t="str">
        <f t="shared" si="50"/>
        <v/>
      </c>
      <c r="N102" s="351" t="str">
        <f t="shared" si="54"/>
        <v/>
      </c>
      <c r="O102" s="351" t="str">
        <f t="shared" si="55"/>
        <v/>
      </c>
      <c r="P102" s="291"/>
      <c r="Q102" s="291"/>
      <c r="R102" s="352" t="e">
        <f>VLOOKUP(form!C82,Лист1!$L:$N,2,0)</f>
        <v>#N/A</v>
      </c>
      <c r="S102" s="353" t="e">
        <f>VLOOKUP(form!C82,Лист1!$Q:$S,2,0)</f>
        <v>#N/A</v>
      </c>
      <c r="T102" s="353" t="e">
        <f>VLOOKUP(CONCATENATE(form!C82,".",form!G82),Лист1!$U:$W,2,0)</f>
        <v>#N/A</v>
      </c>
      <c r="U102" s="333" t="e">
        <f>VLOOKUP(form!I82,Лист1!$Y:$AA,2,0)</f>
        <v>#N/A</v>
      </c>
      <c r="V102" s="334"/>
      <c r="W102" s="334"/>
      <c r="X102" s="334"/>
      <c r="Y102" s="334"/>
      <c r="Z102" s="291"/>
      <c r="AA102" s="335" t="e">
        <f>VLOOKUP(form!C82,Лист1!$L:$N,3,0)</f>
        <v>#N/A</v>
      </c>
      <c r="AB102" s="337"/>
      <c r="AC102" s="377" t="e">
        <f>VLOOKUP(CONCATENATE(form!C82,".",form!G82),Лист1!$U:$W,3,0)</f>
        <v>#N/A</v>
      </c>
      <c r="AD102" s="377" t="e">
        <f>VLOOKUP(form!I82,Лист1!$Y:$AA,3,0)</f>
        <v>#N/A</v>
      </c>
      <c r="AE102" s="337"/>
      <c r="AF102" s="334"/>
      <c r="AG102" s="334"/>
      <c r="AH102" s="334"/>
      <c r="AI102" s="291"/>
      <c r="AJ102" s="336" t="e">
        <f>VLOOKUP(CONCATENATE(form!C82,".",form!H82),Лист1!$DD:$DH,5,0)</f>
        <v>#N/A</v>
      </c>
      <c r="AK102" s="334"/>
      <c r="AL102" s="334"/>
      <c r="AM102" s="334"/>
      <c r="AN102" s="334"/>
      <c r="AO102" s="334"/>
      <c r="AP102" s="336" t="e">
        <f>VLOOKUP(CONCATENATE(form!C82,".",form!H82,".",form!F82),Лист1!$EH:$EL,5,0)</f>
        <v>#N/A</v>
      </c>
      <c r="AQ102" s="337"/>
      <c r="AR102" s="337"/>
      <c r="AS102" s="338" t="e">
        <f t="shared" si="51"/>
        <v>#N/A</v>
      </c>
      <c r="AT102" s="291"/>
      <c r="AU102" s="665">
        <f t="shared" si="52"/>
        <v>0</v>
      </c>
      <c r="AV102" s="339">
        <f t="shared" si="53"/>
        <v>0</v>
      </c>
      <c r="AX102" s="309"/>
    </row>
    <row r="103" spans="2:50" s="288" customFormat="1" ht="24.9" customHeight="1">
      <c r="B103" s="392">
        <v>1</v>
      </c>
      <c r="C103" s="605" t="str">
        <f>IF(ISNA(L103),"",L103)</f>
        <v/>
      </c>
      <c r="D103" s="622" t="str">
        <f>IF(ISNA(M103),"",M103)</f>
        <v/>
      </c>
      <c r="E103" s="485" t="str">
        <f>IF(OR(J103=0,J103=""),"",VLOOKUP(R103,Лист1!$M:$O,3,0))</f>
        <v/>
      </c>
      <c r="F103" s="318" t="str">
        <f>IF(ISNA(N103),"",N103)</f>
        <v/>
      </c>
      <c r="G103" s="626" t="str">
        <f>IF(J103=0,"",J103)</f>
        <v/>
      </c>
      <c r="H103" s="319" t="str">
        <f>IF(ISNA(O103),"",O103)</f>
        <v/>
      </c>
      <c r="J103" s="344">
        <f>form!R84</f>
        <v>0</v>
      </c>
      <c r="L103" s="290" t="str">
        <f>IF(G103="","",R103)</f>
        <v/>
      </c>
      <c r="M103" s="290" t="str">
        <f>IF(G103="","",AA103)</f>
        <v/>
      </c>
      <c r="N103" s="290" t="str">
        <f>IF(G103="","",AS103*(1-$G$1))</f>
        <v/>
      </c>
      <c r="O103" s="290" t="str">
        <f>IF(F103="","",G103*F103)</f>
        <v/>
      </c>
      <c r="R103" s="345" t="e">
        <f>VLOOKUP(form!C84,Лист1!$L:$N,2,0)</f>
        <v>#N/A</v>
      </c>
      <c r="S103" s="317"/>
      <c r="T103" s="317"/>
      <c r="U103" s="317"/>
      <c r="V103" s="316"/>
      <c r="W103" s="316"/>
      <c r="X103" s="316"/>
      <c r="Y103" s="316"/>
      <c r="AA103" s="347" t="e">
        <f>VLOOKUP(form!C84,Лист1!$L:$N,3,0)</f>
        <v>#N/A</v>
      </c>
      <c r="AB103" s="317"/>
      <c r="AC103" s="317"/>
      <c r="AD103" s="317"/>
      <c r="AE103" s="317"/>
      <c r="AF103" s="316"/>
      <c r="AG103" s="316"/>
      <c r="AH103" s="316"/>
      <c r="AJ103" s="305" t="e">
        <f>VLOOKUP(form!C84,Лист1!$DD:$DH,5,0)</f>
        <v>#N/A</v>
      </c>
      <c r="AK103" s="316"/>
      <c r="AL103" s="316"/>
      <c r="AM103" s="316"/>
      <c r="AN103" s="316"/>
      <c r="AO103" s="316"/>
      <c r="AP103" s="316"/>
      <c r="AQ103" s="316"/>
      <c r="AR103" s="316"/>
      <c r="AS103" s="365" t="e">
        <f t="shared" si="51"/>
        <v>#N/A</v>
      </c>
      <c r="AU103" s="663">
        <f>IF(ISNA(AV103),"0",AV103)</f>
        <v>0</v>
      </c>
      <c r="AV103" s="309">
        <f>IF(G103="",0,ROUND(AS103*G103,2))</f>
        <v>0</v>
      </c>
      <c r="AX103" s="309"/>
    </row>
    <row r="104" spans="2:50" s="288" customFormat="1" ht="24.9" customHeight="1">
      <c r="B104" s="396">
        <v>2</v>
      </c>
      <c r="C104" s="605" t="str">
        <f t="shared" ref="C104:C112" si="56">IF(ISNA(L104),"",L104)</f>
        <v/>
      </c>
      <c r="D104" s="622" t="str">
        <f t="shared" ref="D104:D112" si="57">IF(ISNA(M104),"",M104)</f>
        <v/>
      </c>
      <c r="E104" s="485" t="str">
        <f>IF(OR(J104=0,J104=""),"",VLOOKUP(R104,Лист1!$M:$O,3,0))</f>
        <v/>
      </c>
      <c r="F104" s="318" t="str">
        <f t="shared" ref="F104:F112" si="58">IF(ISNA(N104),"",N104)</f>
        <v/>
      </c>
      <c r="G104" s="626" t="str">
        <f t="shared" ref="G104:G112" si="59">IF(J104=0,"",J104)</f>
        <v/>
      </c>
      <c r="H104" s="319" t="str">
        <f t="shared" ref="H104:H112" si="60">IF(ISNA(O104),"",O104)</f>
        <v/>
      </c>
      <c r="J104" s="344">
        <f>form!R85</f>
        <v>0</v>
      </c>
      <c r="L104" s="290" t="str">
        <f t="shared" ref="L104:L112" si="61">IF(G104="","",R104)</f>
        <v/>
      </c>
      <c r="M104" s="290" t="str">
        <f t="shared" ref="M104:M112" si="62">IF(G104="","",AA104)</f>
        <v/>
      </c>
      <c r="N104" s="290" t="str">
        <f t="shared" ref="N104:N112" si="63">IF(G104="","",AS104*(1-$G$1))</f>
        <v/>
      </c>
      <c r="O104" s="290" t="str">
        <f t="shared" ref="O104:O112" si="64">IF(F104="","",G104*F104)</f>
        <v/>
      </c>
      <c r="R104" s="345" t="e">
        <f>VLOOKUP(form!C85,Лист1!$L:$N,2,0)</f>
        <v>#N/A</v>
      </c>
      <c r="S104" s="317"/>
      <c r="T104" s="317"/>
      <c r="U104" s="317"/>
      <c r="V104" s="316"/>
      <c r="W104" s="316"/>
      <c r="X104" s="316"/>
      <c r="Y104" s="316"/>
      <c r="AA104" s="347" t="e">
        <f>VLOOKUP(form!C85,Лист1!$L:$N,3,0)</f>
        <v>#N/A</v>
      </c>
      <c r="AB104" s="317"/>
      <c r="AC104" s="317"/>
      <c r="AD104" s="317"/>
      <c r="AE104" s="317"/>
      <c r="AF104" s="316"/>
      <c r="AG104" s="316"/>
      <c r="AH104" s="316"/>
      <c r="AJ104" s="305" t="e">
        <f>VLOOKUP(form!C85,Лист1!$DD:$DH,5,0)</f>
        <v>#N/A</v>
      </c>
      <c r="AK104" s="316"/>
      <c r="AL104" s="316"/>
      <c r="AM104" s="316"/>
      <c r="AN104" s="316"/>
      <c r="AO104" s="316"/>
      <c r="AP104" s="316"/>
      <c r="AQ104" s="316"/>
      <c r="AR104" s="316"/>
      <c r="AS104" s="365" t="e">
        <f t="shared" si="51"/>
        <v>#N/A</v>
      </c>
      <c r="AU104" s="663">
        <f t="shared" ref="AU104:AU112" si="65">IF(ISNA(AV104),"0",AV104)</f>
        <v>0</v>
      </c>
      <c r="AV104" s="309">
        <f t="shared" ref="AV104:AV112" si="66">IF(G104="",0,ROUND(AS104*G104,2))</f>
        <v>0</v>
      </c>
      <c r="AX104" s="309"/>
    </row>
    <row r="105" spans="2:50" s="288" customFormat="1" ht="24.9" customHeight="1">
      <c r="B105" s="396">
        <v>3</v>
      </c>
      <c r="C105" s="605" t="str">
        <f t="shared" si="56"/>
        <v/>
      </c>
      <c r="D105" s="622" t="str">
        <f t="shared" si="57"/>
        <v/>
      </c>
      <c r="E105" s="485" t="str">
        <f>IF(OR(J105=0,J105=""),"",VLOOKUP(R105,Лист1!$M:$O,3,0))</f>
        <v/>
      </c>
      <c r="F105" s="318" t="str">
        <f t="shared" si="58"/>
        <v/>
      </c>
      <c r="G105" s="626" t="str">
        <f t="shared" si="59"/>
        <v/>
      </c>
      <c r="H105" s="319" t="str">
        <f t="shared" si="60"/>
        <v/>
      </c>
      <c r="J105" s="344">
        <f>form!R86</f>
        <v>0</v>
      </c>
      <c r="L105" s="290" t="str">
        <f t="shared" si="61"/>
        <v/>
      </c>
      <c r="M105" s="290" t="str">
        <f t="shared" si="62"/>
        <v/>
      </c>
      <c r="N105" s="290" t="str">
        <f t="shared" si="63"/>
        <v/>
      </c>
      <c r="O105" s="290" t="str">
        <f t="shared" si="64"/>
        <v/>
      </c>
      <c r="R105" s="345" t="e">
        <f>VLOOKUP(form!C86,Лист1!$L:$N,2,0)</f>
        <v>#N/A</v>
      </c>
      <c r="S105" s="317"/>
      <c r="T105" s="317"/>
      <c r="U105" s="317"/>
      <c r="V105" s="316"/>
      <c r="W105" s="316"/>
      <c r="X105" s="316"/>
      <c r="Y105" s="316"/>
      <c r="AA105" s="347" t="e">
        <f>VLOOKUP(form!C86,Лист1!$L:$N,3,0)</f>
        <v>#N/A</v>
      </c>
      <c r="AB105" s="317"/>
      <c r="AC105" s="317"/>
      <c r="AD105" s="317"/>
      <c r="AE105" s="317"/>
      <c r="AF105" s="316"/>
      <c r="AG105" s="316"/>
      <c r="AH105" s="316"/>
      <c r="AJ105" s="305" t="e">
        <f>VLOOKUP(form!C86,Лист1!$DD:$DH,5,0)</f>
        <v>#N/A</v>
      </c>
      <c r="AK105" s="316"/>
      <c r="AL105" s="316"/>
      <c r="AM105" s="316"/>
      <c r="AN105" s="316"/>
      <c r="AO105" s="316"/>
      <c r="AP105" s="316"/>
      <c r="AQ105" s="316"/>
      <c r="AR105" s="316"/>
      <c r="AS105" s="365" t="e">
        <f t="shared" si="51"/>
        <v>#N/A</v>
      </c>
      <c r="AU105" s="663">
        <f t="shared" si="65"/>
        <v>0</v>
      </c>
      <c r="AV105" s="309">
        <f t="shared" si="66"/>
        <v>0</v>
      </c>
      <c r="AX105" s="309"/>
    </row>
    <row r="106" spans="2:50" s="288" customFormat="1" ht="24.9" customHeight="1">
      <c r="B106" s="396">
        <v>4</v>
      </c>
      <c r="C106" s="605" t="str">
        <f t="shared" si="56"/>
        <v/>
      </c>
      <c r="D106" s="622" t="str">
        <f t="shared" si="57"/>
        <v/>
      </c>
      <c r="E106" s="485" t="str">
        <f>IF(OR(J106=0,J106=""),"",VLOOKUP(R106,Лист1!$M:$O,3,0))</f>
        <v/>
      </c>
      <c r="F106" s="318" t="str">
        <f t="shared" si="58"/>
        <v/>
      </c>
      <c r="G106" s="626" t="str">
        <f t="shared" si="59"/>
        <v/>
      </c>
      <c r="H106" s="319" t="str">
        <f t="shared" si="60"/>
        <v/>
      </c>
      <c r="J106" s="344">
        <f>form!R87</f>
        <v>0</v>
      </c>
      <c r="L106" s="290" t="str">
        <f t="shared" si="61"/>
        <v/>
      </c>
      <c r="M106" s="290" t="str">
        <f t="shared" si="62"/>
        <v/>
      </c>
      <c r="N106" s="290" t="str">
        <f t="shared" si="63"/>
        <v/>
      </c>
      <c r="O106" s="290" t="str">
        <f t="shared" si="64"/>
        <v/>
      </c>
      <c r="R106" s="345" t="e">
        <f>VLOOKUP(form!C87,Лист1!$L:$N,2,0)</f>
        <v>#N/A</v>
      </c>
      <c r="S106" s="317"/>
      <c r="T106" s="317"/>
      <c r="U106" s="317"/>
      <c r="V106" s="316"/>
      <c r="W106" s="316"/>
      <c r="X106" s="316"/>
      <c r="Y106" s="316"/>
      <c r="AA106" s="347" t="e">
        <f>VLOOKUP(form!C87,Лист1!$L:$N,3,0)</f>
        <v>#N/A</v>
      </c>
      <c r="AB106" s="317"/>
      <c r="AC106" s="317"/>
      <c r="AD106" s="317"/>
      <c r="AE106" s="317"/>
      <c r="AF106" s="316"/>
      <c r="AG106" s="316"/>
      <c r="AH106" s="316"/>
      <c r="AJ106" s="305" t="e">
        <f>VLOOKUP(form!C87,Лист1!$DD:$DH,5,0)</f>
        <v>#N/A</v>
      </c>
      <c r="AK106" s="316"/>
      <c r="AL106" s="316"/>
      <c r="AM106" s="316"/>
      <c r="AN106" s="316"/>
      <c r="AO106" s="316"/>
      <c r="AP106" s="316"/>
      <c r="AQ106" s="316"/>
      <c r="AR106" s="316"/>
      <c r="AS106" s="365" t="e">
        <f t="shared" si="51"/>
        <v>#N/A</v>
      </c>
      <c r="AU106" s="663">
        <f t="shared" si="65"/>
        <v>0</v>
      </c>
      <c r="AV106" s="309">
        <f t="shared" si="66"/>
        <v>0</v>
      </c>
      <c r="AX106" s="309"/>
    </row>
    <row r="107" spans="2:50" s="288" customFormat="1" ht="24.9" customHeight="1">
      <c r="B107" s="396">
        <v>5</v>
      </c>
      <c r="C107" s="605" t="str">
        <f t="shared" si="56"/>
        <v/>
      </c>
      <c r="D107" s="622" t="str">
        <f t="shared" si="57"/>
        <v/>
      </c>
      <c r="E107" s="485" t="str">
        <f>IF(OR(J107=0,J107=""),"",VLOOKUP(R107,Лист1!$M:$O,3,0))</f>
        <v/>
      </c>
      <c r="F107" s="318" t="str">
        <f t="shared" si="58"/>
        <v/>
      </c>
      <c r="G107" s="626" t="str">
        <f t="shared" si="59"/>
        <v/>
      </c>
      <c r="H107" s="319" t="str">
        <f t="shared" si="60"/>
        <v/>
      </c>
      <c r="J107" s="344">
        <f>form!R88</f>
        <v>0</v>
      </c>
      <c r="L107" s="290" t="str">
        <f t="shared" si="61"/>
        <v/>
      </c>
      <c r="M107" s="290" t="str">
        <f t="shared" si="62"/>
        <v/>
      </c>
      <c r="N107" s="290" t="str">
        <f t="shared" si="63"/>
        <v/>
      </c>
      <c r="O107" s="290" t="str">
        <f t="shared" si="64"/>
        <v/>
      </c>
      <c r="R107" s="345" t="e">
        <f>VLOOKUP(form!C88,Лист1!$L:$N,2,0)</f>
        <v>#N/A</v>
      </c>
      <c r="S107" s="317"/>
      <c r="T107" s="317"/>
      <c r="U107" s="317"/>
      <c r="V107" s="316"/>
      <c r="W107" s="316"/>
      <c r="X107" s="316"/>
      <c r="Y107" s="316"/>
      <c r="AA107" s="347" t="e">
        <f>VLOOKUP(form!C88,Лист1!$L:$N,3,0)</f>
        <v>#N/A</v>
      </c>
      <c r="AB107" s="317"/>
      <c r="AC107" s="317"/>
      <c r="AD107" s="317"/>
      <c r="AE107" s="317"/>
      <c r="AF107" s="316"/>
      <c r="AG107" s="316"/>
      <c r="AH107" s="316"/>
      <c r="AJ107" s="305" t="e">
        <f>VLOOKUP(form!C88,Лист1!$DD:$DH,5,0)</f>
        <v>#N/A</v>
      </c>
      <c r="AK107" s="316"/>
      <c r="AL107" s="316"/>
      <c r="AM107" s="316"/>
      <c r="AN107" s="316"/>
      <c r="AO107" s="316"/>
      <c r="AP107" s="316"/>
      <c r="AQ107" s="316"/>
      <c r="AR107" s="316"/>
      <c r="AS107" s="365" t="e">
        <f t="shared" si="51"/>
        <v>#N/A</v>
      </c>
      <c r="AU107" s="663">
        <f t="shared" si="65"/>
        <v>0</v>
      </c>
      <c r="AV107" s="309">
        <f t="shared" si="66"/>
        <v>0</v>
      </c>
      <c r="AX107" s="309"/>
    </row>
    <row r="108" spans="2:50" s="288" customFormat="1" ht="24.9" customHeight="1">
      <c r="B108" s="396">
        <v>6</v>
      </c>
      <c r="C108" s="605" t="str">
        <f t="shared" si="56"/>
        <v/>
      </c>
      <c r="D108" s="622" t="str">
        <f t="shared" si="57"/>
        <v/>
      </c>
      <c r="E108" s="485" t="str">
        <f>IF(OR(J108=0,J108=""),"",VLOOKUP(R108,Лист1!$M:$O,3,0))</f>
        <v/>
      </c>
      <c r="F108" s="318" t="str">
        <f t="shared" si="58"/>
        <v/>
      </c>
      <c r="G108" s="626" t="str">
        <f t="shared" si="59"/>
        <v/>
      </c>
      <c r="H108" s="319" t="str">
        <f t="shared" si="60"/>
        <v/>
      </c>
      <c r="J108" s="344">
        <f>form!R89</f>
        <v>0</v>
      </c>
      <c r="L108" s="290" t="str">
        <f t="shared" si="61"/>
        <v/>
      </c>
      <c r="M108" s="290" t="str">
        <f t="shared" si="62"/>
        <v/>
      </c>
      <c r="N108" s="290" t="str">
        <f t="shared" si="63"/>
        <v/>
      </c>
      <c r="O108" s="290" t="str">
        <f t="shared" si="64"/>
        <v/>
      </c>
      <c r="R108" s="345" t="e">
        <f>VLOOKUP(form!C89,Лист1!$L:$N,2,0)</f>
        <v>#N/A</v>
      </c>
      <c r="S108" s="317"/>
      <c r="T108" s="317"/>
      <c r="U108" s="317"/>
      <c r="V108" s="316"/>
      <c r="W108" s="316"/>
      <c r="X108" s="316"/>
      <c r="Y108" s="316"/>
      <c r="AA108" s="347" t="e">
        <f>VLOOKUP(form!C89,Лист1!$L:$N,3,0)</f>
        <v>#N/A</v>
      </c>
      <c r="AB108" s="317"/>
      <c r="AC108" s="317"/>
      <c r="AD108" s="317"/>
      <c r="AE108" s="317"/>
      <c r="AF108" s="316"/>
      <c r="AG108" s="316"/>
      <c r="AH108" s="316"/>
      <c r="AJ108" s="305" t="e">
        <f>VLOOKUP(form!C89,Лист1!$DD:$DH,5,0)</f>
        <v>#N/A</v>
      </c>
      <c r="AK108" s="316"/>
      <c r="AL108" s="316"/>
      <c r="AM108" s="316"/>
      <c r="AN108" s="316"/>
      <c r="AO108" s="316"/>
      <c r="AP108" s="316"/>
      <c r="AQ108" s="316"/>
      <c r="AR108" s="316"/>
      <c r="AS108" s="365" t="e">
        <f t="shared" si="51"/>
        <v>#N/A</v>
      </c>
      <c r="AU108" s="663">
        <f t="shared" si="65"/>
        <v>0</v>
      </c>
      <c r="AV108" s="309">
        <f t="shared" si="66"/>
        <v>0</v>
      </c>
      <c r="AX108" s="309"/>
    </row>
    <row r="109" spans="2:50" s="288" customFormat="1" ht="24.9" customHeight="1">
      <c r="B109" s="396">
        <v>7</v>
      </c>
      <c r="C109" s="605" t="str">
        <f t="shared" si="56"/>
        <v/>
      </c>
      <c r="D109" s="622" t="str">
        <f t="shared" si="57"/>
        <v/>
      </c>
      <c r="E109" s="485" t="str">
        <f>IF(OR(J109=0,J109=""),"",VLOOKUP(R109,Лист1!$M:$O,3,0))</f>
        <v/>
      </c>
      <c r="F109" s="318" t="str">
        <f t="shared" si="58"/>
        <v/>
      </c>
      <c r="G109" s="626" t="str">
        <f t="shared" si="59"/>
        <v/>
      </c>
      <c r="H109" s="319" t="str">
        <f t="shared" si="60"/>
        <v/>
      </c>
      <c r="J109" s="344">
        <f>form!R90</f>
        <v>0</v>
      </c>
      <c r="L109" s="290" t="str">
        <f t="shared" si="61"/>
        <v/>
      </c>
      <c r="M109" s="290" t="str">
        <f t="shared" si="62"/>
        <v/>
      </c>
      <c r="N109" s="290" t="str">
        <f t="shared" si="63"/>
        <v/>
      </c>
      <c r="O109" s="290" t="str">
        <f t="shared" si="64"/>
        <v/>
      </c>
      <c r="R109" s="345" t="e">
        <f>VLOOKUP(form!C90,Лист1!$L:$N,2,0)</f>
        <v>#N/A</v>
      </c>
      <c r="S109" s="317"/>
      <c r="T109" s="317"/>
      <c r="U109" s="317"/>
      <c r="V109" s="316"/>
      <c r="W109" s="316"/>
      <c r="X109" s="316"/>
      <c r="Y109" s="316"/>
      <c r="AA109" s="347" t="e">
        <f>VLOOKUP(form!C90,Лист1!$L:$N,3,0)</f>
        <v>#N/A</v>
      </c>
      <c r="AB109" s="317"/>
      <c r="AC109" s="317"/>
      <c r="AD109" s="317"/>
      <c r="AE109" s="317"/>
      <c r="AF109" s="316"/>
      <c r="AG109" s="316"/>
      <c r="AH109" s="316"/>
      <c r="AJ109" s="305" t="e">
        <f>VLOOKUP(form!C90,Лист1!$DD:$DH,5,0)</f>
        <v>#N/A</v>
      </c>
      <c r="AK109" s="316"/>
      <c r="AL109" s="316"/>
      <c r="AM109" s="316"/>
      <c r="AN109" s="316"/>
      <c r="AO109" s="316"/>
      <c r="AP109" s="316"/>
      <c r="AQ109" s="316"/>
      <c r="AR109" s="316"/>
      <c r="AS109" s="365" t="e">
        <f t="shared" si="51"/>
        <v>#N/A</v>
      </c>
      <c r="AU109" s="663">
        <f t="shared" si="65"/>
        <v>0</v>
      </c>
      <c r="AV109" s="309">
        <f t="shared" si="66"/>
        <v>0</v>
      </c>
      <c r="AX109" s="309"/>
    </row>
    <row r="110" spans="2:50" s="288" customFormat="1" ht="24.9" customHeight="1">
      <c r="B110" s="396">
        <v>8</v>
      </c>
      <c r="C110" s="605" t="str">
        <f t="shared" si="56"/>
        <v/>
      </c>
      <c r="D110" s="622" t="str">
        <f t="shared" si="57"/>
        <v/>
      </c>
      <c r="E110" s="485" t="str">
        <f>IF(OR(J110=0,J110=""),"",VLOOKUP(R110,Лист1!$M:$O,3,0))</f>
        <v/>
      </c>
      <c r="F110" s="318" t="str">
        <f t="shared" si="58"/>
        <v/>
      </c>
      <c r="G110" s="626" t="str">
        <f t="shared" si="59"/>
        <v/>
      </c>
      <c r="H110" s="319" t="str">
        <f t="shared" si="60"/>
        <v/>
      </c>
      <c r="J110" s="344">
        <f>form!R91</f>
        <v>0</v>
      </c>
      <c r="L110" s="290" t="str">
        <f t="shared" si="61"/>
        <v/>
      </c>
      <c r="M110" s="290" t="str">
        <f t="shared" si="62"/>
        <v/>
      </c>
      <c r="N110" s="290" t="str">
        <f t="shared" si="63"/>
        <v/>
      </c>
      <c r="O110" s="290" t="str">
        <f t="shared" si="64"/>
        <v/>
      </c>
      <c r="R110" s="345" t="e">
        <f>VLOOKUP(form!C91,Лист1!$L:$N,2,0)</f>
        <v>#N/A</v>
      </c>
      <c r="S110" s="317"/>
      <c r="T110" s="317"/>
      <c r="U110" s="317"/>
      <c r="V110" s="316"/>
      <c r="W110" s="316"/>
      <c r="X110" s="316"/>
      <c r="Y110" s="316"/>
      <c r="AA110" s="347" t="e">
        <f>VLOOKUP(form!C91,Лист1!$L:$N,3,0)</f>
        <v>#N/A</v>
      </c>
      <c r="AB110" s="317"/>
      <c r="AC110" s="317"/>
      <c r="AD110" s="317"/>
      <c r="AE110" s="317"/>
      <c r="AF110" s="316"/>
      <c r="AG110" s="316"/>
      <c r="AH110" s="316"/>
      <c r="AJ110" s="305" t="e">
        <f>VLOOKUP(form!C91,Лист1!$DD:$DH,5,0)</f>
        <v>#N/A</v>
      </c>
      <c r="AK110" s="316"/>
      <c r="AL110" s="316"/>
      <c r="AM110" s="316"/>
      <c r="AN110" s="316"/>
      <c r="AO110" s="316"/>
      <c r="AP110" s="316"/>
      <c r="AQ110" s="316"/>
      <c r="AR110" s="316"/>
      <c r="AS110" s="365" t="e">
        <f t="shared" si="51"/>
        <v>#N/A</v>
      </c>
      <c r="AU110" s="663">
        <f t="shared" si="65"/>
        <v>0</v>
      </c>
      <c r="AV110" s="309">
        <f t="shared" si="66"/>
        <v>0</v>
      </c>
      <c r="AX110" s="309"/>
    </row>
    <row r="111" spans="2:50" s="288" customFormat="1" ht="24.9" customHeight="1">
      <c r="B111" s="396">
        <v>9</v>
      </c>
      <c r="C111" s="605" t="str">
        <f t="shared" si="56"/>
        <v/>
      </c>
      <c r="D111" s="622" t="str">
        <f t="shared" si="57"/>
        <v/>
      </c>
      <c r="E111" s="485" t="str">
        <f>IF(OR(J111=0,J111=""),"",VLOOKUP(R111,Лист1!$M:$O,3,0))</f>
        <v/>
      </c>
      <c r="F111" s="318" t="str">
        <f t="shared" si="58"/>
        <v/>
      </c>
      <c r="G111" s="626" t="str">
        <f t="shared" si="59"/>
        <v/>
      </c>
      <c r="H111" s="319" t="str">
        <f t="shared" si="60"/>
        <v/>
      </c>
      <c r="J111" s="344">
        <f>form!R92</f>
        <v>0</v>
      </c>
      <c r="L111" s="290" t="str">
        <f t="shared" si="61"/>
        <v/>
      </c>
      <c r="M111" s="290" t="str">
        <f t="shared" si="62"/>
        <v/>
      </c>
      <c r="N111" s="290" t="str">
        <f t="shared" si="63"/>
        <v/>
      </c>
      <c r="O111" s="290" t="str">
        <f t="shared" si="64"/>
        <v/>
      </c>
      <c r="R111" s="345" t="e">
        <f>VLOOKUP(form!C92,Лист1!$L:$N,2,0)</f>
        <v>#N/A</v>
      </c>
      <c r="S111" s="317"/>
      <c r="T111" s="317"/>
      <c r="U111" s="317"/>
      <c r="V111" s="316"/>
      <c r="W111" s="316"/>
      <c r="X111" s="316"/>
      <c r="Y111" s="316"/>
      <c r="AA111" s="347" t="e">
        <f>VLOOKUP(form!C92,Лист1!$L:$N,3,0)</f>
        <v>#N/A</v>
      </c>
      <c r="AB111" s="317"/>
      <c r="AC111" s="317"/>
      <c r="AD111" s="317"/>
      <c r="AE111" s="317"/>
      <c r="AF111" s="316"/>
      <c r="AG111" s="316"/>
      <c r="AH111" s="316"/>
      <c r="AJ111" s="305" t="e">
        <f>VLOOKUP(form!C92,Лист1!$DD:$DH,5,0)</f>
        <v>#N/A</v>
      </c>
      <c r="AK111" s="316"/>
      <c r="AL111" s="316"/>
      <c r="AM111" s="316"/>
      <c r="AN111" s="316"/>
      <c r="AO111" s="316"/>
      <c r="AP111" s="316"/>
      <c r="AQ111" s="316"/>
      <c r="AR111" s="316"/>
      <c r="AS111" s="365" t="e">
        <f t="shared" si="51"/>
        <v>#N/A</v>
      </c>
      <c r="AU111" s="663">
        <f t="shared" si="65"/>
        <v>0</v>
      </c>
      <c r="AV111" s="309">
        <f t="shared" si="66"/>
        <v>0</v>
      </c>
      <c r="AX111" s="309"/>
    </row>
    <row r="112" spans="2:50" s="288" customFormat="1" ht="24.9" customHeight="1">
      <c r="B112" s="397">
        <v>10</v>
      </c>
      <c r="C112" s="620" t="str">
        <f t="shared" si="56"/>
        <v/>
      </c>
      <c r="D112" s="623" t="str">
        <f t="shared" si="57"/>
        <v/>
      </c>
      <c r="E112" s="491" t="str">
        <f>IF(OR(J112=0,J112=""),"",VLOOKUP(R112,Лист1!$M:$O,3,0))</f>
        <v/>
      </c>
      <c r="F112" s="375" t="str">
        <f t="shared" si="58"/>
        <v/>
      </c>
      <c r="G112" s="630" t="str">
        <f t="shared" si="59"/>
        <v/>
      </c>
      <c r="H112" s="376" t="str">
        <f t="shared" si="60"/>
        <v/>
      </c>
      <c r="J112" s="344">
        <f>form!R93</f>
        <v>0</v>
      </c>
      <c r="L112" s="290" t="str">
        <f t="shared" si="61"/>
        <v/>
      </c>
      <c r="M112" s="290" t="str">
        <f t="shared" si="62"/>
        <v/>
      </c>
      <c r="N112" s="290" t="str">
        <f t="shared" si="63"/>
        <v/>
      </c>
      <c r="O112" s="290" t="str">
        <f t="shared" si="64"/>
        <v/>
      </c>
      <c r="R112" s="345" t="e">
        <f>VLOOKUP(form!C93,Лист1!$L:$N,2,0)</f>
        <v>#N/A</v>
      </c>
      <c r="S112" s="317"/>
      <c r="T112" s="317"/>
      <c r="U112" s="317"/>
      <c r="V112" s="316"/>
      <c r="W112" s="316"/>
      <c r="X112" s="316"/>
      <c r="Y112" s="316"/>
      <c r="AA112" s="347" t="e">
        <f>VLOOKUP(form!C93,Лист1!$L:$N,3,0)</f>
        <v>#N/A</v>
      </c>
      <c r="AB112" s="317"/>
      <c r="AC112" s="317"/>
      <c r="AD112" s="317"/>
      <c r="AE112" s="317"/>
      <c r="AF112" s="316"/>
      <c r="AG112" s="316"/>
      <c r="AH112" s="316"/>
      <c r="AJ112" s="305" t="e">
        <f>VLOOKUP(form!C93,Лист1!$DD:$DH,5,0)</f>
        <v>#N/A</v>
      </c>
      <c r="AK112" s="316"/>
      <c r="AL112" s="316"/>
      <c r="AM112" s="316"/>
      <c r="AN112" s="316"/>
      <c r="AO112" s="316"/>
      <c r="AP112" s="316"/>
      <c r="AQ112" s="316"/>
      <c r="AR112" s="316"/>
      <c r="AS112" s="365" t="e">
        <f t="shared" si="51"/>
        <v>#N/A</v>
      </c>
      <c r="AU112" s="663">
        <f t="shared" si="65"/>
        <v>0</v>
      </c>
      <c r="AV112" s="309">
        <f t="shared" si="66"/>
        <v>0</v>
      </c>
      <c r="AX112" s="309"/>
    </row>
    <row r="113" spans="2:48" ht="11.1" customHeight="1">
      <c r="G113" s="379"/>
      <c r="H113" s="380"/>
      <c r="L113" s="381"/>
      <c r="M113" s="381"/>
      <c r="AU113" s="382"/>
      <c r="AV113" s="380"/>
    </row>
    <row r="114" spans="2:48" ht="11.1" customHeight="1">
      <c r="B114" s="383"/>
      <c r="C114" s="383"/>
      <c r="D114" s="384" t="s">
        <v>5473</v>
      </c>
      <c r="E114" s="383"/>
      <c r="F114" s="384" t="s">
        <v>5474</v>
      </c>
      <c r="G114" s="385"/>
      <c r="H114" s="386" t="str">
        <f>IF(AND(H8="",H54="",H70="",H86="",H92=""),"",SUM(H8,H54,H70,H86,H92))</f>
        <v/>
      </c>
      <c r="AU114" s="387">
        <f>SUM(AU8:AU113)</f>
        <v>0</v>
      </c>
      <c r="AV114" s="388"/>
    </row>
    <row r="119" spans="2:48" ht="10.8" thickBot="1">
      <c r="B119" s="389"/>
      <c r="C119" s="389"/>
      <c r="D119" s="389"/>
      <c r="E119" s="389"/>
      <c r="F119" s="389"/>
      <c r="G119" s="389"/>
      <c r="H119" s="389"/>
    </row>
    <row r="121" spans="2:48">
      <c r="C121" s="2" t="s">
        <v>5475</v>
      </c>
    </row>
    <row r="122" spans="2:48">
      <c r="C122" s="2" t="s">
        <v>5476</v>
      </c>
    </row>
    <row r="123" spans="2:48">
      <c r="C123" s="2" t="s">
        <v>5477</v>
      </c>
    </row>
  </sheetData>
  <sheetCalcPr fullCalcOnLoad="1"/>
  <sheetProtection password="C4CA" sheet="1" objects="1" scenarios="1"/>
  <mergeCells count="8">
    <mergeCell ref="B5:C5"/>
    <mergeCell ref="G5:H5"/>
    <mergeCell ref="E1:F1"/>
    <mergeCell ref="E2:F2"/>
    <mergeCell ref="G1:H1"/>
    <mergeCell ref="G2:H2"/>
    <mergeCell ref="E3:F3"/>
    <mergeCell ref="G3:H3"/>
  </mergeCells>
  <phoneticPr fontId="7" type="noConversion"/>
  <pageMargins left="0.27" right="0.24" top="0.49" bottom="0.49" header="0.5" footer="0.5"/>
  <pageSetup paperSize="9" scale="92" fitToHeight="1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0" tint="-0.249977111117893"/>
    <pageSetUpPr fitToPage="1"/>
  </sheetPr>
  <dimension ref="B2:Y85"/>
  <sheetViews>
    <sheetView showGridLines="0" zoomScaleNormal="100" workbookViewId="0">
      <pane ySplit="7" topLeftCell="A26" activePane="bottomLeft" state="frozen"/>
      <selection activeCell="D55" sqref="D55"/>
      <selection pane="bottomLeft" activeCell="N54" sqref="N54"/>
    </sheetView>
  </sheetViews>
  <sheetFormatPr defaultColWidth="9.109375" defaultRowHeight="10.199999999999999"/>
  <cols>
    <col min="1" max="1" width="2.6640625" style="680" customWidth="1"/>
    <col min="2" max="2" width="2.88671875" style="680" customWidth="1"/>
    <col min="3" max="4" width="9.109375" style="680"/>
    <col min="5" max="5" width="9.109375" style="680" customWidth="1"/>
    <col min="6" max="6" width="9.109375" style="680"/>
    <col min="7" max="7" width="4.33203125" style="680" customWidth="1"/>
    <col min="8" max="8" width="7.88671875" style="680" customWidth="1"/>
    <col min="9" max="12" width="9.109375" style="680"/>
    <col min="13" max="13" width="7.88671875" style="680" customWidth="1"/>
    <col min="14" max="18" width="9.109375" style="680"/>
    <col min="19" max="19" width="7.88671875" style="680" customWidth="1"/>
    <col min="20" max="20" width="9.109375" style="680"/>
    <col min="21" max="21" width="7.88671875" style="680" customWidth="1"/>
    <col min="22" max="16384" width="9.109375" style="680"/>
  </cols>
  <sheetData>
    <row r="2" spans="2:24" ht="13.8" thickBot="1">
      <c r="B2" s="691" t="s">
        <v>5496</v>
      </c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</row>
    <row r="3" spans="2:24" ht="5.0999999999999996" customHeight="1">
      <c r="B3" s="678"/>
    </row>
    <row r="4" spans="2:24">
      <c r="C4" s="684"/>
      <c r="D4" s="683" t="s">
        <v>1795</v>
      </c>
      <c r="E4" s="887">
        <v>44931</v>
      </c>
      <c r="F4" s="888"/>
      <c r="G4" s="888"/>
    </row>
    <row r="5" spans="2:24" ht="12.75" customHeight="1">
      <c r="J5" s="889" t="s">
        <v>5498</v>
      </c>
      <c r="K5" s="889"/>
      <c r="L5" s="889"/>
      <c r="M5" s="889"/>
      <c r="N5" s="889"/>
      <c r="O5" s="889"/>
      <c r="P5" s="889"/>
      <c r="Q5" s="889"/>
    </row>
    <row r="6" spans="2:24" ht="18" customHeight="1">
      <c r="B6" s="689"/>
      <c r="C6" s="690" t="s">
        <v>5497</v>
      </c>
      <c r="D6" s="689"/>
      <c r="E6" s="689"/>
      <c r="F6" s="689"/>
      <c r="G6" s="689"/>
      <c r="J6" s="889"/>
      <c r="K6" s="889"/>
      <c r="L6" s="889"/>
      <c r="M6" s="889"/>
      <c r="N6" s="889"/>
      <c r="O6" s="889"/>
      <c r="P6" s="889"/>
      <c r="Q6" s="889"/>
    </row>
    <row r="7" spans="2:24" ht="5.0999999999999996" customHeight="1"/>
    <row r="9" spans="2:24">
      <c r="H9" s="681" t="s">
        <v>5499</v>
      </c>
    </row>
    <row r="10" spans="2:24">
      <c r="H10" s="693" t="s">
        <v>5495</v>
      </c>
      <c r="I10" s="686" t="s">
        <v>6004</v>
      </c>
      <c r="J10" s="686"/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</row>
    <row r="11" spans="2:24">
      <c r="H11" s="693" t="s">
        <v>177</v>
      </c>
      <c r="I11" s="686" t="s">
        <v>5501</v>
      </c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</row>
    <row r="12" spans="2:24">
      <c r="H12" s="693" t="s">
        <v>176</v>
      </c>
      <c r="I12" s="686" t="s">
        <v>5502</v>
      </c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</row>
    <row r="14" spans="2:24">
      <c r="H14" s="681" t="s">
        <v>5503</v>
      </c>
    </row>
    <row r="15" spans="2:24">
      <c r="H15" s="693" t="s">
        <v>5504</v>
      </c>
      <c r="I15" s="686" t="s">
        <v>5505</v>
      </c>
      <c r="J15" s="686"/>
      <c r="K15" s="686"/>
      <c r="L15" s="686"/>
      <c r="M15" s="686"/>
      <c r="N15" s="686"/>
      <c r="O15" s="686"/>
      <c r="P15" s="686"/>
      <c r="Q15" s="686"/>
      <c r="R15" s="686"/>
      <c r="S15" s="686"/>
      <c r="T15" s="686"/>
      <c r="U15" s="686"/>
      <c r="V15" s="686"/>
      <c r="W15" s="686"/>
      <c r="X15" s="686"/>
    </row>
    <row r="16" spans="2:24">
      <c r="H16" s="693" t="s">
        <v>1792</v>
      </c>
      <c r="I16" s="686" t="s">
        <v>5506</v>
      </c>
      <c r="J16" s="686"/>
      <c r="K16" s="686"/>
      <c r="L16" s="686"/>
      <c r="M16" s="686"/>
      <c r="N16" s="686"/>
      <c r="O16" s="686"/>
      <c r="P16" s="686"/>
      <c r="Q16" s="686"/>
      <c r="R16" s="686"/>
      <c r="S16" s="686"/>
      <c r="T16" s="686"/>
      <c r="U16" s="686"/>
      <c r="V16" s="686"/>
      <c r="W16" s="686"/>
      <c r="X16" s="686"/>
    </row>
    <row r="17" spans="8:24">
      <c r="H17" s="693" t="s">
        <v>1793</v>
      </c>
      <c r="I17" s="686" t="s">
        <v>5507</v>
      </c>
      <c r="J17" s="686"/>
      <c r="K17" s="686"/>
      <c r="L17" s="686"/>
      <c r="M17" s="686"/>
      <c r="N17" s="686"/>
      <c r="O17" s="686"/>
      <c r="P17" s="686"/>
      <c r="Q17" s="686"/>
      <c r="R17" s="686"/>
      <c r="S17" s="686"/>
      <c r="T17" s="686"/>
      <c r="U17" s="686"/>
      <c r="V17" s="686"/>
      <c r="W17" s="686"/>
      <c r="X17" s="686"/>
    </row>
    <row r="19" spans="8:24">
      <c r="H19" s="681" t="s">
        <v>5508</v>
      </c>
    </row>
    <row r="20" spans="8:24">
      <c r="H20" s="687" t="s">
        <v>5509</v>
      </c>
      <c r="I20" s="686"/>
      <c r="J20" s="686"/>
      <c r="K20" s="686"/>
      <c r="L20" s="686"/>
      <c r="M20" s="687" t="s">
        <v>5510</v>
      </c>
      <c r="N20" s="686"/>
      <c r="O20" s="686"/>
      <c r="P20" s="686"/>
      <c r="Q20" s="686"/>
      <c r="R20" s="686"/>
      <c r="S20" s="687" t="s">
        <v>5543</v>
      </c>
      <c r="T20" s="686"/>
      <c r="U20" s="686"/>
      <c r="V20" s="686"/>
      <c r="W20" s="686"/>
      <c r="X20" s="686"/>
    </row>
    <row r="21" spans="8:24">
      <c r="H21" s="693" t="s">
        <v>167</v>
      </c>
      <c r="I21" s="686" t="s">
        <v>5549</v>
      </c>
      <c r="J21" s="686"/>
      <c r="K21" s="686"/>
      <c r="L21" s="686"/>
      <c r="M21" s="693" t="s">
        <v>174</v>
      </c>
      <c r="N21" s="686" t="s">
        <v>5520</v>
      </c>
      <c r="O21" s="686"/>
      <c r="P21" s="686"/>
      <c r="Q21" s="686"/>
      <c r="R21" s="686"/>
      <c r="S21" s="693" t="s">
        <v>321</v>
      </c>
      <c r="T21" s="686" t="s">
        <v>5523</v>
      </c>
      <c r="U21" s="686"/>
      <c r="V21" s="686"/>
      <c r="W21" s="686"/>
      <c r="X21" s="686"/>
    </row>
    <row r="22" spans="8:24">
      <c r="H22" s="693" t="s">
        <v>174</v>
      </c>
      <c r="I22" s="686" t="s">
        <v>5988</v>
      </c>
      <c r="J22" s="686"/>
      <c r="K22" s="686"/>
      <c r="L22" s="686"/>
      <c r="M22" s="693" t="s">
        <v>159</v>
      </c>
      <c r="N22" s="686" t="s">
        <v>5545</v>
      </c>
      <c r="O22" s="686"/>
      <c r="P22" s="686"/>
      <c r="Q22" s="686"/>
      <c r="R22" s="686"/>
      <c r="S22" s="693" t="s">
        <v>982</v>
      </c>
      <c r="T22" s="686" t="s">
        <v>5524</v>
      </c>
      <c r="U22" s="686"/>
      <c r="V22" s="686"/>
      <c r="W22" s="686"/>
      <c r="X22" s="686"/>
    </row>
    <row r="23" spans="8:24">
      <c r="H23" s="693" t="s">
        <v>161</v>
      </c>
      <c r="I23" s="686" t="s">
        <v>5989</v>
      </c>
      <c r="J23" s="686"/>
      <c r="K23" s="686"/>
      <c r="L23" s="686"/>
      <c r="M23" s="693" t="s">
        <v>160</v>
      </c>
      <c r="N23" s="686" t="s">
        <v>5546</v>
      </c>
      <c r="O23" s="686"/>
      <c r="P23" s="686"/>
      <c r="Q23" s="686"/>
      <c r="R23" s="686"/>
      <c r="S23" s="686"/>
      <c r="T23" s="686"/>
      <c r="U23" s="686"/>
      <c r="V23" s="686"/>
      <c r="W23" s="686"/>
      <c r="X23" s="686"/>
    </row>
    <row r="24" spans="8:24">
      <c r="H24" s="693" t="s">
        <v>162</v>
      </c>
      <c r="I24" s="686" t="s">
        <v>5990</v>
      </c>
      <c r="J24" s="686"/>
      <c r="K24" s="686"/>
      <c r="L24" s="686"/>
      <c r="M24" s="693">
        <v>30</v>
      </c>
      <c r="N24" s="686" t="s">
        <v>5521</v>
      </c>
      <c r="O24" s="686"/>
      <c r="P24" s="686"/>
      <c r="Q24" s="686"/>
      <c r="R24" s="686"/>
      <c r="S24" s="687" t="s">
        <v>5544</v>
      </c>
      <c r="T24" s="686"/>
      <c r="U24" s="686"/>
      <c r="V24" s="686"/>
      <c r="W24" s="686"/>
      <c r="X24" s="686"/>
    </row>
    <row r="25" spans="8:24">
      <c r="H25" s="693" t="s">
        <v>159</v>
      </c>
      <c r="I25" s="686" t="s">
        <v>5511</v>
      </c>
      <c r="J25" s="686"/>
      <c r="K25" s="686"/>
      <c r="L25" s="686"/>
      <c r="M25" s="693" t="s">
        <v>797</v>
      </c>
      <c r="N25" s="686" t="s">
        <v>5547</v>
      </c>
      <c r="O25" s="686"/>
      <c r="P25" s="686"/>
      <c r="Q25" s="686"/>
      <c r="R25" s="686"/>
      <c r="S25" s="693" t="s">
        <v>591</v>
      </c>
      <c r="T25" s="686" t="s">
        <v>6012</v>
      </c>
      <c r="U25" s="686"/>
      <c r="V25" s="686"/>
      <c r="W25" s="686"/>
      <c r="X25" s="686"/>
    </row>
    <row r="26" spans="8:24">
      <c r="H26" s="693" t="s">
        <v>164</v>
      </c>
      <c r="I26" s="686" t="s">
        <v>5516</v>
      </c>
      <c r="J26" s="686"/>
      <c r="K26" s="686"/>
      <c r="L26" s="686"/>
      <c r="M26" s="693" t="s">
        <v>270</v>
      </c>
      <c r="N26" s="686" t="s">
        <v>5548</v>
      </c>
      <c r="O26" s="686"/>
      <c r="P26" s="686"/>
      <c r="Q26" s="686"/>
      <c r="R26" s="686"/>
      <c r="S26" s="693" t="s">
        <v>808</v>
      </c>
      <c r="T26" s="686" t="s">
        <v>5500</v>
      </c>
      <c r="U26" s="686"/>
      <c r="V26" s="686"/>
      <c r="W26" s="686"/>
      <c r="X26" s="686"/>
    </row>
    <row r="27" spans="8:24">
      <c r="H27" s="693" t="s">
        <v>160</v>
      </c>
      <c r="I27" s="686" t="s">
        <v>5512</v>
      </c>
      <c r="J27" s="686"/>
      <c r="K27" s="686"/>
      <c r="L27" s="686"/>
      <c r="M27" s="685"/>
      <c r="N27" s="686"/>
      <c r="O27" s="686"/>
      <c r="P27" s="686"/>
      <c r="Q27" s="686"/>
      <c r="R27" s="686"/>
      <c r="S27" s="693" t="s">
        <v>809</v>
      </c>
      <c r="T27" s="686" t="s">
        <v>5513</v>
      </c>
      <c r="U27" s="686"/>
      <c r="V27" s="686"/>
      <c r="W27" s="686"/>
      <c r="X27" s="686"/>
    </row>
    <row r="28" spans="8:24">
      <c r="H28" s="693" t="s">
        <v>981</v>
      </c>
      <c r="I28" s="686" t="s">
        <v>5517</v>
      </c>
      <c r="J28" s="686"/>
      <c r="K28" s="686"/>
      <c r="L28" s="686"/>
      <c r="M28" s="687" t="s">
        <v>5522</v>
      </c>
      <c r="N28" s="686"/>
      <c r="O28" s="686"/>
      <c r="P28" s="686"/>
      <c r="Q28" s="686"/>
      <c r="R28" s="686"/>
      <c r="S28" s="693" t="s">
        <v>810</v>
      </c>
      <c r="T28" s="686" t="s">
        <v>6002</v>
      </c>
      <c r="U28" s="686"/>
      <c r="V28" s="686"/>
      <c r="W28" s="686"/>
      <c r="X28" s="686"/>
    </row>
    <row r="29" spans="8:24">
      <c r="H29" s="693" t="s">
        <v>5650</v>
      </c>
      <c r="I29" s="686" t="s">
        <v>5991</v>
      </c>
      <c r="J29" s="686"/>
      <c r="K29" s="686"/>
      <c r="L29" s="686"/>
      <c r="M29" s="693" t="s">
        <v>167</v>
      </c>
      <c r="N29" s="686" t="s">
        <v>5550</v>
      </c>
      <c r="O29" s="686"/>
      <c r="P29" s="686"/>
      <c r="Q29" s="686"/>
      <c r="R29" s="686"/>
      <c r="S29" s="693" t="s">
        <v>5630</v>
      </c>
      <c r="T29" s="686" t="s">
        <v>6003</v>
      </c>
      <c r="U29" s="686"/>
      <c r="V29" s="686"/>
      <c r="W29" s="686"/>
      <c r="X29" s="686"/>
    </row>
    <row r="30" spans="8:24">
      <c r="H30" s="693" t="s">
        <v>5665</v>
      </c>
      <c r="I30" s="686" t="s">
        <v>5993</v>
      </c>
      <c r="J30" s="686"/>
      <c r="K30" s="686"/>
      <c r="L30" s="686"/>
      <c r="M30" s="693" t="s">
        <v>979</v>
      </c>
      <c r="N30" s="686" t="s">
        <v>5551</v>
      </c>
      <c r="O30" s="686"/>
      <c r="P30" s="686"/>
      <c r="Q30" s="686"/>
      <c r="R30" s="686"/>
      <c r="S30" s="693" t="s">
        <v>5631</v>
      </c>
      <c r="T30" s="686" t="s">
        <v>6000</v>
      </c>
      <c r="U30" s="686"/>
      <c r="V30" s="686"/>
      <c r="W30" s="686"/>
      <c r="X30" s="686"/>
    </row>
    <row r="31" spans="8:24">
      <c r="H31" s="693" t="s">
        <v>5680</v>
      </c>
      <c r="I31" s="686" t="s">
        <v>5994</v>
      </c>
      <c r="J31" s="686"/>
      <c r="K31" s="686"/>
      <c r="L31" s="686"/>
      <c r="M31" s="693" t="s">
        <v>980</v>
      </c>
      <c r="N31" s="686" t="s">
        <v>5552</v>
      </c>
      <c r="O31" s="686"/>
      <c r="P31" s="686"/>
      <c r="Q31" s="686"/>
      <c r="R31" s="686"/>
      <c r="S31" s="693" t="s">
        <v>5632</v>
      </c>
      <c r="T31" s="686" t="s">
        <v>6001</v>
      </c>
      <c r="U31" s="686"/>
      <c r="V31" s="686"/>
      <c r="W31" s="686"/>
      <c r="X31" s="686"/>
    </row>
    <row r="32" spans="8:24">
      <c r="H32" s="693" t="s">
        <v>175</v>
      </c>
      <c r="I32" s="686" t="s">
        <v>5995</v>
      </c>
      <c r="J32" s="686"/>
      <c r="K32" s="686"/>
      <c r="L32" s="686"/>
      <c r="M32" s="693" t="s">
        <v>160</v>
      </c>
      <c r="N32" s="686" t="s">
        <v>5553</v>
      </c>
      <c r="O32" s="686"/>
      <c r="P32" s="686"/>
      <c r="Q32" s="686"/>
      <c r="R32" s="686"/>
      <c r="S32" s="686"/>
      <c r="T32" s="686"/>
      <c r="U32" s="686"/>
      <c r="V32" s="686"/>
      <c r="W32" s="686"/>
      <c r="X32" s="686"/>
    </row>
    <row r="33" spans="8:25">
      <c r="H33" s="693" t="s">
        <v>1039</v>
      </c>
      <c r="I33" s="686" t="s">
        <v>5996</v>
      </c>
      <c r="J33" s="686"/>
      <c r="K33" s="686"/>
      <c r="L33" s="686"/>
      <c r="M33" s="693" t="s">
        <v>981</v>
      </c>
      <c r="N33" s="686" t="s">
        <v>5554</v>
      </c>
      <c r="O33" s="686"/>
      <c r="P33" s="686"/>
      <c r="Q33" s="686"/>
      <c r="R33" s="686"/>
      <c r="S33" s="686"/>
      <c r="T33" s="686"/>
      <c r="U33" s="686"/>
      <c r="V33" s="686"/>
      <c r="W33" s="686"/>
      <c r="X33" s="686"/>
    </row>
    <row r="34" spans="8:25">
      <c r="H34" s="693" t="s">
        <v>1040</v>
      </c>
      <c r="I34" s="686" t="s">
        <v>5997</v>
      </c>
      <c r="J34" s="686"/>
      <c r="K34" s="686"/>
      <c r="L34" s="686"/>
      <c r="M34" s="693" t="s">
        <v>270</v>
      </c>
      <c r="N34" s="686" t="s">
        <v>5555</v>
      </c>
      <c r="O34" s="686"/>
      <c r="P34" s="686"/>
      <c r="Q34" s="686"/>
      <c r="R34" s="686"/>
      <c r="S34" s="686"/>
      <c r="T34" s="686"/>
      <c r="U34" s="686"/>
      <c r="V34" s="686"/>
      <c r="W34" s="686"/>
      <c r="X34" s="686"/>
    </row>
    <row r="35" spans="8:25">
      <c r="H35" s="693" t="s">
        <v>797</v>
      </c>
      <c r="I35" s="686" t="s">
        <v>5514</v>
      </c>
      <c r="J35" s="686"/>
      <c r="K35" s="686"/>
      <c r="L35" s="686"/>
      <c r="M35" s="693" t="s">
        <v>426</v>
      </c>
      <c r="N35" s="686" t="s">
        <v>5556</v>
      </c>
      <c r="O35" s="686"/>
      <c r="P35" s="686"/>
      <c r="Q35" s="686"/>
      <c r="R35" s="686"/>
      <c r="S35" s="686"/>
      <c r="T35" s="686"/>
      <c r="U35" s="686"/>
      <c r="V35" s="686"/>
      <c r="W35" s="686"/>
      <c r="X35" s="686"/>
    </row>
    <row r="36" spans="8:25">
      <c r="H36" s="693" t="s">
        <v>425</v>
      </c>
      <c r="I36" s="686" t="s">
        <v>5518</v>
      </c>
      <c r="J36" s="686"/>
      <c r="K36" s="686"/>
      <c r="L36" s="686"/>
      <c r="M36" s="686"/>
      <c r="N36" s="686"/>
      <c r="O36" s="686"/>
      <c r="P36" s="686"/>
      <c r="Q36" s="686"/>
      <c r="R36" s="686"/>
      <c r="S36" s="686"/>
      <c r="T36" s="686"/>
      <c r="U36" s="686"/>
      <c r="V36" s="686"/>
      <c r="W36" s="686"/>
      <c r="X36" s="686"/>
    </row>
    <row r="37" spans="8:25">
      <c r="H37" s="693" t="s">
        <v>270</v>
      </c>
      <c r="I37" s="686" t="s">
        <v>5515</v>
      </c>
      <c r="J37" s="686"/>
      <c r="K37" s="686"/>
      <c r="L37" s="686"/>
      <c r="M37" s="686"/>
      <c r="N37" s="686"/>
      <c r="O37" s="686"/>
      <c r="P37" s="686"/>
      <c r="Q37" s="686"/>
      <c r="R37" s="686"/>
      <c r="S37" s="686"/>
      <c r="T37" s="686"/>
      <c r="U37" s="686"/>
      <c r="V37" s="686"/>
      <c r="W37" s="686"/>
      <c r="X37" s="686"/>
    </row>
    <row r="38" spans="8:25">
      <c r="H38" s="693" t="s">
        <v>426</v>
      </c>
      <c r="I38" s="686" t="s">
        <v>5519</v>
      </c>
      <c r="J38" s="686"/>
      <c r="K38" s="686"/>
      <c r="L38" s="686"/>
      <c r="M38" s="686"/>
      <c r="N38" s="686"/>
      <c r="O38" s="686"/>
      <c r="P38" s="686"/>
      <c r="Q38" s="686"/>
      <c r="R38" s="686"/>
      <c r="S38" s="686"/>
      <c r="T38" s="686"/>
      <c r="U38" s="686"/>
      <c r="V38" s="686"/>
      <c r="W38" s="686"/>
      <c r="X38" s="686"/>
    </row>
    <row r="39" spans="8:25">
      <c r="H39" s="693" t="s">
        <v>5695</v>
      </c>
      <c r="I39" s="686" t="s">
        <v>5992</v>
      </c>
      <c r="J39" s="686"/>
      <c r="K39" s="686"/>
      <c r="L39" s="686"/>
      <c r="M39" s="686"/>
      <c r="N39" s="686"/>
      <c r="O39" s="686"/>
      <c r="P39" s="686"/>
      <c r="Q39" s="686"/>
      <c r="R39" s="686"/>
      <c r="S39" s="686"/>
      <c r="T39" s="686"/>
      <c r="U39" s="686"/>
      <c r="V39" s="686"/>
      <c r="W39" s="686"/>
      <c r="X39" s="686"/>
    </row>
    <row r="40" spans="8:25">
      <c r="H40" s="693" t="s">
        <v>756</v>
      </c>
      <c r="I40" s="686" t="s">
        <v>5998</v>
      </c>
      <c r="J40" s="686"/>
      <c r="K40" s="686"/>
      <c r="L40" s="686"/>
      <c r="M40" s="686"/>
      <c r="N40" s="686"/>
      <c r="O40" s="686"/>
      <c r="P40" s="686"/>
      <c r="Q40" s="686"/>
      <c r="R40" s="686"/>
      <c r="S40" s="686"/>
      <c r="T40" s="686"/>
      <c r="U40" s="686"/>
      <c r="V40" s="686"/>
      <c r="W40" s="686"/>
      <c r="X40" s="686"/>
    </row>
    <row r="41" spans="8:25">
      <c r="H41" s="693" t="s">
        <v>5724</v>
      </c>
      <c r="I41" s="686" t="s">
        <v>5999</v>
      </c>
      <c r="J41" s="686"/>
      <c r="K41" s="686"/>
      <c r="L41" s="686"/>
      <c r="M41" s="686"/>
      <c r="N41" s="686"/>
      <c r="O41" s="686"/>
      <c r="P41" s="686"/>
      <c r="Q41" s="686"/>
      <c r="R41" s="686"/>
      <c r="S41" s="686"/>
      <c r="T41" s="686"/>
      <c r="U41" s="686"/>
      <c r="V41" s="686"/>
      <c r="W41" s="686"/>
      <c r="X41" s="686"/>
    </row>
    <row r="42" spans="8:25">
      <c r="H42" s="833"/>
      <c r="I42" s="832"/>
      <c r="J42" s="832"/>
      <c r="K42" s="832"/>
      <c r="L42" s="831"/>
      <c r="M42" s="831"/>
      <c r="N42" s="831"/>
      <c r="O42" s="831"/>
      <c r="P42" s="831"/>
      <c r="Q42" s="831"/>
      <c r="R42" s="831"/>
      <c r="S42" s="831"/>
      <c r="T42" s="831"/>
      <c r="U42" s="831"/>
      <c r="V42" s="831"/>
      <c r="W42" s="831"/>
      <c r="X42" s="831"/>
    </row>
    <row r="43" spans="8:25">
      <c r="H43" s="679"/>
      <c r="J43" s="826"/>
      <c r="K43" s="826"/>
      <c r="L43" s="831"/>
      <c r="M43" s="831"/>
      <c r="N43" s="831"/>
      <c r="O43" s="831"/>
      <c r="P43" s="831"/>
      <c r="Q43" s="831"/>
      <c r="R43" s="831"/>
      <c r="S43" s="831"/>
      <c r="T43" s="831"/>
      <c r="U43" s="831"/>
      <c r="V43" s="831"/>
      <c r="W43" s="831"/>
      <c r="X43" s="831"/>
    </row>
    <row r="44" spans="8:25">
      <c r="L44" s="831"/>
      <c r="M44" s="831"/>
      <c r="N44" s="831"/>
      <c r="O44" s="831"/>
      <c r="P44" s="831"/>
      <c r="Q44" s="831"/>
      <c r="R44" s="831"/>
      <c r="S44" s="831"/>
      <c r="T44" s="831"/>
      <c r="U44" s="831"/>
      <c r="V44" s="831"/>
      <c r="W44" s="831"/>
      <c r="X44" s="831"/>
    </row>
    <row r="45" spans="8:25">
      <c r="L45" s="831"/>
      <c r="M45" s="831"/>
      <c r="N45" s="831"/>
      <c r="O45" s="831"/>
      <c r="P45" s="831"/>
      <c r="Q45" s="831"/>
      <c r="R45" s="831"/>
      <c r="S45" s="831"/>
      <c r="T45" s="831"/>
      <c r="U45" s="831"/>
      <c r="V45" s="831"/>
      <c r="W45" s="831"/>
      <c r="X45" s="831"/>
      <c r="Y45" s="826"/>
    </row>
    <row r="46" spans="8:25">
      <c r="M46" s="831"/>
      <c r="N46" s="831"/>
      <c r="O46" s="831"/>
      <c r="P46" s="831"/>
      <c r="Q46" s="831"/>
      <c r="R46" s="831"/>
      <c r="S46" s="831"/>
      <c r="T46" s="831"/>
      <c r="U46" s="831"/>
      <c r="V46" s="831"/>
      <c r="W46" s="831"/>
      <c r="X46" s="831"/>
    </row>
    <row r="47" spans="8:25"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</row>
    <row r="48" spans="8:25">
      <c r="H48" s="681" t="s">
        <v>5525</v>
      </c>
      <c r="J48" s="826"/>
      <c r="K48" s="826"/>
      <c r="L48" s="826"/>
      <c r="M48" s="826"/>
      <c r="N48" s="826"/>
      <c r="O48" s="826"/>
      <c r="P48" s="826"/>
      <c r="Q48" s="826"/>
      <c r="R48" s="826"/>
      <c r="S48" s="826"/>
      <c r="T48" s="826"/>
      <c r="U48" s="826"/>
      <c r="V48" s="826"/>
      <c r="W48" s="826"/>
      <c r="X48" s="826"/>
    </row>
    <row r="49" spans="8:25">
      <c r="H49" s="693" t="s">
        <v>167</v>
      </c>
      <c r="I49" s="686" t="s">
        <v>5526</v>
      </c>
      <c r="J49" s="686"/>
      <c r="K49" s="686"/>
      <c r="L49" s="686"/>
      <c r="M49" s="693" t="s">
        <v>171</v>
      </c>
      <c r="N49" s="686" t="s">
        <v>6014</v>
      </c>
      <c r="O49" s="686"/>
      <c r="P49" s="686"/>
      <c r="Q49" s="686"/>
      <c r="R49" s="686"/>
      <c r="S49" s="686"/>
      <c r="T49" s="686"/>
      <c r="U49" s="686"/>
      <c r="V49" s="686"/>
      <c r="W49" s="686"/>
      <c r="X49" s="686"/>
    </row>
    <row r="50" spans="8:25">
      <c r="H50" s="693" t="s">
        <v>168</v>
      </c>
      <c r="I50" s="686" t="s">
        <v>459</v>
      </c>
      <c r="J50" s="686"/>
      <c r="K50" s="686"/>
      <c r="L50" s="686"/>
      <c r="M50" s="693" t="s">
        <v>172</v>
      </c>
      <c r="N50" s="686" t="s">
        <v>6013</v>
      </c>
      <c r="O50" s="686"/>
      <c r="P50" s="686"/>
      <c r="Q50" s="686"/>
      <c r="R50" s="686"/>
      <c r="S50" s="686"/>
      <c r="T50" s="686"/>
      <c r="U50" s="686"/>
      <c r="V50" s="686"/>
      <c r="W50" s="686"/>
      <c r="X50" s="686"/>
    </row>
    <row r="51" spans="8:25">
      <c r="H51" s="693" t="s">
        <v>170</v>
      </c>
      <c r="I51" s="686" t="s">
        <v>4203</v>
      </c>
      <c r="J51" s="686"/>
      <c r="K51" s="686"/>
      <c r="L51" s="686"/>
      <c r="M51" s="693" t="s">
        <v>173</v>
      </c>
      <c r="N51" s="686" t="s">
        <v>6015</v>
      </c>
      <c r="O51" s="686"/>
      <c r="P51" s="686"/>
      <c r="Q51" s="686"/>
      <c r="R51" s="686"/>
      <c r="S51" s="686"/>
      <c r="T51" s="686"/>
      <c r="U51" s="686"/>
      <c r="V51" s="686"/>
      <c r="W51" s="686"/>
      <c r="X51" s="686"/>
    </row>
    <row r="52" spans="8:25">
      <c r="H52" s="693" t="s">
        <v>169</v>
      </c>
      <c r="I52" s="686" t="s">
        <v>5527</v>
      </c>
      <c r="J52" s="686"/>
      <c r="K52" s="686"/>
      <c r="L52" s="686"/>
      <c r="M52" s="693" t="s">
        <v>1186</v>
      </c>
      <c r="N52" s="686" t="s">
        <v>4251</v>
      </c>
      <c r="O52" s="686"/>
      <c r="P52" s="686"/>
      <c r="Q52" s="686"/>
      <c r="R52" s="686"/>
      <c r="S52" s="686"/>
      <c r="T52" s="686"/>
      <c r="U52" s="686"/>
      <c r="V52" s="686"/>
      <c r="W52" s="686"/>
      <c r="X52" s="686"/>
    </row>
    <row r="53" spans="8:25">
      <c r="H53" s="693" t="s">
        <v>833</v>
      </c>
      <c r="I53" s="686" t="s">
        <v>5528</v>
      </c>
      <c r="J53" s="686"/>
      <c r="K53" s="686"/>
      <c r="L53" s="686"/>
      <c r="M53" s="693" t="s">
        <v>6047</v>
      </c>
      <c r="N53" s="686" t="s">
        <v>6046</v>
      </c>
      <c r="O53" s="686"/>
      <c r="P53" s="686"/>
      <c r="Q53" s="686"/>
      <c r="R53" s="686"/>
      <c r="S53" s="686"/>
      <c r="T53" s="686"/>
      <c r="U53" s="686"/>
      <c r="V53" s="686"/>
      <c r="W53" s="686"/>
      <c r="X53" s="686"/>
    </row>
    <row r="54" spans="8:25">
      <c r="H54" s="693" t="s">
        <v>834</v>
      </c>
      <c r="I54" s="686" t="s">
        <v>5529</v>
      </c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</row>
    <row r="55" spans="8:25">
      <c r="H55" s="831"/>
      <c r="I55" s="831"/>
      <c r="J55" s="831"/>
      <c r="K55" s="831"/>
      <c r="L55" s="831"/>
      <c r="M55" s="831"/>
      <c r="N55" s="831"/>
      <c r="O55" s="831"/>
      <c r="P55" s="831"/>
      <c r="Q55" s="831"/>
      <c r="R55" s="831"/>
      <c r="S55" s="831"/>
      <c r="T55" s="831"/>
      <c r="U55" s="831"/>
      <c r="V55" s="831"/>
      <c r="W55" s="831"/>
      <c r="X55" s="831"/>
    </row>
    <row r="56" spans="8:25">
      <c r="H56" s="831"/>
      <c r="I56" s="831"/>
      <c r="J56" s="831"/>
      <c r="K56" s="831"/>
      <c r="L56" s="831"/>
      <c r="M56" s="831"/>
      <c r="N56" s="831"/>
      <c r="O56" s="831"/>
      <c r="P56" s="831"/>
      <c r="Q56" s="831"/>
      <c r="R56" s="831"/>
      <c r="S56" s="831"/>
      <c r="T56" s="831"/>
      <c r="U56" s="831"/>
      <c r="V56" s="831"/>
      <c r="W56" s="831"/>
      <c r="X56" s="831"/>
    </row>
    <row r="57" spans="8:25">
      <c r="H57" s="681" t="s">
        <v>5530</v>
      </c>
      <c r="K57" s="831"/>
      <c r="L57" s="831"/>
      <c r="M57" s="831"/>
      <c r="N57" s="831"/>
      <c r="O57" s="831"/>
      <c r="P57" s="831"/>
      <c r="Q57" s="831"/>
      <c r="R57" s="831"/>
      <c r="S57" s="831"/>
      <c r="T57" s="831"/>
      <c r="U57" s="831"/>
      <c r="V57" s="831"/>
      <c r="W57" s="831"/>
      <c r="X57" s="831"/>
    </row>
    <row r="58" spans="8:25">
      <c r="H58" s="693" t="s">
        <v>167</v>
      </c>
      <c r="I58" s="686" t="s">
        <v>5531</v>
      </c>
      <c r="J58" s="686"/>
      <c r="K58" s="686"/>
      <c r="L58" s="686"/>
      <c r="M58" s="686"/>
      <c r="N58" s="686"/>
      <c r="O58" s="686"/>
      <c r="P58" s="686"/>
      <c r="Q58" s="686"/>
      <c r="R58" s="686"/>
      <c r="S58" s="686"/>
      <c r="T58" s="686"/>
      <c r="U58" s="686"/>
      <c r="V58" s="686"/>
      <c r="W58" s="686"/>
      <c r="X58" s="686"/>
    </row>
    <row r="59" spans="8:25">
      <c r="H59" s="693" t="s">
        <v>165</v>
      </c>
      <c r="I59" s="686" t="s">
        <v>6016</v>
      </c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</row>
    <row r="60" spans="8:25">
      <c r="H60" s="693" t="s">
        <v>166</v>
      </c>
      <c r="I60" s="688" t="s">
        <v>5532</v>
      </c>
      <c r="J60" s="686"/>
      <c r="K60" s="686"/>
      <c r="L60" s="686"/>
      <c r="M60" s="686"/>
      <c r="N60" s="686"/>
      <c r="O60" s="686"/>
      <c r="P60" s="686"/>
      <c r="Q60" s="686"/>
      <c r="R60" s="686"/>
      <c r="S60" s="686"/>
      <c r="T60" s="686"/>
      <c r="U60" s="686"/>
      <c r="V60" s="686"/>
      <c r="W60" s="686"/>
      <c r="X60" s="686"/>
    </row>
    <row r="61" spans="8:25">
      <c r="I61" s="682"/>
      <c r="L61" s="826"/>
      <c r="M61" s="826"/>
      <c r="N61" s="826"/>
      <c r="O61" s="826"/>
      <c r="P61" s="826"/>
      <c r="Q61" s="826"/>
      <c r="R61" s="826"/>
      <c r="S61" s="826"/>
      <c r="T61" s="826"/>
      <c r="U61" s="826"/>
      <c r="V61" s="826"/>
      <c r="W61" s="826"/>
      <c r="X61" s="826"/>
    </row>
    <row r="62" spans="8:25">
      <c r="H62" s="681" t="s">
        <v>5533</v>
      </c>
      <c r="L62" s="826"/>
      <c r="M62" s="826"/>
      <c r="N62" s="826"/>
      <c r="O62" s="826"/>
      <c r="P62" s="826"/>
      <c r="Q62" s="826"/>
      <c r="R62" s="826"/>
      <c r="S62" s="826"/>
      <c r="T62" s="826"/>
      <c r="U62" s="826"/>
      <c r="V62" s="826"/>
      <c r="W62" s="826"/>
      <c r="X62" s="826"/>
    </row>
    <row r="63" spans="8:25">
      <c r="H63" s="693" t="s">
        <v>749</v>
      </c>
      <c r="I63" s="686" t="s">
        <v>6008</v>
      </c>
      <c r="J63" s="686"/>
      <c r="K63" s="686"/>
      <c r="L63" s="686"/>
    </row>
    <row r="64" spans="8:25">
      <c r="K64" s="826"/>
      <c r="L64" s="826"/>
      <c r="M64" s="826"/>
      <c r="N64" s="826"/>
      <c r="O64" s="826"/>
      <c r="P64" s="826"/>
      <c r="Q64" s="826"/>
      <c r="R64" s="826"/>
      <c r="S64" s="826"/>
      <c r="T64" s="826"/>
      <c r="U64" s="826"/>
      <c r="V64" s="826"/>
      <c r="W64" s="826"/>
      <c r="X64" s="826"/>
      <c r="Y64" s="826"/>
    </row>
    <row r="65" spans="8:25">
      <c r="H65" s="681" t="s">
        <v>5534</v>
      </c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  <c r="Y65" s="826"/>
    </row>
    <row r="66" spans="8:25">
      <c r="H66" s="693" t="s">
        <v>5504</v>
      </c>
      <c r="I66" s="686" t="s">
        <v>6005</v>
      </c>
      <c r="J66" s="686"/>
      <c r="K66" s="686"/>
      <c r="L66" s="686"/>
      <c r="M66" s="686"/>
      <c r="N66" s="686"/>
      <c r="O66" s="686"/>
      <c r="P66" s="686"/>
      <c r="Q66" s="686"/>
      <c r="R66" s="686"/>
      <c r="S66" s="686"/>
      <c r="T66" s="686"/>
      <c r="U66" s="686"/>
      <c r="V66" s="686"/>
      <c r="W66" s="686"/>
      <c r="X66" s="686"/>
    </row>
    <row r="67" spans="8:25">
      <c r="H67" s="693" t="s">
        <v>1790</v>
      </c>
      <c r="I67" s="686" t="s">
        <v>5535</v>
      </c>
      <c r="J67" s="686"/>
      <c r="K67" s="686"/>
      <c r="L67" s="686"/>
      <c r="M67" s="686"/>
      <c r="N67" s="686"/>
      <c r="O67" s="686"/>
      <c r="P67" s="686"/>
      <c r="Q67" s="686"/>
      <c r="R67" s="686"/>
      <c r="S67" s="686"/>
      <c r="T67" s="686"/>
      <c r="U67" s="686"/>
      <c r="V67" s="686"/>
      <c r="W67" s="686"/>
      <c r="X67" s="686"/>
    </row>
    <row r="68" spans="8:25">
      <c r="H68" s="693" t="s">
        <v>1791</v>
      </c>
      <c r="I68" s="686" t="s">
        <v>5536</v>
      </c>
      <c r="J68" s="686"/>
      <c r="K68" s="686"/>
      <c r="L68" s="686"/>
      <c r="M68" s="686"/>
      <c r="N68" s="686"/>
      <c r="O68" s="686"/>
      <c r="P68" s="686"/>
      <c r="Q68" s="686"/>
      <c r="R68" s="686"/>
      <c r="S68" s="686"/>
      <c r="T68" s="686"/>
      <c r="U68" s="686"/>
      <c r="V68" s="686"/>
      <c r="W68" s="686"/>
      <c r="X68" s="686"/>
    </row>
    <row r="69" spans="8:25">
      <c r="K69" s="831"/>
      <c r="L69" s="831"/>
      <c r="M69" s="831"/>
      <c r="N69" s="831"/>
      <c r="O69" s="831"/>
      <c r="P69" s="831"/>
      <c r="Q69" s="831"/>
      <c r="R69" s="831"/>
      <c r="S69" s="831"/>
      <c r="T69" s="831"/>
      <c r="U69" s="831"/>
      <c r="V69" s="831"/>
      <c r="W69" s="831"/>
      <c r="X69" s="831"/>
    </row>
    <row r="70" spans="8:25">
      <c r="H70" s="681" t="s">
        <v>5537</v>
      </c>
      <c r="L70" s="831"/>
      <c r="M70" s="831"/>
      <c r="N70" s="831"/>
      <c r="O70" s="831"/>
      <c r="P70" s="831"/>
      <c r="Q70" s="831"/>
      <c r="R70" s="831"/>
      <c r="S70" s="831"/>
      <c r="T70" s="831"/>
      <c r="U70" s="831"/>
      <c r="V70" s="831"/>
      <c r="W70" s="831"/>
      <c r="X70" s="831"/>
    </row>
    <row r="71" spans="8:25">
      <c r="H71" s="694" t="s">
        <v>1789</v>
      </c>
      <c r="I71" s="686" t="s">
        <v>6017</v>
      </c>
      <c r="J71" s="686"/>
      <c r="K71" s="686"/>
      <c r="L71" s="686"/>
      <c r="M71" s="686"/>
      <c r="N71" s="686"/>
      <c r="O71" s="686"/>
      <c r="P71" s="686"/>
      <c r="Q71" s="686"/>
      <c r="R71" s="686"/>
      <c r="S71" s="686"/>
      <c r="T71" s="686"/>
      <c r="U71" s="686"/>
      <c r="V71" s="686"/>
      <c r="W71" s="686"/>
      <c r="X71" s="686"/>
    </row>
    <row r="72" spans="8:25">
      <c r="H72" s="694" t="s">
        <v>239</v>
      </c>
      <c r="I72" s="686" t="s">
        <v>6018</v>
      </c>
      <c r="J72" s="686"/>
      <c r="K72" s="686"/>
      <c r="L72" s="686"/>
      <c r="M72" s="686"/>
      <c r="N72" s="686"/>
      <c r="O72" s="686"/>
      <c r="P72" s="686"/>
      <c r="Q72" s="686"/>
      <c r="R72" s="686"/>
      <c r="S72" s="686"/>
      <c r="T72" s="686"/>
      <c r="U72" s="686"/>
      <c r="V72" s="686"/>
      <c r="W72" s="686"/>
      <c r="X72" s="686"/>
    </row>
    <row r="73" spans="8:25">
      <c r="H73" s="694" t="s">
        <v>240</v>
      </c>
      <c r="I73" s="686" t="s">
        <v>6019</v>
      </c>
      <c r="J73" s="686"/>
      <c r="K73" s="686"/>
      <c r="L73" s="686"/>
      <c r="M73" s="686"/>
      <c r="N73" s="686"/>
      <c r="O73" s="686"/>
      <c r="P73" s="686"/>
      <c r="Q73" s="686"/>
      <c r="R73" s="686"/>
      <c r="S73" s="686"/>
      <c r="T73" s="686"/>
      <c r="U73" s="686"/>
      <c r="V73" s="686"/>
      <c r="W73" s="686"/>
      <c r="X73" s="686"/>
    </row>
    <row r="74" spans="8:25">
      <c r="H74" s="694" t="s">
        <v>241</v>
      </c>
      <c r="I74" s="686" t="s">
        <v>6020</v>
      </c>
      <c r="J74" s="686"/>
      <c r="K74" s="686"/>
      <c r="L74" s="686"/>
      <c r="M74" s="686"/>
      <c r="N74" s="686"/>
      <c r="O74" s="686"/>
      <c r="P74" s="686"/>
      <c r="Q74" s="686"/>
      <c r="R74" s="686"/>
      <c r="S74" s="686"/>
      <c r="T74" s="686"/>
      <c r="U74" s="686"/>
      <c r="V74" s="686"/>
      <c r="W74" s="686"/>
      <c r="X74" s="686"/>
    </row>
    <row r="75" spans="8:25">
      <c r="H75" s="694" t="s">
        <v>242</v>
      </c>
      <c r="I75" s="686" t="s">
        <v>6021</v>
      </c>
      <c r="J75" s="686"/>
      <c r="K75" s="686"/>
      <c r="L75" s="686"/>
      <c r="M75" s="686"/>
      <c r="N75" s="686"/>
      <c r="O75" s="686"/>
      <c r="P75" s="686"/>
      <c r="Q75" s="686"/>
      <c r="R75" s="686"/>
      <c r="S75" s="686"/>
      <c r="T75" s="686"/>
      <c r="U75" s="686"/>
      <c r="V75" s="686"/>
      <c r="W75" s="686"/>
      <c r="X75" s="686"/>
    </row>
    <row r="76" spans="8:25">
      <c r="H76" s="694" t="s">
        <v>243</v>
      </c>
      <c r="I76" s="686" t="s">
        <v>6022</v>
      </c>
      <c r="J76" s="686"/>
      <c r="K76" s="686"/>
      <c r="L76" s="686"/>
      <c r="M76" s="686"/>
      <c r="N76" s="686"/>
      <c r="O76" s="686"/>
      <c r="P76" s="686"/>
      <c r="Q76" s="686"/>
      <c r="R76" s="686"/>
      <c r="S76" s="686"/>
      <c r="T76" s="686"/>
      <c r="U76" s="686"/>
      <c r="V76" s="686"/>
      <c r="W76" s="686"/>
      <c r="X76" s="686"/>
    </row>
    <row r="77" spans="8:25">
      <c r="H77" s="832"/>
      <c r="I77" s="832"/>
      <c r="J77" s="832"/>
      <c r="K77" s="832"/>
      <c r="L77" s="832"/>
      <c r="M77" s="832"/>
      <c r="N77" s="832"/>
      <c r="O77" s="832"/>
      <c r="P77" s="832"/>
      <c r="Q77" s="832"/>
      <c r="R77" s="832"/>
      <c r="S77" s="832"/>
      <c r="T77" s="832"/>
      <c r="U77" s="832"/>
      <c r="V77" s="832"/>
      <c r="W77" s="832"/>
      <c r="X77" s="832"/>
    </row>
    <row r="78" spans="8:25">
      <c r="H78" s="834" t="s">
        <v>1794</v>
      </c>
      <c r="I78" s="832"/>
      <c r="J78" s="832"/>
      <c r="K78" s="832"/>
      <c r="L78" s="832"/>
      <c r="M78" s="832"/>
      <c r="N78" s="832"/>
      <c r="O78" s="832"/>
      <c r="P78" s="832"/>
      <c r="Q78" s="832"/>
      <c r="R78" s="832"/>
      <c r="S78" s="832"/>
      <c r="T78" s="832"/>
      <c r="U78" s="832"/>
      <c r="V78" s="832"/>
      <c r="W78" s="832"/>
      <c r="X78" s="832"/>
    </row>
    <row r="79" spans="8:25">
      <c r="H79" s="693" t="s">
        <v>749</v>
      </c>
      <c r="I79" s="686" t="s">
        <v>5538</v>
      </c>
      <c r="J79" s="686"/>
      <c r="K79" s="686"/>
      <c r="L79" s="686"/>
      <c r="M79" s="686"/>
      <c r="N79" s="686"/>
      <c r="O79" s="686"/>
      <c r="P79" s="686"/>
      <c r="Q79" s="686"/>
      <c r="R79" s="686"/>
      <c r="S79" s="686"/>
      <c r="T79" s="686"/>
      <c r="U79" s="686"/>
      <c r="V79" s="686"/>
      <c r="W79" s="686"/>
      <c r="X79" s="686"/>
    </row>
    <row r="80" spans="8:25"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</row>
    <row r="81" spans="8:24">
      <c r="H81" s="835" t="s">
        <v>5539</v>
      </c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1"/>
      <c r="X81" s="831"/>
    </row>
    <row r="82" spans="8:24">
      <c r="H82" s="693" t="s">
        <v>749</v>
      </c>
      <c r="I82" s="686" t="s">
        <v>5540</v>
      </c>
      <c r="J82" s="686"/>
      <c r="K82" s="686"/>
      <c r="L82" s="686"/>
      <c r="M82" s="686"/>
      <c r="N82" s="686"/>
      <c r="O82" s="686"/>
      <c r="P82" s="686"/>
      <c r="Q82" s="686"/>
      <c r="R82" s="686"/>
      <c r="S82" s="686"/>
      <c r="T82" s="686"/>
      <c r="U82" s="686"/>
      <c r="V82" s="686"/>
      <c r="W82" s="686"/>
      <c r="X82" s="686"/>
    </row>
    <row r="83" spans="8:24">
      <c r="J83" s="832"/>
      <c r="K83" s="832"/>
      <c r="L83" s="832"/>
      <c r="M83" s="832"/>
      <c r="N83" s="832"/>
      <c r="O83" s="832"/>
      <c r="P83" s="832"/>
      <c r="Q83" s="832"/>
      <c r="R83" s="832"/>
      <c r="S83" s="832"/>
      <c r="T83" s="832"/>
      <c r="U83" s="832"/>
      <c r="V83" s="832"/>
      <c r="W83" s="832"/>
      <c r="X83" s="832"/>
    </row>
    <row r="84" spans="8:24">
      <c r="H84" s="681" t="s">
        <v>5541</v>
      </c>
      <c r="J84" s="832"/>
      <c r="K84" s="832"/>
      <c r="L84" s="832"/>
      <c r="M84" s="832"/>
      <c r="N84" s="832"/>
      <c r="O84" s="832"/>
      <c r="P84" s="832"/>
      <c r="Q84" s="832"/>
      <c r="R84" s="832"/>
      <c r="S84" s="832"/>
      <c r="T84" s="832"/>
      <c r="U84" s="832"/>
      <c r="V84" s="832"/>
      <c r="W84" s="832"/>
      <c r="X84" s="832"/>
    </row>
    <row r="85" spans="8:24">
      <c r="H85" s="693" t="s">
        <v>846</v>
      </c>
      <c r="I85" s="686" t="s">
        <v>5542</v>
      </c>
      <c r="J85" s="686"/>
      <c r="K85" s="686"/>
      <c r="L85" s="686"/>
      <c r="M85" s="686"/>
      <c r="N85" s="686"/>
      <c r="O85" s="686"/>
      <c r="P85" s="686"/>
      <c r="Q85" s="686"/>
      <c r="R85" s="686"/>
      <c r="S85" s="686"/>
      <c r="T85" s="686"/>
      <c r="U85" s="686"/>
      <c r="V85" s="686"/>
      <c r="W85" s="686"/>
      <c r="X85" s="686"/>
    </row>
  </sheetData>
  <sheetProtection password="DB76" sheet="1" objects="1" scenarios="1"/>
  <mergeCells count="2">
    <mergeCell ref="E4:G4"/>
    <mergeCell ref="J5:Q6"/>
  </mergeCells>
  <pageMargins left="0.39370078740157483" right="0.39370078740157483" top="0.39370078740157483" bottom="0.39370078740157483" header="0.31496062992125984" footer="0.31496062992125984"/>
  <pageSetup paperSize="9"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theme="0" tint="-0.249977111117893"/>
    <pageSetUpPr fitToPage="1"/>
  </sheetPr>
  <dimension ref="B2:X58"/>
  <sheetViews>
    <sheetView showGridLines="0" zoomScaleNormal="100" workbookViewId="0">
      <pane ySplit="7" topLeftCell="A8" activePane="bottomLeft" state="frozen"/>
      <selection activeCell="D55" sqref="D55"/>
      <selection pane="bottomLeft" activeCell="Q51" sqref="Q51"/>
    </sheetView>
  </sheetViews>
  <sheetFormatPr defaultColWidth="9.109375" defaultRowHeight="10.199999999999999"/>
  <cols>
    <col min="1" max="1" width="2.6640625" style="680" customWidth="1"/>
    <col min="2" max="2" width="2.88671875" style="680" customWidth="1"/>
    <col min="3" max="4" width="9.109375" style="680"/>
    <col min="5" max="5" width="9.109375" style="680" customWidth="1"/>
    <col min="6" max="6" width="9.109375" style="680"/>
    <col min="7" max="7" width="4.33203125" style="680" customWidth="1"/>
    <col min="8" max="8" width="7.88671875" style="680" customWidth="1"/>
    <col min="9" max="12" width="9.109375" style="680"/>
    <col min="13" max="13" width="7.88671875" style="680" customWidth="1"/>
    <col min="14" max="18" width="9.109375" style="680"/>
    <col min="19" max="19" width="7.88671875" style="680" customWidth="1"/>
    <col min="20" max="20" width="9.109375" style="680"/>
    <col min="21" max="21" width="7.88671875" style="680" customWidth="1"/>
    <col min="22" max="16384" width="9.109375" style="680"/>
  </cols>
  <sheetData>
    <row r="2" spans="2:24" ht="13.8" thickBot="1">
      <c r="B2" s="691" t="s">
        <v>5496</v>
      </c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</row>
    <row r="3" spans="2:24" ht="5.0999999999999996" customHeight="1">
      <c r="B3" s="678"/>
    </row>
    <row r="4" spans="2:24">
      <c r="C4" s="684"/>
      <c r="D4" s="683" t="s">
        <v>1795</v>
      </c>
      <c r="E4" s="887">
        <f>'Код ДП'!E4</f>
        <v>44931</v>
      </c>
      <c r="F4" s="888"/>
      <c r="G4" s="888"/>
    </row>
    <row r="5" spans="2:24" ht="12.75" customHeight="1">
      <c r="J5" s="890" t="s">
        <v>5619</v>
      </c>
      <c r="K5" s="890"/>
      <c r="L5" s="890"/>
      <c r="M5" s="890"/>
      <c r="N5" s="890"/>
      <c r="O5" s="890"/>
      <c r="P5" s="890"/>
      <c r="Q5" s="890"/>
    </row>
    <row r="6" spans="2:24" ht="18" customHeight="1">
      <c r="B6" s="689"/>
      <c r="C6" s="891" t="s">
        <v>5557</v>
      </c>
      <c r="D6" s="891"/>
      <c r="E6" s="891"/>
      <c r="F6" s="891"/>
      <c r="G6" s="689"/>
      <c r="J6" s="890"/>
      <c r="K6" s="890"/>
      <c r="L6" s="890"/>
      <c r="M6" s="890"/>
      <c r="N6" s="890"/>
      <c r="O6" s="890"/>
      <c r="P6" s="890"/>
      <c r="Q6" s="890"/>
    </row>
    <row r="7" spans="2:24" ht="5.0999999999999996" customHeight="1"/>
    <row r="9" spans="2:24">
      <c r="H9" s="681" t="s">
        <v>5499</v>
      </c>
    </row>
    <row r="10" spans="2:24">
      <c r="H10" s="693" t="s">
        <v>5495</v>
      </c>
      <c r="I10" s="686" t="s">
        <v>5558</v>
      </c>
      <c r="J10" s="686"/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</row>
    <row r="11" spans="2:24">
      <c r="H11" s="693" t="s">
        <v>177</v>
      </c>
      <c r="I11" s="686" t="s">
        <v>5559</v>
      </c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</row>
    <row r="12" spans="2:24">
      <c r="H12" s="693" t="s">
        <v>176</v>
      </c>
      <c r="I12" s="686" t="s">
        <v>6023</v>
      </c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</row>
    <row r="14" spans="2:24">
      <c r="H14" s="681" t="s">
        <v>5560</v>
      </c>
    </row>
    <row r="15" spans="2:24">
      <c r="H15" s="687" t="s">
        <v>5561</v>
      </c>
      <c r="I15" s="686"/>
      <c r="J15" s="686"/>
      <c r="K15" s="686"/>
      <c r="L15" s="686"/>
      <c r="M15" s="687"/>
      <c r="N15" s="686"/>
      <c r="O15" s="686"/>
      <c r="P15" s="687" t="s">
        <v>1796</v>
      </c>
      <c r="Q15" s="686"/>
      <c r="R15" s="686"/>
      <c r="S15" s="687"/>
      <c r="T15" s="686"/>
      <c r="U15" s="686"/>
      <c r="V15" s="686"/>
      <c r="W15" s="686"/>
      <c r="X15" s="686"/>
    </row>
    <row r="16" spans="2:24">
      <c r="H16" s="693" t="s">
        <v>167</v>
      </c>
      <c r="I16" s="686" t="s">
        <v>5568</v>
      </c>
      <c r="J16" s="686"/>
      <c r="K16" s="686"/>
      <c r="L16" s="686"/>
      <c r="M16" s="693"/>
      <c r="N16" s="686"/>
      <c r="O16" s="686"/>
      <c r="P16" s="693" t="s">
        <v>167</v>
      </c>
      <c r="Q16" s="686" t="s">
        <v>5568</v>
      </c>
      <c r="R16" s="686"/>
      <c r="S16" s="687"/>
      <c r="T16" s="686"/>
      <c r="U16" s="686"/>
      <c r="V16" s="686"/>
      <c r="W16" s="686"/>
      <c r="X16" s="686"/>
    </row>
    <row r="17" spans="8:24">
      <c r="H17" s="693" t="s">
        <v>174</v>
      </c>
      <c r="I17" s="686" t="s">
        <v>5562</v>
      </c>
      <c r="J17" s="686"/>
      <c r="K17" s="686"/>
      <c r="L17" s="686"/>
      <c r="M17" s="693"/>
      <c r="N17" s="686"/>
      <c r="O17" s="686"/>
      <c r="P17" s="693" t="s">
        <v>979</v>
      </c>
      <c r="Q17" s="686" t="s">
        <v>5571</v>
      </c>
      <c r="R17" s="686"/>
      <c r="S17" s="693"/>
      <c r="T17" s="686"/>
      <c r="U17" s="686"/>
      <c r="V17" s="686"/>
      <c r="W17" s="686"/>
      <c r="X17" s="686"/>
    </row>
    <row r="18" spans="8:24">
      <c r="H18" s="693" t="s">
        <v>159</v>
      </c>
      <c r="I18" s="686" t="s">
        <v>5563</v>
      </c>
      <c r="J18" s="686"/>
      <c r="K18" s="686"/>
      <c r="L18" s="686"/>
      <c r="M18" s="693"/>
      <c r="N18" s="686"/>
      <c r="O18" s="686"/>
      <c r="P18" s="693" t="s">
        <v>160</v>
      </c>
      <c r="Q18" s="686" t="s">
        <v>5572</v>
      </c>
      <c r="R18" s="686"/>
      <c r="S18" s="693"/>
      <c r="T18" s="686"/>
      <c r="U18" s="686"/>
      <c r="V18" s="686"/>
      <c r="W18" s="686"/>
      <c r="X18" s="686"/>
    </row>
    <row r="19" spans="8:24">
      <c r="H19" s="693" t="s">
        <v>160</v>
      </c>
      <c r="I19" s="686" t="s">
        <v>5564</v>
      </c>
      <c r="J19" s="686"/>
      <c r="K19" s="686"/>
      <c r="L19" s="686"/>
      <c r="M19" s="693"/>
      <c r="N19" s="686"/>
      <c r="O19" s="686"/>
      <c r="P19" s="693" t="s">
        <v>270</v>
      </c>
      <c r="Q19" s="686" t="s">
        <v>5573</v>
      </c>
      <c r="R19" s="686"/>
      <c r="S19" s="686"/>
      <c r="T19" s="686"/>
      <c r="U19" s="686"/>
      <c r="V19" s="686"/>
      <c r="W19" s="686"/>
      <c r="X19" s="686"/>
    </row>
    <row r="20" spans="8:24">
      <c r="H20" s="693">
        <v>30</v>
      </c>
      <c r="I20" s="686" t="s">
        <v>5565</v>
      </c>
      <c r="J20" s="686"/>
      <c r="K20" s="686"/>
      <c r="L20" s="686"/>
      <c r="M20" s="693"/>
      <c r="N20" s="686"/>
      <c r="O20" s="686"/>
      <c r="P20" s="693"/>
      <c r="Q20" s="686"/>
      <c r="R20" s="686"/>
      <c r="S20" s="687"/>
      <c r="T20" s="686"/>
      <c r="U20" s="686"/>
      <c r="V20" s="686"/>
      <c r="W20" s="686"/>
      <c r="X20" s="686"/>
    </row>
    <row r="21" spans="8:24">
      <c r="H21" s="693" t="s">
        <v>797</v>
      </c>
      <c r="I21" s="686" t="s">
        <v>5566</v>
      </c>
      <c r="J21" s="686"/>
      <c r="K21" s="686"/>
      <c r="L21" s="686"/>
      <c r="M21" s="693"/>
      <c r="N21" s="686"/>
      <c r="O21" s="686"/>
      <c r="P21" s="687" t="s">
        <v>5574</v>
      </c>
      <c r="Q21" s="686"/>
      <c r="R21" s="686"/>
      <c r="S21" s="693"/>
      <c r="T21" s="686"/>
      <c r="U21" s="686"/>
      <c r="V21" s="686"/>
      <c r="W21" s="686"/>
      <c r="X21" s="686"/>
    </row>
    <row r="22" spans="8:24">
      <c r="H22" s="693" t="s">
        <v>270</v>
      </c>
      <c r="I22" s="686" t="s">
        <v>5567</v>
      </c>
      <c r="J22" s="686"/>
      <c r="K22" s="686"/>
      <c r="L22" s="686"/>
      <c r="M22" s="685"/>
      <c r="N22" s="686"/>
      <c r="O22" s="686"/>
      <c r="P22" s="693" t="s">
        <v>174</v>
      </c>
      <c r="Q22" s="686" t="s">
        <v>5575</v>
      </c>
      <c r="R22" s="686"/>
      <c r="S22" s="693"/>
      <c r="T22" s="686"/>
      <c r="U22" s="686"/>
      <c r="V22" s="686"/>
      <c r="W22" s="686"/>
      <c r="X22" s="686"/>
    </row>
    <row r="23" spans="8:24">
      <c r="H23" s="693" t="s">
        <v>591</v>
      </c>
      <c r="I23" s="686" t="s">
        <v>5569</v>
      </c>
      <c r="J23" s="686"/>
      <c r="K23" s="686"/>
      <c r="L23" s="686"/>
      <c r="M23" s="687"/>
      <c r="N23" s="686"/>
      <c r="O23" s="686"/>
      <c r="P23" s="693" t="s">
        <v>175</v>
      </c>
      <c r="Q23" s="686" t="s">
        <v>5576</v>
      </c>
      <c r="R23" s="686"/>
      <c r="S23" s="693"/>
      <c r="T23" s="686"/>
      <c r="U23" s="686"/>
      <c r="V23" s="686"/>
      <c r="W23" s="686"/>
      <c r="X23" s="686"/>
    </row>
    <row r="24" spans="8:24">
      <c r="H24" s="687"/>
      <c r="I24" s="686"/>
      <c r="J24" s="686"/>
      <c r="K24" s="686"/>
      <c r="L24" s="686"/>
      <c r="M24" s="693"/>
      <c r="N24" s="686"/>
      <c r="O24" s="686"/>
      <c r="P24" s="686"/>
      <c r="Q24" s="686"/>
      <c r="R24" s="686"/>
      <c r="S24" s="693"/>
      <c r="T24" s="686"/>
      <c r="U24" s="686"/>
      <c r="V24" s="686"/>
      <c r="W24" s="686"/>
      <c r="X24" s="686"/>
    </row>
    <row r="25" spans="8:24">
      <c r="H25" s="687" t="s">
        <v>5570</v>
      </c>
      <c r="I25" s="686"/>
      <c r="J25" s="686"/>
      <c r="K25" s="686"/>
      <c r="L25" s="686"/>
      <c r="M25" s="693"/>
      <c r="N25" s="686"/>
      <c r="O25" s="686"/>
      <c r="P25" s="686"/>
      <c r="Q25" s="686"/>
      <c r="R25" s="686"/>
      <c r="S25" s="686"/>
      <c r="T25" s="686"/>
      <c r="U25" s="686"/>
      <c r="V25" s="686"/>
      <c r="W25" s="686"/>
      <c r="X25" s="686"/>
    </row>
    <row r="26" spans="8:24">
      <c r="H26" s="693" t="s">
        <v>167</v>
      </c>
      <c r="I26" s="686" t="s">
        <v>5568</v>
      </c>
      <c r="J26" s="686"/>
      <c r="K26" s="686"/>
      <c r="L26" s="686"/>
      <c r="M26" s="693"/>
      <c r="N26" s="686"/>
      <c r="O26" s="686"/>
      <c r="P26" s="686"/>
      <c r="Q26" s="686"/>
      <c r="R26" s="686"/>
      <c r="S26" s="686"/>
      <c r="T26" s="686"/>
      <c r="U26" s="686"/>
      <c r="V26" s="686"/>
      <c r="W26" s="686"/>
      <c r="X26" s="686"/>
    </row>
    <row r="27" spans="8:24">
      <c r="H27" s="693" t="s">
        <v>174</v>
      </c>
      <c r="I27" s="686" t="s">
        <v>6006</v>
      </c>
      <c r="J27" s="686"/>
      <c r="K27" s="686"/>
      <c r="L27" s="686"/>
      <c r="M27" s="693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686"/>
    </row>
    <row r="28" spans="8:24">
      <c r="H28" s="693">
        <v>30</v>
      </c>
      <c r="I28" s="686" t="s">
        <v>6007</v>
      </c>
      <c r="J28" s="686"/>
      <c r="K28" s="686"/>
      <c r="L28" s="686"/>
      <c r="M28" s="686"/>
      <c r="N28" s="686"/>
      <c r="O28" s="686"/>
      <c r="P28" s="686"/>
      <c r="Q28" s="686"/>
      <c r="R28" s="686"/>
      <c r="S28" s="686"/>
      <c r="T28" s="686"/>
      <c r="U28" s="686"/>
      <c r="V28" s="686"/>
      <c r="W28" s="686"/>
      <c r="X28" s="686"/>
    </row>
    <row r="30" spans="8:24">
      <c r="H30" s="681" t="s">
        <v>5533</v>
      </c>
      <c r="L30" s="831"/>
      <c r="M30" s="831"/>
      <c r="N30" s="831"/>
      <c r="O30" s="831"/>
      <c r="P30" s="831"/>
      <c r="Q30" s="831"/>
      <c r="R30" s="831"/>
      <c r="S30" s="831"/>
      <c r="T30" s="831"/>
      <c r="U30" s="831"/>
      <c r="V30" s="831"/>
      <c r="W30" s="831"/>
      <c r="X30" s="831"/>
    </row>
    <row r="31" spans="8:24">
      <c r="H31" s="693" t="s">
        <v>749</v>
      </c>
      <c r="I31" s="686" t="s">
        <v>6008</v>
      </c>
      <c r="J31" s="686"/>
      <c r="K31" s="686"/>
      <c r="L31" s="686"/>
      <c r="M31" s="686"/>
      <c r="N31" s="686"/>
      <c r="O31" s="686"/>
      <c r="P31" s="686"/>
      <c r="Q31" s="686"/>
      <c r="R31" s="686"/>
      <c r="S31" s="686"/>
      <c r="T31" s="686"/>
      <c r="U31" s="686"/>
      <c r="V31" s="686"/>
      <c r="W31" s="686"/>
      <c r="X31" s="686"/>
    </row>
    <row r="32" spans="8:24">
      <c r="L32" s="831"/>
      <c r="M32" s="831"/>
      <c r="N32" s="831"/>
      <c r="O32" s="831"/>
      <c r="P32" s="831"/>
      <c r="Q32" s="831"/>
      <c r="R32" s="831"/>
      <c r="S32" s="831"/>
      <c r="T32" s="831"/>
      <c r="U32" s="831"/>
      <c r="V32" s="831"/>
      <c r="W32" s="831"/>
      <c r="X32" s="831"/>
    </row>
    <row r="33" spans="8:24">
      <c r="H33" s="681" t="s">
        <v>180</v>
      </c>
      <c r="L33" s="831"/>
      <c r="M33" s="831"/>
      <c r="N33" s="831"/>
      <c r="O33" s="831"/>
      <c r="P33" s="831"/>
      <c r="Q33" s="831"/>
      <c r="R33" s="831"/>
      <c r="S33" s="831"/>
      <c r="T33" s="831"/>
      <c r="U33" s="831"/>
      <c r="V33" s="831"/>
      <c r="W33" s="831"/>
      <c r="X33" s="831"/>
    </row>
    <row r="34" spans="8:24">
      <c r="H34" s="693" t="s">
        <v>749</v>
      </c>
      <c r="I34" s="686" t="s">
        <v>5577</v>
      </c>
      <c r="J34" s="686"/>
      <c r="K34" s="686"/>
      <c r="L34" s="686"/>
      <c r="M34" s="686"/>
      <c r="N34" s="686"/>
      <c r="O34" s="686"/>
      <c r="P34" s="686"/>
      <c r="Q34" s="686"/>
      <c r="R34" s="686"/>
      <c r="S34" s="686"/>
      <c r="T34" s="686"/>
      <c r="U34" s="686"/>
      <c r="V34" s="686"/>
      <c r="W34" s="686"/>
      <c r="X34" s="686"/>
    </row>
    <row r="35" spans="8:24">
      <c r="K35" s="831"/>
      <c r="L35" s="831"/>
      <c r="M35" s="831"/>
      <c r="N35" s="831"/>
      <c r="O35" s="831"/>
      <c r="P35" s="831"/>
      <c r="Q35" s="831"/>
      <c r="R35" s="831"/>
      <c r="S35" s="831"/>
      <c r="T35" s="831"/>
      <c r="U35" s="831"/>
      <c r="V35" s="831"/>
      <c r="W35" s="831"/>
      <c r="X35" s="831"/>
    </row>
    <row r="36" spans="8:24">
      <c r="H36" s="681" t="s">
        <v>5534</v>
      </c>
      <c r="K36" s="831"/>
      <c r="L36" s="831"/>
      <c r="M36" s="831"/>
      <c r="N36" s="831"/>
      <c r="O36" s="831"/>
      <c r="P36" s="831"/>
      <c r="Q36" s="831"/>
      <c r="R36" s="831"/>
      <c r="S36" s="831"/>
      <c r="T36" s="831"/>
      <c r="U36" s="831"/>
      <c r="V36" s="831"/>
      <c r="W36" s="831"/>
      <c r="X36" s="831"/>
    </row>
    <row r="37" spans="8:24">
      <c r="H37" s="693" t="s">
        <v>5504</v>
      </c>
      <c r="I37" s="686" t="s">
        <v>5578</v>
      </c>
      <c r="J37" s="686"/>
      <c r="K37" s="686"/>
      <c r="L37" s="686"/>
      <c r="M37" s="686"/>
      <c r="N37" s="686"/>
      <c r="O37" s="686"/>
      <c r="P37" s="686"/>
      <c r="Q37" s="686"/>
      <c r="R37" s="686"/>
      <c r="S37" s="686"/>
      <c r="T37" s="686"/>
      <c r="U37" s="686"/>
      <c r="V37" s="686"/>
      <c r="W37" s="686"/>
      <c r="X37" s="686"/>
    </row>
    <row r="38" spans="8:24">
      <c r="H38" s="693" t="s">
        <v>1791</v>
      </c>
      <c r="I38" s="686" t="s">
        <v>5579</v>
      </c>
      <c r="J38" s="686"/>
      <c r="K38" s="686"/>
      <c r="L38" s="686"/>
      <c r="M38" s="686"/>
      <c r="N38" s="686"/>
      <c r="O38" s="686"/>
      <c r="P38" s="686"/>
      <c r="Q38" s="686"/>
      <c r="R38" s="686"/>
      <c r="S38" s="686"/>
      <c r="T38" s="686"/>
      <c r="U38" s="686"/>
      <c r="V38" s="686"/>
      <c r="W38" s="686"/>
      <c r="X38" s="686"/>
    </row>
    <row r="39" spans="8:24">
      <c r="L39" s="831"/>
      <c r="M39" s="831"/>
      <c r="N39" s="831"/>
      <c r="O39" s="831"/>
      <c r="P39" s="831"/>
      <c r="Q39" s="831"/>
      <c r="R39" s="831"/>
      <c r="S39" s="831"/>
      <c r="T39" s="831"/>
      <c r="U39" s="831"/>
      <c r="V39" s="831"/>
      <c r="W39" s="831"/>
      <c r="X39" s="831"/>
    </row>
    <row r="40" spans="8:24">
      <c r="H40" s="681" t="s">
        <v>5580</v>
      </c>
      <c r="L40" s="831"/>
      <c r="M40" s="831"/>
      <c r="N40" s="831"/>
      <c r="O40" s="831"/>
      <c r="P40" s="831"/>
      <c r="Q40" s="831"/>
      <c r="R40" s="831"/>
      <c r="S40" s="831"/>
      <c r="T40" s="831"/>
      <c r="U40" s="831"/>
      <c r="V40" s="831"/>
      <c r="W40" s="831"/>
      <c r="X40" s="831"/>
    </row>
    <row r="41" spans="8:24">
      <c r="H41" s="687" t="s">
        <v>6028</v>
      </c>
      <c r="I41" s="686"/>
      <c r="J41" s="686"/>
      <c r="K41" s="686"/>
      <c r="L41" s="686"/>
      <c r="M41" s="686"/>
      <c r="N41" s="686"/>
      <c r="O41" s="686"/>
      <c r="P41" s="687" t="s">
        <v>5586</v>
      </c>
      <c r="Q41" s="686"/>
      <c r="R41" s="686"/>
      <c r="S41" s="686"/>
      <c r="T41" s="686"/>
      <c r="U41" s="686"/>
      <c r="V41" s="686"/>
      <c r="W41" s="686"/>
      <c r="X41" s="686"/>
    </row>
    <row r="42" spans="8:24">
      <c r="H42" s="694" t="s">
        <v>239</v>
      </c>
      <c r="I42" s="686" t="s">
        <v>5581</v>
      </c>
      <c r="J42" s="686"/>
      <c r="K42" s="686"/>
      <c r="L42" s="686"/>
      <c r="M42" s="686"/>
      <c r="N42" s="686"/>
      <c r="O42" s="686"/>
      <c r="P42" s="694" t="s">
        <v>85</v>
      </c>
      <c r="Q42" s="686" t="s">
        <v>5587</v>
      </c>
      <c r="R42" s="686"/>
      <c r="S42" s="686"/>
      <c r="T42" s="686"/>
      <c r="U42" s="686"/>
      <c r="V42" s="686"/>
      <c r="W42" s="686"/>
      <c r="X42" s="686"/>
    </row>
    <row r="43" spans="8:24">
      <c r="H43" s="694" t="s">
        <v>240</v>
      </c>
      <c r="I43" s="686" t="s">
        <v>5582</v>
      </c>
      <c r="J43" s="686"/>
      <c r="K43" s="686"/>
      <c r="L43" s="686"/>
      <c r="M43" s="686"/>
      <c r="N43" s="686"/>
      <c r="O43" s="686"/>
      <c r="P43" s="694" t="s">
        <v>86</v>
      </c>
      <c r="Q43" s="686" t="s">
        <v>5588</v>
      </c>
      <c r="R43" s="686"/>
      <c r="S43" s="686"/>
      <c r="T43" s="686"/>
      <c r="U43" s="686"/>
      <c r="V43" s="686"/>
      <c r="W43" s="686"/>
      <c r="X43" s="686"/>
    </row>
    <row r="44" spans="8:24">
      <c r="H44" s="694" t="s">
        <v>241</v>
      </c>
      <c r="I44" s="686" t="s">
        <v>5583</v>
      </c>
      <c r="J44" s="686"/>
      <c r="K44" s="686"/>
      <c r="L44" s="686"/>
      <c r="M44" s="686"/>
      <c r="N44" s="686"/>
      <c r="O44" s="686"/>
      <c r="P44" s="694" t="s">
        <v>87</v>
      </c>
      <c r="Q44" s="686" t="s">
        <v>6024</v>
      </c>
      <c r="R44" s="686"/>
      <c r="S44" s="686"/>
      <c r="T44" s="686"/>
      <c r="U44" s="686"/>
      <c r="V44" s="686"/>
      <c r="W44" s="686"/>
      <c r="X44" s="686"/>
    </row>
    <row r="45" spans="8:24">
      <c r="H45" s="694" t="s">
        <v>242</v>
      </c>
      <c r="I45" s="686" t="s">
        <v>5584</v>
      </c>
      <c r="J45" s="686"/>
      <c r="K45" s="686"/>
      <c r="L45" s="686"/>
      <c r="M45" s="686"/>
      <c r="N45" s="686"/>
      <c r="O45" s="686"/>
      <c r="P45" s="694" t="s">
        <v>88</v>
      </c>
      <c r="Q45" s="686" t="s">
        <v>6026</v>
      </c>
      <c r="R45" s="686"/>
      <c r="S45" s="686"/>
      <c r="T45" s="686"/>
      <c r="U45" s="686"/>
      <c r="V45" s="686"/>
      <c r="W45" s="686"/>
      <c r="X45" s="686"/>
    </row>
    <row r="46" spans="8:24">
      <c r="H46" s="694" t="s">
        <v>243</v>
      </c>
      <c r="I46" s="686" t="s">
        <v>5585</v>
      </c>
      <c r="J46" s="686"/>
      <c r="K46" s="686"/>
      <c r="L46" s="686"/>
      <c r="M46" s="686"/>
      <c r="N46" s="686"/>
      <c r="O46" s="686"/>
      <c r="P46" s="694" t="s">
        <v>89</v>
      </c>
      <c r="Q46" s="686" t="s">
        <v>6025</v>
      </c>
      <c r="R46" s="686"/>
      <c r="S46" s="686"/>
      <c r="T46" s="686"/>
      <c r="U46" s="686"/>
      <c r="V46" s="686"/>
      <c r="W46" s="686"/>
      <c r="X46" s="686"/>
    </row>
    <row r="47" spans="8:24">
      <c r="H47" s="694"/>
      <c r="I47" s="686"/>
      <c r="J47" s="686"/>
      <c r="K47" s="686"/>
      <c r="L47" s="686"/>
      <c r="M47" s="686"/>
      <c r="N47" s="686"/>
      <c r="O47" s="686"/>
      <c r="P47" s="694" t="s">
        <v>90</v>
      </c>
      <c r="Q47" s="686" t="s">
        <v>6027</v>
      </c>
      <c r="R47" s="686"/>
      <c r="S47" s="686"/>
      <c r="T47" s="686"/>
      <c r="U47" s="686"/>
      <c r="V47" s="686"/>
      <c r="W47" s="686"/>
      <c r="X47" s="686"/>
    </row>
    <row r="48" spans="8:24">
      <c r="H48" s="694"/>
      <c r="I48" s="686"/>
      <c r="J48" s="686"/>
      <c r="K48" s="686"/>
      <c r="L48" s="686"/>
      <c r="M48" s="686"/>
      <c r="N48" s="686"/>
      <c r="O48" s="686"/>
      <c r="P48" s="694" t="s">
        <v>91</v>
      </c>
      <c r="Q48" s="686" t="s">
        <v>6029</v>
      </c>
      <c r="R48" s="686"/>
      <c r="S48" s="686"/>
      <c r="T48" s="686"/>
      <c r="U48" s="686"/>
      <c r="V48" s="686"/>
      <c r="W48" s="686"/>
      <c r="X48" s="686"/>
    </row>
    <row r="49" spans="8:24">
      <c r="H49" s="694"/>
      <c r="I49" s="686"/>
      <c r="J49" s="686"/>
      <c r="K49" s="686"/>
      <c r="L49" s="686"/>
      <c r="M49" s="686"/>
      <c r="N49" s="686"/>
      <c r="O49" s="686"/>
      <c r="P49" s="694" t="s">
        <v>92</v>
      </c>
      <c r="Q49" s="686" t="s">
        <v>6030</v>
      </c>
      <c r="R49" s="686"/>
      <c r="S49" s="686"/>
      <c r="T49" s="686"/>
      <c r="U49" s="686"/>
      <c r="V49" s="686"/>
      <c r="W49" s="686"/>
      <c r="X49" s="686"/>
    </row>
    <row r="50" spans="8:24">
      <c r="H50" s="694"/>
      <c r="I50" s="686"/>
      <c r="J50" s="686"/>
      <c r="K50" s="686"/>
      <c r="L50" s="686"/>
      <c r="M50" s="686"/>
      <c r="N50" s="686"/>
      <c r="O50" s="686"/>
      <c r="P50" s="694" t="s">
        <v>93</v>
      </c>
      <c r="Q50" s="686" t="s">
        <v>6031</v>
      </c>
      <c r="R50" s="686"/>
      <c r="S50" s="686"/>
      <c r="T50" s="686"/>
      <c r="U50" s="686"/>
      <c r="V50" s="686"/>
      <c r="W50" s="686"/>
      <c r="X50" s="686"/>
    </row>
    <row r="51" spans="8:24">
      <c r="K51" s="831"/>
      <c r="L51" s="831"/>
      <c r="M51" s="831"/>
      <c r="N51" s="831"/>
      <c r="O51" s="831"/>
      <c r="P51" s="831"/>
      <c r="Q51" s="831"/>
      <c r="R51" s="831"/>
      <c r="S51" s="831"/>
      <c r="T51" s="831"/>
      <c r="U51" s="831"/>
      <c r="V51" s="831"/>
      <c r="W51" s="831"/>
      <c r="X51" s="831"/>
    </row>
    <row r="52" spans="8:24">
      <c r="H52" s="681" t="s">
        <v>5541</v>
      </c>
      <c r="K52" s="831"/>
      <c r="L52" s="831"/>
      <c r="M52" s="831"/>
      <c r="N52" s="831"/>
      <c r="O52" s="831"/>
      <c r="P52" s="831"/>
      <c r="Q52" s="831"/>
      <c r="R52" s="831"/>
      <c r="S52" s="831"/>
      <c r="T52" s="831"/>
      <c r="U52" s="831"/>
      <c r="V52" s="831"/>
      <c r="W52" s="831"/>
      <c r="X52" s="831"/>
    </row>
    <row r="53" spans="8:24">
      <c r="H53" s="695" t="s">
        <v>903</v>
      </c>
      <c r="I53" s="686"/>
      <c r="J53" s="686" t="s">
        <v>5589</v>
      </c>
      <c r="K53" s="686"/>
      <c r="L53" s="686"/>
      <c r="M53" s="686"/>
      <c r="N53" s="686"/>
      <c r="O53" s="686"/>
      <c r="P53" s="686"/>
      <c r="Q53" s="686"/>
      <c r="R53" s="686"/>
      <c r="S53" s="686"/>
      <c r="T53" s="686"/>
      <c r="U53" s="686"/>
      <c r="V53" s="686"/>
      <c r="W53" s="686"/>
      <c r="X53" s="686"/>
    </row>
    <row r="54" spans="8:24">
      <c r="H54" s="695" t="s">
        <v>762</v>
      </c>
      <c r="I54" s="686"/>
      <c r="J54" s="686" t="s">
        <v>5590</v>
      </c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</row>
    <row r="55" spans="8:24">
      <c r="H55" s="695" t="s">
        <v>1797</v>
      </c>
      <c r="I55" s="686"/>
      <c r="J55" s="686" t="s">
        <v>5591</v>
      </c>
      <c r="K55" s="686"/>
      <c r="L55" s="686"/>
      <c r="M55" s="686"/>
      <c r="N55" s="686"/>
      <c r="O55" s="686"/>
      <c r="P55" s="686"/>
      <c r="Q55" s="686"/>
      <c r="R55" s="686"/>
      <c r="S55" s="686"/>
      <c r="T55" s="686"/>
      <c r="U55" s="686"/>
      <c r="V55" s="686"/>
      <c r="W55" s="686"/>
      <c r="X55" s="686"/>
    </row>
    <row r="56" spans="8:24">
      <c r="H56" s="695" t="s">
        <v>1798</v>
      </c>
      <c r="I56" s="686"/>
      <c r="J56" s="686" t="s">
        <v>5592</v>
      </c>
      <c r="K56" s="686"/>
      <c r="L56" s="686"/>
      <c r="M56" s="686"/>
      <c r="N56" s="686"/>
      <c r="O56" s="686"/>
      <c r="P56" s="686"/>
      <c r="Q56" s="686"/>
      <c r="R56" s="686"/>
      <c r="S56" s="686"/>
      <c r="T56" s="686"/>
      <c r="U56" s="686"/>
      <c r="V56" s="686"/>
      <c r="W56" s="686"/>
      <c r="X56" s="686"/>
    </row>
    <row r="57" spans="8:24">
      <c r="H57" s="695" t="s">
        <v>1799</v>
      </c>
      <c r="I57" s="686"/>
      <c r="J57" s="686" t="s">
        <v>5593</v>
      </c>
      <c r="K57" s="686"/>
      <c r="L57" s="686"/>
      <c r="M57" s="686"/>
      <c r="N57" s="686"/>
      <c r="O57" s="686"/>
      <c r="P57" s="686"/>
      <c r="Q57" s="686"/>
      <c r="R57" s="686"/>
      <c r="S57" s="686"/>
      <c r="T57" s="686"/>
      <c r="U57" s="686"/>
      <c r="V57" s="686"/>
      <c r="W57" s="686"/>
      <c r="X57" s="686"/>
    </row>
    <row r="58" spans="8:24">
      <c r="H58" s="695" t="s">
        <v>772</v>
      </c>
      <c r="I58" s="686"/>
      <c r="J58" s="686" t="s">
        <v>5594</v>
      </c>
      <c r="K58" s="686"/>
      <c r="L58" s="686"/>
      <c r="M58" s="686"/>
      <c r="N58" s="686"/>
      <c r="O58" s="686"/>
      <c r="P58" s="686"/>
      <c r="Q58" s="686"/>
      <c r="R58" s="686"/>
      <c r="S58" s="686"/>
      <c r="T58" s="686"/>
      <c r="U58" s="686"/>
      <c r="V58" s="686"/>
      <c r="W58" s="686"/>
      <c r="X58" s="686"/>
    </row>
  </sheetData>
  <sheetProtection password="DB76" sheet="1" objects="1" scenarios="1"/>
  <mergeCells count="3">
    <mergeCell ref="E4:G4"/>
    <mergeCell ref="J5:Q6"/>
    <mergeCell ref="C6:F6"/>
  </mergeCells>
  <pageMargins left="0.39370078740157483" right="0.39370078740157483" top="0.39370078740157483" bottom="0.39370078740157483" header="0.31496062992125984" footer="0.31496062992125984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theme="0" tint="-0.249977111117893"/>
    <pageSetUpPr fitToPage="1"/>
  </sheetPr>
  <dimension ref="B2:Z74"/>
  <sheetViews>
    <sheetView showGridLines="0" zoomScaleNormal="100" workbookViewId="0">
      <pane ySplit="7" topLeftCell="A8" activePane="bottomLeft" state="frozen"/>
      <selection activeCell="D55" sqref="D55"/>
      <selection pane="bottomLeft" activeCell="J27" sqref="J27"/>
    </sheetView>
  </sheetViews>
  <sheetFormatPr defaultColWidth="9.109375" defaultRowHeight="10.199999999999999"/>
  <cols>
    <col min="1" max="1" width="2.6640625" style="680" customWidth="1"/>
    <col min="2" max="2" width="2.88671875" style="680" customWidth="1"/>
    <col min="3" max="4" width="9.109375" style="680"/>
    <col min="5" max="5" width="9.109375" style="680" customWidth="1"/>
    <col min="6" max="6" width="9.109375" style="680"/>
    <col min="7" max="7" width="4.33203125" style="680" customWidth="1"/>
    <col min="8" max="8" width="7.88671875" style="680" customWidth="1"/>
    <col min="9" max="12" width="9.109375" style="680"/>
    <col min="13" max="13" width="7.88671875" style="680" customWidth="1"/>
    <col min="14" max="18" width="9.109375" style="680"/>
    <col min="19" max="19" width="7.88671875" style="680" customWidth="1"/>
    <col min="20" max="20" width="9.109375" style="680"/>
    <col min="21" max="21" width="7.88671875" style="680" customWidth="1"/>
    <col min="22" max="16384" width="9.109375" style="680"/>
  </cols>
  <sheetData>
    <row r="2" spans="2:26" ht="13.8" thickBot="1">
      <c r="B2" s="691" t="s">
        <v>5496</v>
      </c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</row>
    <row r="3" spans="2:26" ht="5.0999999999999996" customHeight="1">
      <c r="B3" s="678"/>
    </row>
    <row r="4" spans="2:26">
      <c r="C4" s="684"/>
      <c r="D4" s="683" t="s">
        <v>1795</v>
      </c>
      <c r="E4" s="887">
        <f>'Код ДП'!E4</f>
        <v>44931</v>
      </c>
      <c r="F4" s="888"/>
      <c r="G4" s="888"/>
    </row>
    <row r="5" spans="2:26" ht="12.75" customHeight="1">
      <c r="J5" s="892" t="s">
        <v>1800</v>
      </c>
      <c r="K5" s="892"/>
      <c r="L5" s="892"/>
      <c r="M5" s="892"/>
      <c r="N5" s="892"/>
      <c r="O5" s="892"/>
      <c r="P5" s="892"/>
      <c r="Q5" s="892"/>
    </row>
    <row r="6" spans="2:26" ht="18" customHeight="1">
      <c r="B6" s="689"/>
      <c r="C6" s="891" t="s">
        <v>1801</v>
      </c>
      <c r="D6" s="891"/>
      <c r="E6" s="891"/>
      <c r="F6" s="891"/>
      <c r="G6" s="689"/>
      <c r="J6" s="892"/>
      <c r="K6" s="892"/>
      <c r="L6" s="892"/>
      <c r="M6" s="892"/>
      <c r="N6" s="892"/>
      <c r="O6" s="892"/>
      <c r="P6" s="892"/>
      <c r="Q6" s="892"/>
    </row>
    <row r="7" spans="2:26" ht="5.0999999999999996" customHeight="1"/>
    <row r="9" spans="2:26">
      <c r="H9" s="681" t="s">
        <v>5525</v>
      </c>
    </row>
    <row r="10" spans="2:26">
      <c r="H10" s="693" t="s">
        <v>167</v>
      </c>
      <c r="I10" s="686" t="s">
        <v>4248</v>
      </c>
      <c r="J10" s="686"/>
      <c r="K10" s="686"/>
      <c r="L10" s="686"/>
      <c r="M10" s="693" t="s">
        <v>171</v>
      </c>
      <c r="N10" s="686" t="s">
        <v>5595</v>
      </c>
      <c r="O10" s="686"/>
      <c r="P10" s="686"/>
      <c r="Q10" s="686"/>
      <c r="R10" s="686"/>
      <c r="S10" s="686"/>
      <c r="T10" s="686"/>
      <c r="U10" s="686"/>
      <c r="V10" s="686"/>
      <c r="W10" s="686"/>
      <c r="X10" s="686"/>
    </row>
    <row r="11" spans="2:26">
      <c r="H11" s="693" t="s">
        <v>168</v>
      </c>
      <c r="I11" s="686" t="s">
        <v>459</v>
      </c>
      <c r="J11" s="686"/>
      <c r="K11" s="686"/>
      <c r="L11" s="686"/>
      <c r="M11" s="693" t="s">
        <v>1186</v>
      </c>
      <c r="N11" s="686" t="s">
        <v>4251</v>
      </c>
      <c r="O11" s="686"/>
      <c r="P11" s="686"/>
      <c r="Q11" s="686"/>
      <c r="R11" s="686"/>
      <c r="S11" s="686"/>
      <c r="T11" s="686"/>
      <c r="U11" s="686"/>
      <c r="V11" s="686"/>
      <c r="W11" s="686"/>
      <c r="X11" s="686"/>
    </row>
    <row r="12" spans="2:26">
      <c r="H12" s="693" t="s">
        <v>170</v>
      </c>
      <c r="I12" s="686" t="s">
        <v>4203</v>
      </c>
      <c r="J12" s="686"/>
      <c r="K12" s="686"/>
      <c r="L12" s="686"/>
      <c r="M12" s="693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</row>
    <row r="13" spans="2:26">
      <c r="H13" s="693" t="s">
        <v>169</v>
      </c>
      <c r="I13" s="686" t="s">
        <v>5527</v>
      </c>
      <c r="J13" s="686"/>
      <c r="K13" s="686"/>
      <c r="L13" s="686"/>
      <c r="M13" s="686"/>
      <c r="N13" s="686"/>
      <c r="O13" s="686"/>
      <c r="P13" s="686"/>
      <c r="Q13" s="686"/>
      <c r="R13" s="686"/>
      <c r="S13" s="686"/>
      <c r="T13" s="686"/>
      <c r="U13" s="686"/>
      <c r="V13" s="686"/>
      <c r="W13" s="686"/>
      <c r="X13" s="686"/>
    </row>
    <row r="14" spans="2:26">
      <c r="H14" s="693" t="s">
        <v>833</v>
      </c>
      <c r="I14" s="686" t="s">
        <v>5528</v>
      </c>
      <c r="J14" s="686"/>
      <c r="K14" s="686"/>
      <c r="L14" s="686"/>
      <c r="M14" s="686"/>
      <c r="N14" s="686"/>
      <c r="O14" s="686"/>
      <c r="P14" s="686"/>
      <c r="Q14" s="686"/>
      <c r="R14" s="686"/>
      <c r="S14" s="686"/>
      <c r="T14" s="686"/>
      <c r="U14" s="686"/>
      <c r="V14" s="686"/>
      <c r="W14" s="686"/>
      <c r="X14" s="686"/>
    </row>
    <row r="15" spans="2:26">
      <c r="H15" s="693" t="s">
        <v>834</v>
      </c>
      <c r="I15" s="686" t="s">
        <v>5529</v>
      </c>
      <c r="J15" s="686"/>
      <c r="K15" s="686"/>
      <c r="L15" s="686"/>
      <c r="M15" s="686"/>
      <c r="N15" s="686"/>
      <c r="O15" s="686"/>
      <c r="P15" s="686"/>
      <c r="Q15" s="686"/>
      <c r="R15" s="686"/>
      <c r="S15" s="686"/>
      <c r="T15" s="686"/>
      <c r="U15" s="686"/>
      <c r="V15" s="686"/>
      <c r="W15" s="686"/>
      <c r="X15" s="686"/>
    </row>
    <row r="16" spans="2:26">
      <c r="J16" s="826"/>
      <c r="K16" s="826"/>
      <c r="L16" s="826"/>
      <c r="M16" s="826"/>
      <c r="N16" s="826"/>
      <c r="O16" s="826"/>
      <c r="P16" s="826"/>
      <c r="Q16" s="826"/>
      <c r="R16" s="826"/>
      <c r="S16" s="826"/>
      <c r="T16" s="826"/>
      <c r="U16" s="826"/>
      <c r="V16" s="826"/>
      <c r="W16" s="826"/>
      <c r="X16" s="826"/>
      <c r="Y16" s="826"/>
      <c r="Z16" s="826"/>
    </row>
    <row r="18" spans="8:24">
      <c r="H18" s="681" t="s">
        <v>5533</v>
      </c>
    </row>
    <row r="19" spans="8:24">
      <c r="H19" s="693" t="s">
        <v>749</v>
      </c>
      <c r="I19" s="686" t="s">
        <v>6008</v>
      </c>
      <c r="J19" s="686"/>
      <c r="K19" s="686"/>
      <c r="L19" s="686"/>
      <c r="M19" s="686"/>
      <c r="N19" s="686"/>
      <c r="O19" s="686"/>
      <c r="P19" s="686"/>
      <c r="Q19" s="686"/>
      <c r="R19" s="686"/>
      <c r="S19" s="686"/>
      <c r="T19" s="686"/>
      <c r="U19" s="686"/>
      <c r="V19" s="686"/>
      <c r="W19" s="686"/>
      <c r="X19" s="686"/>
    </row>
    <row r="21" spans="8:24">
      <c r="H21" s="681" t="s">
        <v>180</v>
      </c>
    </row>
    <row r="22" spans="8:24">
      <c r="H22" s="693" t="s">
        <v>749</v>
      </c>
      <c r="I22" s="686" t="s">
        <v>5577</v>
      </c>
      <c r="J22" s="686"/>
      <c r="K22" s="686"/>
      <c r="L22" s="686"/>
      <c r="M22" s="686"/>
      <c r="N22" s="686"/>
      <c r="O22" s="686"/>
      <c r="P22" s="686"/>
      <c r="Q22" s="686"/>
      <c r="R22" s="686"/>
      <c r="S22" s="686"/>
      <c r="T22" s="686"/>
      <c r="U22" s="686"/>
      <c r="V22" s="686"/>
      <c r="W22" s="686"/>
      <c r="X22" s="686"/>
    </row>
    <row r="24" spans="8:24">
      <c r="H24" s="681" t="s">
        <v>5596</v>
      </c>
    </row>
    <row r="25" spans="8:24">
      <c r="H25" s="694" t="s">
        <v>1802</v>
      </c>
      <c r="I25" s="686" t="s">
        <v>6032</v>
      </c>
      <c r="J25" s="686"/>
      <c r="K25" s="686"/>
      <c r="L25" s="686"/>
      <c r="M25" s="686"/>
      <c r="N25" s="686"/>
      <c r="O25" s="686"/>
      <c r="P25" s="694"/>
      <c r="Q25" s="686"/>
      <c r="R25" s="686"/>
      <c r="S25" s="686"/>
      <c r="T25" s="686"/>
      <c r="U25" s="686"/>
      <c r="V25" s="686"/>
      <c r="W25" s="686"/>
      <c r="X25" s="686"/>
    </row>
    <row r="27" spans="8:24">
      <c r="H27" s="681" t="s">
        <v>5541</v>
      </c>
    </row>
    <row r="28" spans="8:24">
      <c r="H28" s="695" t="s">
        <v>773</v>
      </c>
      <c r="I28" s="686"/>
      <c r="J28" s="686" t="s">
        <v>1804</v>
      </c>
      <c r="K28" s="686"/>
      <c r="L28" s="686"/>
      <c r="M28" s="686"/>
      <c r="N28" s="686"/>
      <c r="O28" s="686"/>
      <c r="P28" s="686"/>
      <c r="Q28" s="686"/>
      <c r="R28" s="686"/>
      <c r="S28" s="686"/>
      <c r="T28" s="686"/>
      <c r="U28" s="686"/>
      <c r="V28" s="686"/>
      <c r="W28" s="686"/>
      <c r="X28" s="686"/>
    </row>
    <row r="29" spans="8:24">
      <c r="H29" s="695" t="s">
        <v>1803</v>
      </c>
      <c r="I29" s="686"/>
      <c r="J29" s="686" t="s">
        <v>5597</v>
      </c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6"/>
      <c r="V29" s="686"/>
      <c r="W29" s="686"/>
      <c r="X29" s="686"/>
    </row>
    <row r="30" spans="8:24">
      <c r="H30" s="681"/>
    </row>
    <row r="31" spans="8:24">
      <c r="H31" s="681"/>
    </row>
    <row r="32" spans="8:24">
      <c r="H32" s="681"/>
    </row>
    <row r="33" spans="8:8">
      <c r="H33" s="681"/>
    </row>
    <row r="34" spans="8:8">
      <c r="H34" s="681"/>
    </row>
    <row r="35" spans="8:8">
      <c r="H35" s="681"/>
    </row>
    <row r="36" spans="8:8">
      <c r="H36" s="681"/>
    </row>
    <row r="37" spans="8:8">
      <c r="H37" s="681"/>
    </row>
    <row r="38" spans="8:8">
      <c r="H38" s="681"/>
    </row>
    <row r="39" spans="8:8">
      <c r="H39" s="681"/>
    </row>
    <row r="40" spans="8:8">
      <c r="H40" s="681"/>
    </row>
    <row r="41" spans="8:8">
      <c r="H41" s="681"/>
    </row>
    <row r="42" spans="8:8">
      <c r="H42" s="681"/>
    </row>
    <row r="43" spans="8:8">
      <c r="H43" s="681"/>
    </row>
    <row r="44" spans="8:8">
      <c r="H44" s="681"/>
    </row>
    <row r="45" spans="8:8">
      <c r="H45" s="681"/>
    </row>
    <row r="46" spans="8:8">
      <c r="H46" s="681"/>
    </row>
    <row r="47" spans="8:8">
      <c r="H47" s="681"/>
    </row>
    <row r="48" spans="8:8">
      <c r="H48" s="681"/>
    </row>
    <row r="49" spans="8:8">
      <c r="H49" s="681"/>
    </row>
    <row r="50" spans="8:8">
      <c r="H50" s="681"/>
    </row>
    <row r="51" spans="8:8">
      <c r="H51" s="681"/>
    </row>
    <row r="52" spans="8:8">
      <c r="H52" s="681"/>
    </row>
    <row r="53" spans="8:8">
      <c r="H53" s="681"/>
    </row>
    <row r="54" spans="8:8">
      <c r="H54" s="681"/>
    </row>
    <row r="55" spans="8:8">
      <c r="H55" s="681"/>
    </row>
    <row r="56" spans="8:8">
      <c r="H56" s="681"/>
    </row>
    <row r="57" spans="8:8">
      <c r="H57" s="681"/>
    </row>
    <row r="58" spans="8:8">
      <c r="H58" s="681"/>
    </row>
    <row r="59" spans="8:8">
      <c r="H59" s="681"/>
    </row>
    <row r="60" spans="8:8">
      <c r="H60" s="681"/>
    </row>
    <row r="61" spans="8:8">
      <c r="H61" s="681"/>
    </row>
    <row r="62" spans="8:8">
      <c r="H62" s="681"/>
    </row>
    <row r="63" spans="8:8">
      <c r="H63" s="681"/>
    </row>
    <row r="64" spans="8:8">
      <c r="H64" s="681"/>
    </row>
    <row r="65" spans="8:8">
      <c r="H65" s="681"/>
    </row>
    <row r="66" spans="8:8">
      <c r="H66" s="681"/>
    </row>
    <row r="67" spans="8:8">
      <c r="H67" s="681"/>
    </row>
    <row r="68" spans="8:8">
      <c r="H68" s="681"/>
    </row>
    <row r="69" spans="8:8">
      <c r="H69" s="681"/>
    </row>
    <row r="70" spans="8:8">
      <c r="H70" s="681"/>
    </row>
    <row r="71" spans="8:8">
      <c r="H71" s="681"/>
    </row>
    <row r="72" spans="8:8">
      <c r="H72" s="681"/>
    </row>
    <row r="73" spans="8:8">
      <c r="H73" s="681"/>
    </row>
    <row r="74" spans="8:8">
      <c r="H74" s="681"/>
    </row>
  </sheetData>
  <sheetProtection password="DB76" sheet="1" objects="1" scenarios="1"/>
  <mergeCells count="3">
    <mergeCell ref="E4:G4"/>
    <mergeCell ref="J5:Q6"/>
    <mergeCell ref="C6:F6"/>
  </mergeCells>
  <pageMargins left="0.39370078740157483" right="0.39370078740157483" top="0.39370078740157483" bottom="0.39370078740157483" header="0.31496062992125984" footer="0.31496062992125984"/>
  <pageSetup paperSize="9"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theme="0" tint="-0.249977111117893"/>
    <pageSetUpPr fitToPage="1"/>
  </sheetPr>
  <dimension ref="B2:X73"/>
  <sheetViews>
    <sheetView showGridLines="0" zoomScaleNormal="100" workbookViewId="0">
      <pane ySplit="7" topLeftCell="A11" activePane="bottomLeft" state="frozen"/>
      <selection activeCell="Y23" sqref="Y23"/>
      <selection pane="bottomLeft" activeCell="P25" sqref="P25"/>
    </sheetView>
  </sheetViews>
  <sheetFormatPr defaultColWidth="9.109375" defaultRowHeight="10.199999999999999"/>
  <cols>
    <col min="1" max="1" width="2.6640625" style="680" customWidth="1"/>
    <col min="2" max="2" width="2.88671875" style="680" customWidth="1"/>
    <col min="3" max="4" width="9.109375" style="680"/>
    <col min="5" max="5" width="9.109375" style="680" customWidth="1"/>
    <col min="6" max="6" width="9.109375" style="680"/>
    <col min="7" max="7" width="4.33203125" style="680" customWidth="1"/>
    <col min="8" max="8" width="7.88671875" style="680" customWidth="1"/>
    <col min="9" max="12" width="9.109375" style="680"/>
    <col min="13" max="13" width="7.88671875" style="680" customWidth="1"/>
    <col min="14" max="18" width="9.109375" style="680"/>
    <col min="19" max="19" width="7.88671875" style="680" customWidth="1"/>
    <col min="20" max="20" width="9.109375" style="680"/>
    <col min="21" max="21" width="7.88671875" style="680" customWidth="1"/>
    <col min="22" max="16384" width="9.109375" style="680"/>
  </cols>
  <sheetData>
    <row r="2" spans="2:24" ht="13.8" thickBot="1">
      <c r="B2" s="691" t="s">
        <v>5496</v>
      </c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</row>
    <row r="3" spans="2:24" ht="5.0999999999999996" customHeight="1">
      <c r="B3" s="678"/>
    </row>
    <row r="4" spans="2:24">
      <c r="C4" s="684"/>
      <c r="D4" s="683" t="s">
        <v>1795</v>
      </c>
      <c r="E4" s="887">
        <f>'Код ДП'!E4</f>
        <v>44931</v>
      </c>
      <c r="F4" s="888"/>
      <c r="G4" s="888"/>
    </row>
    <row r="5" spans="2:24" ht="12.75" customHeight="1">
      <c r="J5" s="893" t="s">
        <v>5598</v>
      </c>
      <c r="K5" s="893"/>
      <c r="L5" s="893"/>
      <c r="M5" s="893"/>
      <c r="N5" s="893"/>
      <c r="O5" s="893"/>
      <c r="P5" s="893"/>
      <c r="Q5" s="893"/>
    </row>
    <row r="6" spans="2:24" ht="18" customHeight="1">
      <c r="B6" s="689"/>
      <c r="C6" s="891" t="s">
        <v>1805</v>
      </c>
      <c r="D6" s="891"/>
      <c r="E6" s="891"/>
      <c r="F6" s="891"/>
      <c r="G6" s="689"/>
      <c r="J6" s="893"/>
      <c r="K6" s="893"/>
      <c r="L6" s="893"/>
      <c r="M6" s="893"/>
      <c r="N6" s="893"/>
      <c r="O6" s="893"/>
      <c r="P6" s="893"/>
      <c r="Q6" s="893"/>
    </row>
    <row r="7" spans="2:24" ht="5.0999999999999996" customHeight="1"/>
    <row r="9" spans="2:24">
      <c r="H9" s="681" t="s">
        <v>5533</v>
      </c>
    </row>
    <row r="10" spans="2:24">
      <c r="H10" s="693" t="s">
        <v>749</v>
      </c>
      <c r="I10" s="686" t="s">
        <v>6008</v>
      </c>
      <c r="J10" s="686"/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</row>
    <row r="11" spans="2:24">
      <c r="H11" s="681"/>
    </row>
    <row r="12" spans="2:24">
      <c r="H12" s="681" t="s">
        <v>180</v>
      </c>
    </row>
    <row r="13" spans="2:24">
      <c r="H13" s="693" t="s">
        <v>749</v>
      </c>
      <c r="I13" s="686" t="s">
        <v>5577</v>
      </c>
      <c r="J13" s="686"/>
      <c r="K13" s="686"/>
      <c r="L13" s="686"/>
      <c r="M13" s="686"/>
      <c r="N13" s="686"/>
      <c r="O13" s="686"/>
      <c r="P13" s="686"/>
      <c r="Q13" s="686"/>
      <c r="R13" s="686"/>
      <c r="S13" s="686"/>
      <c r="T13" s="686"/>
      <c r="U13" s="686"/>
      <c r="V13" s="686"/>
      <c r="W13" s="686"/>
      <c r="X13" s="686"/>
    </row>
    <row r="14" spans="2:24">
      <c r="H14" s="681"/>
    </row>
    <row r="15" spans="2:24">
      <c r="H15" s="681" t="s">
        <v>5599</v>
      </c>
    </row>
    <row r="16" spans="2:24">
      <c r="H16" s="687" t="s">
        <v>5605</v>
      </c>
      <c r="I16" s="686"/>
      <c r="J16" s="686"/>
      <c r="K16" s="686"/>
      <c r="L16" s="686"/>
      <c r="M16" s="687"/>
      <c r="N16" s="686"/>
      <c r="O16" s="686"/>
      <c r="P16" s="687" t="s">
        <v>5606</v>
      </c>
      <c r="Q16" s="686"/>
      <c r="R16" s="686"/>
      <c r="S16" s="686"/>
      <c r="T16" s="686"/>
      <c r="U16" s="686"/>
      <c r="V16" s="686"/>
      <c r="W16" s="686"/>
      <c r="X16" s="686"/>
    </row>
    <row r="17" spans="8:24">
      <c r="H17" s="694" t="s">
        <v>239</v>
      </c>
      <c r="I17" s="686" t="s">
        <v>5600</v>
      </c>
      <c r="J17" s="686"/>
      <c r="K17" s="686"/>
      <c r="L17" s="686"/>
      <c r="M17" s="686"/>
      <c r="N17" s="686"/>
      <c r="O17" s="686"/>
      <c r="P17" s="693" t="s">
        <v>760</v>
      </c>
      <c r="Q17" s="686" t="s">
        <v>5608</v>
      </c>
      <c r="R17" s="686"/>
      <c r="S17" s="686"/>
      <c r="T17" s="686"/>
      <c r="U17" s="686"/>
      <c r="V17" s="686"/>
      <c r="W17" s="686"/>
      <c r="X17" s="686"/>
    </row>
    <row r="18" spans="8:24">
      <c r="H18" s="694" t="s">
        <v>240</v>
      </c>
      <c r="I18" s="686" t="s">
        <v>5601</v>
      </c>
      <c r="J18" s="686"/>
      <c r="K18" s="686"/>
      <c r="L18" s="686"/>
      <c r="M18" s="686"/>
      <c r="N18" s="686"/>
      <c r="O18" s="686"/>
      <c r="P18" s="693" t="s">
        <v>761</v>
      </c>
      <c r="Q18" s="686" t="s">
        <v>5610</v>
      </c>
      <c r="R18" s="686"/>
      <c r="S18" s="686"/>
      <c r="T18" s="686"/>
      <c r="U18" s="686"/>
      <c r="V18" s="686"/>
      <c r="W18" s="686"/>
      <c r="X18" s="686"/>
    </row>
    <row r="19" spans="8:24">
      <c r="H19" s="694" t="s">
        <v>241</v>
      </c>
      <c r="I19" s="686" t="s">
        <v>5602</v>
      </c>
      <c r="J19" s="686"/>
      <c r="K19" s="686"/>
      <c r="L19" s="686"/>
      <c r="M19" s="686"/>
      <c r="N19" s="686"/>
      <c r="O19" s="686"/>
      <c r="P19" s="686"/>
      <c r="Q19" s="686"/>
      <c r="R19" s="686"/>
      <c r="S19" s="686"/>
      <c r="T19" s="686"/>
      <c r="U19" s="686"/>
      <c r="V19" s="686"/>
      <c r="W19" s="686"/>
      <c r="X19" s="686"/>
    </row>
    <row r="20" spans="8:24">
      <c r="H20" s="694" t="s">
        <v>242</v>
      </c>
      <c r="I20" s="686" t="s">
        <v>5603</v>
      </c>
      <c r="J20" s="686"/>
      <c r="K20" s="686"/>
      <c r="L20" s="686"/>
      <c r="M20" s="686"/>
      <c r="N20" s="686"/>
      <c r="O20" s="686"/>
      <c r="P20" s="687" t="s">
        <v>5611</v>
      </c>
      <c r="Q20" s="686"/>
      <c r="R20" s="686"/>
      <c r="S20" s="686"/>
      <c r="T20" s="686"/>
      <c r="U20" s="686"/>
      <c r="V20" s="686"/>
      <c r="W20" s="686"/>
      <c r="X20" s="686"/>
    </row>
    <row r="21" spans="8:24">
      <c r="H21" s="694" t="s">
        <v>243</v>
      </c>
      <c r="I21" s="686" t="s">
        <v>5604</v>
      </c>
      <c r="J21" s="686"/>
      <c r="K21" s="686"/>
      <c r="L21" s="686"/>
      <c r="M21" s="686"/>
      <c r="N21" s="686"/>
      <c r="O21" s="686"/>
      <c r="P21" s="693" t="s">
        <v>760</v>
      </c>
      <c r="Q21" s="686" t="s">
        <v>5612</v>
      </c>
      <c r="R21" s="686"/>
      <c r="S21" s="686"/>
      <c r="T21" s="686"/>
      <c r="U21" s="686"/>
      <c r="V21" s="686"/>
      <c r="W21" s="686"/>
      <c r="X21" s="686"/>
    </row>
    <row r="22" spans="8:24">
      <c r="H22" s="694" t="s">
        <v>85</v>
      </c>
      <c r="I22" s="686" t="s">
        <v>6033</v>
      </c>
      <c r="J22" s="686"/>
      <c r="K22" s="686"/>
      <c r="L22" s="686"/>
      <c r="M22" s="686"/>
      <c r="N22" s="686"/>
      <c r="O22" s="686"/>
      <c r="P22" s="693" t="s">
        <v>761</v>
      </c>
      <c r="Q22" s="686" t="s">
        <v>5613</v>
      </c>
      <c r="R22" s="686"/>
      <c r="S22" s="686"/>
      <c r="T22" s="686"/>
      <c r="U22" s="686"/>
      <c r="V22" s="686"/>
      <c r="W22" s="686"/>
      <c r="X22" s="686"/>
    </row>
    <row r="23" spans="8:24">
      <c r="H23" s="694" t="s">
        <v>86</v>
      </c>
      <c r="I23" s="686" t="s">
        <v>6034</v>
      </c>
      <c r="J23" s="686"/>
      <c r="K23" s="686"/>
      <c r="L23" s="686"/>
      <c r="M23" s="686"/>
      <c r="N23" s="686"/>
      <c r="O23" s="686"/>
      <c r="P23" s="686"/>
      <c r="Q23" s="686"/>
      <c r="R23" s="686"/>
      <c r="S23" s="686"/>
      <c r="T23" s="686"/>
      <c r="U23" s="686"/>
      <c r="V23" s="686"/>
      <c r="W23" s="686"/>
      <c r="X23" s="686"/>
    </row>
    <row r="24" spans="8:24">
      <c r="H24" s="694" t="s">
        <v>87</v>
      </c>
      <c r="I24" s="686" t="s">
        <v>6035</v>
      </c>
      <c r="J24" s="686"/>
      <c r="K24" s="686"/>
      <c r="L24" s="686"/>
      <c r="M24" s="686"/>
      <c r="N24" s="686"/>
      <c r="O24" s="686"/>
      <c r="P24" s="687" t="s">
        <v>5614</v>
      </c>
      <c r="Q24" s="686"/>
      <c r="R24" s="686"/>
      <c r="S24" s="686"/>
      <c r="T24" s="686"/>
      <c r="U24" s="686"/>
      <c r="V24" s="686"/>
      <c r="W24" s="686"/>
      <c r="X24" s="686"/>
    </row>
    <row r="25" spans="8:24">
      <c r="H25" s="694" t="s">
        <v>88</v>
      </c>
      <c r="I25" s="686" t="s">
        <v>6036</v>
      </c>
      <c r="J25" s="686"/>
      <c r="K25" s="686"/>
      <c r="L25" s="686"/>
      <c r="M25" s="686"/>
      <c r="N25" s="686"/>
      <c r="O25" s="686"/>
      <c r="P25" s="693" t="s">
        <v>1309</v>
      </c>
      <c r="Q25" s="686" t="s">
        <v>1806</v>
      </c>
      <c r="R25" s="686"/>
      <c r="S25" s="686"/>
      <c r="T25" s="686"/>
      <c r="U25" s="686"/>
      <c r="V25" s="686"/>
      <c r="W25" s="686"/>
      <c r="X25" s="686"/>
    </row>
    <row r="26" spans="8:24">
      <c r="H26" s="694" t="s">
        <v>89</v>
      </c>
      <c r="I26" s="686" t="s">
        <v>6037</v>
      </c>
      <c r="J26" s="686"/>
      <c r="K26" s="686"/>
      <c r="L26" s="686"/>
      <c r="M26" s="686"/>
      <c r="N26" s="686"/>
      <c r="O26" s="686"/>
      <c r="P26" s="693"/>
      <c r="Q26" s="686"/>
      <c r="R26" s="686"/>
      <c r="S26" s="686"/>
      <c r="T26" s="686"/>
      <c r="U26" s="686"/>
      <c r="V26" s="686"/>
      <c r="W26" s="686"/>
      <c r="X26" s="686"/>
    </row>
    <row r="27" spans="8:24">
      <c r="H27" s="694" t="s">
        <v>90</v>
      </c>
      <c r="I27" s="686" t="s">
        <v>6038</v>
      </c>
      <c r="J27" s="686"/>
      <c r="K27" s="686"/>
      <c r="L27" s="686"/>
      <c r="M27" s="686"/>
      <c r="N27" s="686"/>
      <c r="O27" s="686"/>
      <c r="P27" s="687" t="s">
        <v>5615</v>
      </c>
      <c r="Q27" s="686"/>
      <c r="R27" s="686"/>
      <c r="S27" s="686"/>
      <c r="T27" s="686"/>
      <c r="U27" s="686"/>
      <c r="V27" s="686"/>
      <c r="W27" s="686"/>
      <c r="X27" s="686"/>
    </row>
    <row r="28" spans="8:24">
      <c r="H28" s="694" t="s">
        <v>91</v>
      </c>
      <c r="I28" s="686" t="s">
        <v>6039</v>
      </c>
      <c r="J28" s="686"/>
      <c r="K28" s="686"/>
      <c r="L28" s="686"/>
      <c r="M28" s="686"/>
      <c r="N28" s="686"/>
      <c r="O28" s="686"/>
      <c r="P28" s="693" t="s">
        <v>1807</v>
      </c>
      <c r="Q28" s="686" t="s">
        <v>5607</v>
      </c>
      <c r="R28" s="686"/>
      <c r="S28" s="686"/>
      <c r="T28" s="686"/>
      <c r="U28" s="686"/>
      <c r="V28" s="686"/>
      <c r="W28" s="686"/>
      <c r="X28" s="686"/>
    </row>
    <row r="29" spans="8:24">
      <c r="H29" s="694" t="s">
        <v>92</v>
      </c>
      <c r="I29" s="686" t="s">
        <v>6040</v>
      </c>
      <c r="J29" s="686"/>
      <c r="K29" s="686"/>
      <c r="L29" s="686"/>
      <c r="M29" s="686"/>
      <c r="N29" s="686"/>
      <c r="O29" s="686"/>
      <c r="P29" s="693" t="s">
        <v>1808</v>
      </c>
      <c r="Q29" s="686" t="s">
        <v>5609</v>
      </c>
      <c r="R29" s="686"/>
      <c r="S29" s="686"/>
      <c r="T29" s="686"/>
      <c r="U29" s="686"/>
      <c r="V29" s="686"/>
      <c r="W29" s="686"/>
      <c r="X29" s="686"/>
    </row>
    <row r="30" spans="8:24">
      <c r="H30" s="694" t="s">
        <v>93</v>
      </c>
      <c r="I30" s="686" t="s">
        <v>6041</v>
      </c>
      <c r="J30" s="686"/>
      <c r="K30" s="686"/>
      <c r="L30" s="686"/>
      <c r="M30" s="686"/>
      <c r="N30" s="686"/>
      <c r="O30" s="686"/>
      <c r="P30" s="686"/>
      <c r="Q30" s="686"/>
      <c r="R30" s="686"/>
      <c r="S30" s="686"/>
      <c r="T30" s="686"/>
      <c r="U30" s="686"/>
      <c r="V30" s="686"/>
      <c r="W30" s="686"/>
      <c r="X30" s="686"/>
    </row>
    <row r="31" spans="8:24">
      <c r="H31" s="681"/>
    </row>
    <row r="32" spans="8:24">
      <c r="H32" s="681" t="s">
        <v>5541</v>
      </c>
    </row>
    <row r="33" spans="8:24">
      <c r="H33" s="695" t="s">
        <v>757</v>
      </c>
      <c r="I33" s="686"/>
      <c r="J33" s="686" t="s">
        <v>2135</v>
      </c>
      <c r="K33" s="686"/>
      <c r="L33" s="686"/>
      <c r="M33" s="686"/>
      <c r="N33" s="686"/>
      <c r="O33" s="686"/>
      <c r="P33" s="696" t="s">
        <v>547</v>
      </c>
      <c r="Q33" s="686"/>
      <c r="R33" s="686" t="s">
        <v>2167</v>
      </c>
      <c r="S33" s="686"/>
      <c r="T33" s="686"/>
      <c r="U33" s="686"/>
      <c r="V33" s="686"/>
      <c r="W33" s="686"/>
      <c r="X33" s="686"/>
    </row>
    <row r="34" spans="8:24">
      <c r="H34" s="695" t="s">
        <v>1110</v>
      </c>
      <c r="I34" s="686"/>
      <c r="J34" s="686" t="s">
        <v>2136</v>
      </c>
      <c r="K34" s="686"/>
      <c r="L34" s="686"/>
      <c r="M34" s="686"/>
      <c r="N34" s="686"/>
      <c r="O34" s="686"/>
      <c r="P34" s="696" t="s">
        <v>506</v>
      </c>
      <c r="Q34" s="686"/>
      <c r="R34" s="686" t="s">
        <v>2168</v>
      </c>
      <c r="S34" s="686"/>
      <c r="T34" s="686"/>
      <c r="U34" s="686"/>
      <c r="V34" s="686"/>
      <c r="W34" s="686"/>
      <c r="X34" s="686"/>
    </row>
    <row r="35" spans="8:24">
      <c r="H35" s="695"/>
      <c r="I35" s="686"/>
      <c r="J35" s="686"/>
      <c r="K35" s="686"/>
      <c r="L35" s="686"/>
      <c r="M35" s="686"/>
      <c r="N35" s="686"/>
      <c r="O35" s="686"/>
      <c r="P35" s="696" t="s">
        <v>1112</v>
      </c>
      <c r="Q35" s="686"/>
      <c r="R35" s="686" t="s">
        <v>2169</v>
      </c>
      <c r="S35" s="686"/>
      <c r="T35" s="686"/>
      <c r="U35" s="686"/>
      <c r="V35" s="686"/>
      <c r="W35" s="686"/>
      <c r="X35" s="686"/>
    </row>
    <row r="36" spans="8:24">
      <c r="H36" s="695" t="s">
        <v>758</v>
      </c>
      <c r="I36" s="686"/>
      <c r="J36" s="686" t="s">
        <v>6042</v>
      </c>
      <c r="K36" s="686"/>
      <c r="L36" s="686"/>
      <c r="M36" s="686"/>
      <c r="N36" s="686"/>
      <c r="O36" s="686"/>
      <c r="P36" s="686"/>
      <c r="Q36" s="686"/>
      <c r="R36" s="686"/>
      <c r="S36" s="686"/>
      <c r="T36" s="686"/>
      <c r="U36" s="686"/>
      <c r="V36" s="686"/>
      <c r="W36" s="686"/>
      <c r="X36" s="686"/>
    </row>
    <row r="37" spans="8:24">
      <c r="H37" s="695" t="s">
        <v>759</v>
      </c>
      <c r="I37" s="686"/>
      <c r="J37" s="686" t="s">
        <v>6043</v>
      </c>
      <c r="K37" s="686"/>
      <c r="L37" s="686"/>
      <c r="M37" s="686"/>
      <c r="N37" s="686"/>
      <c r="O37" s="686"/>
      <c r="P37" s="696" t="s">
        <v>23</v>
      </c>
      <c r="Q37" s="686"/>
      <c r="R37" s="686" t="s">
        <v>6009</v>
      </c>
      <c r="S37" s="686"/>
      <c r="T37" s="686"/>
      <c r="U37" s="686"/>
      <c r="V37" s="686"/>
      <c r="W37" s="686"/>
      <c r="X37" s="686"/>
    </row>
    <row r="38" spans="8:24">
      <c r="H38" s="695" t="s">
        <v>1308</v>
      </c>
      <c r="I38" s="686"/>
      <c r="J38" s="686" t="s">
        <v>6044</v>
      </c>
      <c r="K38" s="686"/>
      <c r="L38" s="686"/>
      <c r="M38" s="686"/>
      <c r="N38" s="686"/>
      <c r="O38" s="686"/>
      <c r="P38" s="696" t="s">
        <v>24</v>
      </c>
      <c r="Q38" s="686"/>
      <c r="R38" s="686" t="s">
        <v>6010</v>
      </c>
      <c r="S38" s="686"/>
      <c r="T38" s="686"/>
      <c r="U38" s="686"/>
      <c r="V38" s="686"/>
      <c r="W38" s="686"/>
      <c r="X38" s="686"/>
    </row>
    <row r="39" spans="8:24">
      <c r="H39" s="695"/>
      <c r="I39" s="686"/>
      <c r="J39" s="686"/>
      <c r="K39" s="686"/>
      <c r="L39" s="686"/>
      <c r="M39" s="686"/>
      <c r="N39" s="686"/>
      <c r="O39" s="686"/>
      <c r="P39" s="696" t="s">
        <v>1281</v>
      </c>
      <c r="Q39" s="686"/>
      <c r="R39" s="686" t="s">
        <v>5618</v>
      </c>
      <c r="S39" s="686"/>
      <c r="T39" s="686"/>
      <c r="U39" s="686"/>
      <c r="V39" s="686"/>
      <c r="W39" s="686"/>
      <c r="X39" s="686"/>
    </row>
    <row r="40" spans="8:24">
      <c r="H40" s="695" t="s">
        <v>3108</v>
      </c>
      <c r="I40" s="686"/>
      <c r="J40" s="686" t="s">
        <v>5616</v>
      </c>
      <c r="K40" s="686"/>
      <c r="L40" s="686"/>
      <c r="M40" s="686"/>
      <c r="N40" s="686"/>
      <c r="O40" s="686"/>
      <c r="P40" s="686"/>
      <c r="Q40" s="686"/>
      <c r="R40" s="686"/>
      <c r="S40" s="686"/>
      <c r="T40" s="686"/>
      <c r="U40" s="686"/>
      <c r="V40" s="686"/>
      <c r="W40" s="686"/>
      <c r="X40" s="686"/>
    </row>
    <row r="41" spans="8:24">
      <c r="H41" s="695" t="s">
        <v>3109</v>
      </c>
      <c r="I41" s="686"/>
      <c r="J41" s="686" t="s">
        <v>5617</v>
      </c>
      <c r="K41" s="686"/>
      <c r="L41" s="686"/>
      <c r="M41" s="686"/>
      <c r="N41" s="686"/>
      <c r="O41" s="686"/>
      <c r="P41" s="696" t="s">
        <v>1809</v>
      </c>
      <c r="Q41" s="686"/>
      <c r="R41" s="686" t="s">
        <v>6011</v>
      </c>
      <c r="S41" s="686"/>
      <c r="T41" s="686"/>
      <c r="U41" s="686"/>
      <c r="V41" s="686"/>
      <c r="W41" s="686"/>
      <c r="X41" s="686"/>
    </row>
    <row r="42" spans="8:24">
      <c r="H42" s="695"/>
      <c r="I42" s="686"/>
      <c r="J42" s="686"/>
      <c r="K42" s="686"/>
      <c r="L42" s="686"/>
      <c r="M42" s="686"/>
      <c r="N42" s="686"/>
      <c r="O42" s="686"/>
      <c r="P42" s="696"/>
      <c r="Q42" s="686"/>
      <c r="R42" s="686"/>
      <c r="S42" s="686"/>
      <c r="T42" s="686"/>
      <c r="U42" s="686"/>
      <c r="V42" s="686"/>
      <c r="W42" s="686"/>
      <c r="X42" s="686"/>
    </row>
    <row r="43" spans="8:24">
      <c r="H43" s="681"/>
    </row>
    <row r="44" spans="8:24">
      <c r="H44" s="681"/>
    </row>
    <row r="45" spans="8:24">
      <c r="H45" s="681"/>
    </row>
    <row r="46" spans="8:24">
      <c r="H46" s="681"/>
    </row>
    <row r="47" spans="8:24">
      <c r="H47" s="681"/>
    </row>
    <row r="48" spans="8:24">
      <c r="H48" s="681"/>
    </row>
    <row r="49" spans="8:8">
      <c r="H49" s="681"/>
    </row>
    <row r="50" spans="8:8">
      <c r="H50" s="681"/>
    </row>
    <row r="51" spans="8:8">
      <c r="H51" s="681"/>
    </row>
    <row r="52" spans="8:8">
      <c r="H52" s="681"/>
    </row>
    <row r="53" spans="8:8">
      <c r="H53" s="681"/>
    </row>
    <row r="54" spans="8:8">
      <c r="H54" s="681"/>
    </row>
    <row r="55" spans="8:8">
      <c r="H55" s="681"/>
    </row>
    <row r="56" spans="8:8">
      <c r="H56" s="681"/>
    </row>
    <row r="57" spans="8:8">
      <c r="H57" s="681"/>
    </row>
    <row r="58" spans="8:8">
      <c r="H58" s="681"/>
    </row>
    <row r="59" spans="8:8">
      <c r="H59" s="681"/>
    </row>
    <row r="60" spans="8:8">
      <c r="H60" s="681"/>
    </row>
    <row r="61" spans="8:8">
      <c r="H61" s="681"/>
    </row>
    <row r="62" spans="8:8">
      <c r="H62" s="681"/>
    </row>
    <row r="63" spans="8:8">
      <c r="H63" s="681"/>
    </row>
    <row r="64" spans="8:8">
      <c r="H64" s="681"/>
    </row>
    <row r="65" spans="8:8">
      <c r="H65" s="681"/>
    </row>
    <row r="66" spans="8:8">
      <c r="H66" s="681"/>
    </row>
    <row r="67" spans="8:8">
      <c r="H67" s="681"/>
    </row>
    <row r="68" spans="8:8">
      <c r="H68" s="681"/>
    </row>
    <row r="69" spans="8:8">
      <c r="H69" s="681"/>
    </row>
    <row r="70" spans="8:8">
      <c r="H70" s="681"/>
    </row>
    <row r="71" spans="8:8">
      <c r="H71" s="681"/>
    </row>
    <row r="72" spans="8:8">
      <c r="H72" s="681"/>
    </row>
    <row r="73" spans="8:8">
      <c r="H73" s="681"/>
    </row>
  </sheetData>
  <sheetProtection password="DB76" sheet="1" objects="1" scenarios="1"/>
  <mergeCells count="3">
    <mergeCell ref="E4:G4"/>
    <mergeCell ref="J5:Q6"/>
    <mergeCell ref="C6:F6"/>
  </mergeCells>
  <pageMargins left="0.39370078740157483" right="0.39370078740157483" top="0.39370078740157483" bottom="0.39370078740157483" header="0.31496062992125984" footer="0.31496062992125984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ES2020"/>
  <sheetViews>
    <sheetView showGridLines="0" zoomScale="55" zoomScaleNormal="55" workbookViewId="0">
      <pane ySplit="11" topLeftCell="A846" activePane="bottomLeft" state="frozen"/>
      <selection activeCell="CV1" sqref="CV1"/>
      <selection pane="bottomLeft" activeCell="EP1" sqref="A1:EP65536"/>
    </sheetView>
  </sheetViews>
  <sheetFormatPr defaultColWidth="9.109375" defaultRowHeight="10.199999999999999"/>
  <cols>
    <col min="1" max="1" width="0.6640625" style="20" hidden="1" customWidth="1"/>
    <col min="2" max="2" width="2.6640625" style="20" hidden="1" customWidth="1"/>
    <col min="3" max="3" width="32.6640625" style="20" hidden="1" customWidth="1"/>
    <col min="4" max="4" width="8.33203125" style="20" hidden="1" customWidth="1"/>
    <col min="5" max="5" width="2.6640625" style="20" hidden="1" customWidth="1"/>
    <col min="6" max="6" width="10" style="20" hidden="1" customWidth="1"/>
    <col min="7" max="11" width="2.6640625" style="20" hidden="1" customWidth="1"/>
    <col min="12" max="12" width="33.5546875" style="20" hidden="1" customWidth="1"/>
    <col min="13" max="13" width="30.109375" style="20" hidden="1" customWidth="1"/>
    <col min="14" max="14" width="59.109375" style="20" hidden="1" customWidth="1"/>
    <col min="15" max="15" width="6.6640625" style="53" hidden="1" customWidth="1"/>
    <col min="16" max="16" width="2.6640625" style="20" hidden="1" customWidth="1"/>
    <col min="17" max="17" width="31.33203125" style="20" hidden="1" customWidth="1"/>
    <col min="18" max="18" width="4.33203125" style="20" hidden="1" customWidth="1"/>
    <col min="19" max="19" width="8.6640625" style="20" hidden="1" customWidth="1"/>
    <col min="20" max="20" width="2.6640625" style="20" hidden="1" customWidth="1"/>
    <col min="21" max="21" width="37.6640625" style="20" hidden="1" customWidth="1"/>
    <col min="22" max="22" width="8.6640625" style="20" hidden="1" customWidth="1"/>
    <col min="23" max="23" width="43" style="20" hidden="1" customWidth="1"/>
    <col min="24" max="24" width="2.6640625" style="20" hidden="1" customWidth="1"/>
    <col min="25" max="25" width="14.6640625" style="20" hidden="1" customWidth="1"/>
    <col min="26" max="26" width="4.33203125" style="20" hidden="1" customWidth="1"/>
    <col min="27" max="27" width="30" style="20" hidden="1" customWidth="1"/>
    <col min="28" max="28" width="2.6640625" style="20" hidden="1" customWidth="1"/>
    <col min="29" max="29" width="11.33203125" style="20" hidden="1" customWidth="1"/>
    <col min="30" max="30" width="4.33203125" style="20" hidden="1" customWidth="1"/>
    <col min="31" max="31" width="14" style="20" hidden="1" customWidth="1"/>
    <col min="32" max="32" width="2.6640625" style="20" hidden="1" customWidth="1"/>
    <col min="33" max="33" width="11" style="20" hidden="1" customWidth="1"/>
    <col min="34" max="34" width="4.33203125" style="20" hidden="1" customWidth="1"/>
    <col min="35" max="35" width="21.109375" style="20" hidden="1" customWidth="1"/>
    <col min="36" max="36" width="2.6640625" style="20" hidden="1" customWidth="1"/>
    <col min="37" max="37" width="28.6640625" style="20" hidden="1" customWidth="1"/>
    <col min="38" max="38" width="4.33203125" style="20" hidden="1" customWidth="1"/>
    <col min="39" max="39" width="87.109375" style="20" hidden="1" customWidth="1"/>
    <col min="40" max="40" width="2.6640625" style="20" hidden="1" customWidth="1"/>
    <col min="41" max="41" width="26" style="20" hidden="1" customWidth="1"/>
    <col min="42" max="42" width="4.33203125" style="20" hidden="1" customWidth="1"/>
    <col min="43" max="43" width="27.6640625" style="20" hidden="1" customWidth="1"/>
    <col min="44" max="44" width="9" style="20" hidden="1" customWidth="1"/>
    <col min="45" max="45" width="2.6640625" style="20" hidden="1" customWidth="1"/>
    <col min="46" max="46" width="9.109375" style="20" hidden="1" customWidth="1"/>
    <col min="47" max="47" width="22.44140625" style="20" hidden="1" customWidth="1"/>
    <col min="48" max="48" width="5.109375" style="20" hidden="1" customWidth="1"/>
    <col min="49" max="49" width="13.33203125" style="20" hidden="1" customWidth="1"/>
    <col min="50" max="50" width="2.6640625" style="20" hidden="1" customWidth="1"/>
    <col min="51" max="51" width="20.44140625" style="20" hidden="1" customWidth="1"/>
    <col min="52" max="52" width="9.33203125" style="20" hidden="1" customWidth="1"/>
    <col min="53" max="53" width="19.88671875" style="20" hidden="1" customWidth="1"/>
    <col min="54" max="54" width="2.6640625" style="20" hidden="1" customWidth="1"/>
    <col min="55" max="55" width="10.5546875" style="20" hidden="1" customWidth="1"/>
    <col min="56" max="56" width="8.5546875" style="20" hidden="1" customWidth="1"/>
    <col min="57" max="57" width="12.44140625" style="20" hidden="1" customWidth="1"/>
    <col min="58" max="58" width="2.6640625" style="20" hidden="1" customWidth="1"/>
    <col min="59" max="59" width="10" style="20" hidden="1" customWidth="1"/>
    <col min="60" max="60" width="7.44140625" style="20" hidden="1" customWidth="1"/>
    <col min="61" max="61" width="9.33203125" style="20" hidden="1" customWidth="1"/>
    <col min="62" max="62" width="2.6640625" style="20" hidden="1" customWidth="1"/>
    <col min="63" max="63" width="27.33203125" style="20" hidden="1" customWidth="1"/>
    <col min="64" max="64" width="9.6640625" style="20" hidden="1" customWidth="1"/>
    <col min="65" max="65" width="19.33203125" style="20" hidden="1" customWidth="1"/>
    <col min="66" max="66" width="2.6640625" style="20" hidden="1" customWidth="1"/>
    <col min="67" max="67" width="12.88671875" style="20" hidden="1" customWidth="1"/>
    <col min="68" max="68" width="12.109375" style="20" hidden="1" customWidth="1"/>
    <col min="69" max="69" width="14.44140625" style="20" hidden="1" customWidth="1"/>
    <col min="70" max="70" width="2.6640625" style="20" hidden="1" customWidth="1"/>
    <col min="71" max="71" width="19" style="20" hidden="1" customWidth="1"/>
    <col min="72" max="72" width="8" style="20" hidden="1" customWidth="1"/>
    <col min="73" max="73" width="17.5546875" style="20" hidden="1" customWidth="1"/>
    <col min="74" max="74" width="2.6640625" style="20" hidden="1" customWidth="1"/>
    <col min="75" max="75" width="19" style="20" hidden="1" customWidth="1"/>
    <col min="76" max="76" width="9" style="20" hidden="1" customWidth="1"/>
    <col min="77" max="77" width="18.109375" style="20" hidden="1" customWidth="1"/>
    <col min="78" max="78" width="2.6640625" style="20" hidden="1" customWidth="1"/>
    <col min="79" max="79" width="34.6640625" style="20" hidden="1" customWidth="1"/>
    <col min="80" max="80" width="29" style="20" hidden="1" customWidth="1"/>
    <col min="81" max="81" width="31" style="20" hidden="1" customWidth="1"/>
    <col min="82" max="82" width="2.6640625" style="20" hidden="1" customWidth="1"/>
    <col min="83" max="83" width="36.5546875" style="20" hidden="1" customWidth="1"/>
    <col min="84" max="84" width="10.44140625" style="20" hidden="1" customWidth="1"/>
    <col min="85" max="85" width="27.33203125" style="20" hidden="1" customWidth="1"/>
    <col min="86" max="86" width="2.6640625" style="20" hidden="1" customWidth="1"/>
    <col min="87" max="87" width="31.109375" style="20" hidden="1" customWidth="1"/>
    <col min="88" max="88" width="8.77734375" style="20" hidden="1" customWidth="1"/>
    <col min="89" max="89" width="24.44140625" style="20" hidden="1" customWidth="1"/>
    <col min="90" max="90" width="10.6640625" style="20" hidden="1" customWidth="1"/>
    <col min="91" max="91" width="33.5546875" style="20" hidden="1" customWidth="1"/>
    <col min="92" max="92" width="12.5546875" style="20" hidden="1" customWidth="1"/>
    <col min="93" max="93" width="23.33203125" style="20" hidden="1" customWidth="1"/>
    <col min="94" max="94" width="2.6640625" style="20" hidden="1" customWidth="1"/>
    <col min="95" max="95" width="13.33203125" style="20" hidden="1" customWidth="1"/>
    <col min="96" max="96" width="9.109375" style="20" hidden="1" customWidth="1"/>
    <col min="97" max="97" width="10.88671875" style="20" hidden="1" customWidth="1"/>
    <col min="98" max="98" width="4.109375" style="20" hidden="1" customWidth="1"/>
    <col min="99" max="99" width="12.88671875" style="20" hidden="1" customWidth="1"/>
    <col min="100" max="101" width="9.109375" style="20" hidden="1" customWidth="1"/>
    <col min="102" max="102" width="2.6640625" style="20" hidden="1" customWidth="1"/>
    <col min="103" max="103" width="22.88671875" style="20" hidden="1" customWidth="1"/>
    <col min="104" max="104" width="22.33203125" style="20" hidden="1" customWidth="1"/>
    <col min="105" max="105" width="13.44140625" style="20" hidden="1" customWidth="1"/>
    <col min="106" max="107" width="9.109375" style="20" hidden="1" customWidth="1"/>
    <col min="108" max="108" width="35.88671875" style="20" hidden="1" customWidth="1"/>
    <col min="109" max="110" width="8.6640625" style="20" hidden="1" customWidth="1"/>
    <col min="111" max="111" width="15.6640625" style="20" hidden="1" customWidth="1"/>
    <col min="112" max="112" width="8.6640625" style="20" hidden="1" customWidth="1"/>
    <col min="113" max="113" width="2.6640625" style="20" hidden="1" customWidth="1"/>
    <col min="114" max="114" width="23" style="20" hidden="1" customWidth="1"/>
    <col min="115" max="116" width="8.6640625" style="20" hidden="1" customWidth="1"/>
    <col min="117" max="117" width="15.6640625" style="20" hidden="1" customWidth="1"/>
    <col min="118" max="118" width="8.6640625" style="20" hidden="1" customWidth="1"/>
    <col min="119" max="119" width="2.6640625" style="20" hidden="1" customWidth="1"/>
    <col min="120" max="120" width="26.6640625" style="20" hidden="1" customWidth="1"/>
    <col min="121" max="122" width="8.6640625" style="20" hidden="1" customWidth="1"/>
    <col min="123" max="123" width="15.6640625" style="20" hidden="1" customWidth="1"/>
    <col min="124" max="124" width="8.6640625" style="20" hidden="1" customWidth="1"/>
    <col min="125" max="125" width="2.6640625" style="20" hidden="1" customWidth="1"/>
    <col min="126" max="126" width="36" style="20" hidden="1" customWidth="1"/>
    <col min="127" max="128" width="8.6640625" style="20" hidden="1" customWidth="1"/>
    <col min="129" max="129" width="15.6640625" style="20" hidden="1" customWidth="1"/>
    <col min="130" max="130" width="8.6640625" style="20" hidden="1" customWidth="1"/>
    <col min="131" max="131" width="2.6640625" style="20" hidden="1" customWidth="1"/>
    <col min="132" max="132" width="20.44140625" style="20" hidden="1" customWidth="1"/>
    <col min="133" max="134" width="8.6640625" style="20" hidden="1" customWidth="1"/>
    <col min="135" max="135" width="15.6640625" style="20" hidden="1" customWidth="1"/>
    <col min="136" max="136" width="8.6640625" style="20" hidden="1" customWidth="1"/>
    <col min="137" max="137" width="2.6640625" style="20" hidden="1" customWidth="1"/>
    <col min="138" max="138" width="44.33203125" style="20" hidden="1" customWidth="1"/>
    <col min="139" max="140" width="8.6640625" style="20" hidden="1" customWidth="1"/>
    <col min="141" max="141" width="15.6640625" style="20" hidden="1" customWidth="1"/>
    <col min="142" max="142" width="8.6640625" style="20" hidden="1" customWidth="1"/>
    <col min="143" max="143" width="9.109375" style="20" hidden="1" customWidth="1"/>
    <col min="144" max="144" width="2.5546875" style="20" hidden="1" customWidth="1"/>
    <col min="145" max="145" width="9" style="20" hidden="1" customWidth="1"/>
    <col min="146" max="146" width="9.109375" style="20" hidden="1" customWidth="1"/>
    <col min="147" max="150" width="9.109375" style="20" customWidth="1"/>
    <col min="151" max="151" width="11.88671875" style="20" customWidth="1"/>
    <col min="152" max="155" width="9.109375" style="20" customWidth="1"/>
    <col min="156" max="16384" width="9.109375" style="20"/>
  </cols>
  <sheetData>
    <row r="1" spans="2:142">
      <c r="DV1" s="777"/>
    </row>
    <row r="2" spans="2:142">
      <c r="AZ2" s="53"/>
      <c r="BA2" s="53"/>
      <c r="BB2" s="53"/>
      <c r="BC2" s="569"/>
      <c r="DD2" s="20" t="s">
        <v>408</v>
      </c>
      <c r="DE2" s="20" t="s">
        <v>115</v>
      </c>
      <c r="DV2" s="777"/>
    </row>
    <row r="3" spans="2:142">
      <c r="AZ3" s="53"/>
      <c r="BA3" s="53"/>
      <c r="DD3" s="117">
        <f>IF(form!N6="",1,form!N6)</f>
        <v>1</v>
      </c>
      <c r="DE3" s="776">
        <f>IF(form!N5="ні",1,1.2)</f>
        <v>1.2</v>
      </c>
      <c r="DV3" s="777"/>
    </row>
    <row r="4" spans="2:142">
      <c r="CB4" s="220"/>
      <c r="CE4" s="121"/>
      <c r="CI4" s="220"/>
      <c r="DD4" s="533" t="s">
        <v>212</v>
      </c>
      <c r="DE4" s="534" t="s">
        <v>351</v>
      </c>
      <c r="DF4" s="534" t="s">
        <v>2059</v>
      </c>
      <c r="DG4" s="534" t="s">
        <v>213</v>
      </c>
      <c r="DH4" s="535" t="s">
        <v>214</v>
      </c>
      <c r="DJ4" s="533" t="s">
        <v>212</v>
      </c>
      <c r="DK4" s="534" t="s">
        <v>351</v>
      </c>
      <c r="DL4" s="534" t="s">
        <v>2059</v>
      </c>
      <c r="DM4" s="534" t="s">
        <v>213</v>
      </c>
      <c r="DN4" s="535" t="s">
        <v>214</v>
      </c>
      <c r="DP4" s="533" t="s">
        <v>212</v>
      </c>
      <c r="DQ4" s="534" t="s">
        <v>351</v>
      </c>
      <c r="DR4" s="534" t="s">
        <v>2059</v>
      </c>
      <c r="DS4" s="534" t="s">
        <v>213</v>
      </c>
      <c r="DT4" s="535" t="s">
        <v>214</v>
      </c>
      <c r="DV4" s="533" t="s">
        <v>212</v>
      </c>
      <c r="DW4" s="534" t="s">
        <v>351</v>
      </c>
      <c r="DX4" s="534" t="s">
        <v>2059</v>
      </c>
      <c r="DY4" s="534" t="s">
        <v>213</v>
      </c>
      <c r="DZ4" s="535" t="s">
        <v>214</v>
      </c>
      <c r="EB4" s="533" t="s">
        <v>212</v>
      </c>
      <c r="EC4" s="534" t="s">
        <v>351</v>
      </c>
      <c r="ED4" s="534" t="s">
        <v>2059</v>
      </c>
      <c r="EE4" s="534" t="s">
        <v>213</v>
      </c>
      <c r="EF4" s="535" t="s">
        <v>214</v>
      </c>
      <c r="EH4" s="533" t="s">
        <v>212</v>
      </c>
      <c r="EI4" s="534" t="s">
        <v>351</v>
      </c>
      <c r="EJ4" s="534" t="s">
        <v>2059</v>
      </c>
      <c r="EK4" s="534" t="s">
        <v>213</v>
      </c>
      <c r="EL4" s="535" t="s">
        <v>214</v>
      </c>
    </row>
    <row r="5" spans="2:142">
      <c r="CE5" s="121"/>
      <c r="CM5" s="121"/>
      <c r="CN5" s="121"/>
      <c r="CO5" s="121"/>
      <c r="DD5" s="497" t="s">
        <v>6466</v>
      </c>
      <c r="DE5" s="498">
        <v>45213</v>
      </c>
      <c r="DF5" s="498">
        <v>45323</v>
      </c>
      <c r="DG5" s="510">
        <v>0.2</v>
      </c>
      <c r="DH5" s="499"/>
      <c r="DJ5" s="497"/>
      <c r="DK5" s="498"/>
      <c r="DL5" s="498"/>
      <c r="DM5" s="510">
        <v>0</v>
      </c>
      <c r="DN5" s="499"/>
      <c r="DP5" s="497"/>
      <c r="DQ5" s="498"/>
      <c r="DR5" s="498"/>
      <c r="DS5" s="510">
        <v>0</v>
      </c>
      <c r="DT5" s="499"/>
      <c r="DV5" s="497"/>
      <c r="DW5" s="498"/>
      <c r="DX5" s="498"/>
      <c r="DY5" s="510">
        <v>0</v>
      </c>
      <c r="DZ5" s="499"/>
      <c r="EB5" s="497"/>
      <c r="EC5" s="498"/>
      <c r="ED5" s="498"/>
      <c r="EE5" s="510">
        <v>0</v>
      </c>
      <c r="EF5" s="499"/>
      <c r="EH5" s="497"/>
      <c r="EI5" s="498"/>
      <c r="EJ5" s="498"/>
      <c r="EK5" s="510">
        <v>0</v>
      </c>
      <c r="EL5" s="499"/>
    </row>
    <row r="6" spans="2:142">
      <c r="G6" s="21"/>
      <c r="H6" s="21"/>
      <c r="I6" s="21"/>
      <c r="J6" s="21"/>
      <c r="K6" s="21"/>
      <c r="L6" s="121"/>
      <c r="M6" s="121"/>
      <c r="N6" s="121"/>
      <c r="O6" s="676"/>
      <c r="P6" s="97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97"/>
      <c r="AC6" s="121"/>
      <c r="AD6" s="121"/>
      <c r="AE6" s="121"/>
      <c r="AF6" s="97"/>
      <c r="AG6" s="121"/>
      <c r="AH6" s="121"/>
      <c r="AI6" s="121"/>
      <c r="AJ6" s="21"/>
      <c r="AN6" s="21"/>
      <c r="CM6" s="121"/>
      <c r="CN6" s="121"/>
      <c r="CO6" s="121"/>
      <c r="CY6" s="220"/>
      <c r="DD6" s="500"/>
      <c r="DE6" s="507"/>
      <c r="DF6" s="501"/>
      <c r="DG6" s="508">
        <v>0</v>
      </c>
      <c r="DH6" s="502"/>
      <c r="DJ6" s="500"/>
      <c r="DK6" s="507"/>
      <c r="DL6" s="501"/>
      <c r="DM6" s="508">
        <v>0</v>
      </c>
      <c r="DN6" s="502"/>
      <c r="DP6" s="500"/>
      <c r="DQ6" s="507"/>
      <c r="DR6" s="501"/>
      <c r="DS6" s="508">
        <v>0</v>
      </c>
      <c r="DT6" s="502"/>
      <c r="DV6" s="500"/>
      <c r="DW6" s="507"/>
      <c r="DX6" s="501"/>
      <c r="DY6" s="508">
        <v>0</v>
      </c>
      <c r="DZ6" s="502"/>
      <c r="EB6" s="500"/>
      <c r="EC6" s="507"/>
      <c r="ED6" s="501"/>
      <c r="EE6" s="508">
        <v>0</v>
      </c>
      <c r="EF6" s="502"/>
      <c r="EH6" s="500"/>
      <c r="EI6" s="501"/>
      <c r="EJ6" s="501"/>
      <c r="EK6" s="508">
        <v>0</v>
      </c>
      <c r="EL6" s="502"/>
    </row>
    <row r="7" spans="2:142">
      <c r="G7" s="21"/>
      <c r="H7" s="21"/>
      <c r="I7" s="21"/>
      <c r="J7" s="21"/>
      <c r="K7" s="21"/>
      <c r="P7" s="21"/>
      <c r="T7" s="21"/>
      <c r="X7" s="21"/>
      <c r="AB7" s="21"/>
      <c r="AF7" s="21"/>
      <c r="AJ7" s="21"/>
      <c r="AN7" s="21"/>
      <c r="CM7" s="121"/>
      <c r="CN7" s="121"/>
      <c r="CO7" s="121"/>
      <c r="DD7" s="500"/>
      <c r="DE7" s="501"/>
      <c r="DF7" s="501"/>
      <c r="DG7" s="508">
        <v>0</v>
      </c>
      <c r="DH7" s="502"/>
      <c r="DJ7" s="500"/>
      <c r="DK7" s="503"/>
      <c r="DL7" s="503"/>
      <c r="DM7" s="508">
        <v>0</v>
      </c>
      <c r="DN7" s="502"/>
      <c r="DP7" s="500"/>
      <c r="DQ7" s="503"/>
      <c r="DR7" s="503"/>
      <c r="DS7" s="508">
        <v>0</v>
      </c>
      <c r="DT7" s="502"/>
      <c r="DU7" s="121"/>
      <c r="DV7" s="500"/>
      <c r="DW7" s="503"/>
      <c r="DX7" s="503"/>
      <c r="DY7" s="508">
        <v>0</v>
      </c>
      <c r="DZ7" s="502"/>
      <c r="EB7" s="500"/>
      <c r="EC7" s="503"/>
      <c r="ED7" s="503"/>
      <c r="EE7" s="508">
        <v>0</v>
      </c>
      <c r="EF7" s="502"/>
      <c r="EH7" s="500"/>
      <c r="EI7" s="503"/>
      <c r="EJ7" s="503"/>
      <c r="EK7" s="508">
        <v>0</v>
      </c>
      <c r="EL7" s="502"/>
    </row>
    <row r="8" spans="2:142">
      <c r="G8" s="21"/>
      <c r="H8" s="21"/>
      <c r="I8" s="21"/>
      <c r="J8" s="21"/>
      <c r="K8" s="21"/>
      <c r="P8" s="21"/>
      <c r="T8" s="21"/>
      <c r="X8" s="21"/>
      <c r="AB8" s="21"/>
      <c r="AF8" s="21"/>
      <c r="AJ8" s="21"/>
      <c r="AN8" s="21"/>
      <c r="AO8" s="836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Y8" s="571"/>
      <c r="CZ8" s="571"/>
      <c r="DA8" s="571"/>
      <c r="DD8" s="500"/>
      <c r="DE8" s="501"/>
      <c r="DF8" s="501"/>
      <c r="DG8" s="508">
        <v>0</v>
      </c>
      <c r="DH8" s="502"/>
      <c r="DJ8" s="500"/>
      <c r="DK8" s="503"/>
      <c r="DL8" s="503"/>
      <c r="DM8" s="508">
        <v>0</v>
      </c>
      <c r="DN8" s="502"/>
      <c r="DP8" s="500"/>
      <c r="DQ8" s="503"/>
      <c r="DR8" s="503"/>
      <c r="DS8" s="508">
        <v>0</v>
      </c>
      <c r="DT8" s="502"/>
      <c r="DV8" s="500"/>
      <c r="DW8" s="503"/>
      <c r="DX8" s="503"/>
      <c r="DY8" s="508">
        <v>0</v>
      </c>
      <c r="DZ8" s="502"/>
      <c r="EB8" s="500"/>
      <c r="EC8" s="503"/>
      <c r="ED8" s="503"/>
      <c r="EE8" s="508">
        <v>0</v>
      </c>
      <c r="EF8" s="502"/>
      <c r="EH8" s="500"/>
      <c r="EI8" s="503"/>
      <c r="EJ8" s="503"/>
      <c r="EK8" s="508">
        <v>0</v>
      </c>
      <c r="EL8" s="502"/>
    </row>
    <row r="9" spans="2:142">
      <c r="G9" s="21"/>
      <c r="H9" s="21"/>
      <c r="I9" s="21"/>
      <c r="J9" s="21"/>
      <c r="K9" s="21"/>
      <c r="P9" s="21"/>
      <c r="T9" s="21"/>
      <c r="X9" s="21"/>
      <c r="AB9" s="21"/>
      <c r="AF9" s="21"/>
      <c r="AJ9" s="21"/>
      <c r="AN9" s="21"/>
      <c r="AO9" s="836"/>
      <c r="DD9" s="504"/>
      <c r="DE9" s="547"/>
      <c r="DF9" s="547"/>
      <c r="DG9" s="509">
        <v>0</v>
      </c>
      <c r="DH9" s="506"/>
      <c r="DJ9" s="504"/>
      <c r="DK9" s="505"/>
      <c r="DL9" s="505"/>
      <c r="DM9" s="509">
        <v>0</v>
      </c>
      <c r="DN9" s="506"/>
      <c r="DP9" s="504"/>
      <c r="DQ9" s="505"/>
      <c r="DR9" s="505"/>
      <c r="DS9" s="509">
        <v>0</v>
      </c>
      <c r="DT9" s="506"/>
      <c r="DV9" s="504"/>
      <c r="DW9" s="505"/>
      <c r="DX9" s="505"/>
      <c r="DY9" s="509">
        <v>0</v>
      </c>
      <c r="DZ9" s="506"/>
      <c r="EB9" s="504"/>
      <c r="EC9" s="505"/>
      <c r="ED9" s="505"/>
      <c r="EE9" s="509">
        <v>0</v>
      </c>
      <c r="EF9" s="506"/>
      <c r="EH9" s="504"/>
      <c r="EI9" s="505"/>
      <c r="EJ9" s="505"/>
      <c r="EK9" s="509">
        <v>0</v>
      </c>
      <c r="EL9" s="506"/>
    </row>
    <row r="10" spans="2:142" ht="13.8" thickBot="1">
      <c r="C10" s="34" t="s">
        <v>343</v>
      </c>
      <c r="G10" s="21"/>
      <c r="H10" s="21"/>
      <c r="I10" s="21"/>
      <c r="J10" s="21"/>
      <c r="K10" s="21"/>
      <c r="L10" s="39" t="s">
        <v>179</v>
      </c>
      <c r="M10" s="22"/>
      <c r="N10" s="22"/>
      <c r="O10" s="421"/>
      <c r="P10" s="21"/>
      <c r="Q10" s="39" t="s">
        <v>180</v>
      </c>
      <c r="R10" s="22"/>
      <c r="S10" s="22"/>
      <c r="T10" s="21"/>
      <c r="U10" s="39" t="s">
        <v>678</v>
      </c>
      <c r="V10" s="22"/>
      <c r="W10" s="22"/>
      <c r="X10" s="21"/>
      <c r="Y10" s="39" t="s">
        <v>679</v>
      </c>
      <c r="Z10" s="22"/>
      <c r="AA10" s="22"/>
      <c r="AB10" s="21"/>
      <c r="AC10" s="39" t="s">
        <v>233</v>
      </c>
      <c r="AD10" s="22"/>
      <c r="AE10" s="22"/>
      <c r="AF10" s="21"/>
      <c r="AG10" s="39" t="s">
        <v>235</v>
      </c>
      <c r="AH10" s="22"/>
      <c r="AI10" s="22"/>
      <c r="AJ10" s="21"/>
      <c r="AK10" s="39" t="s">
        <v>452</v>
      </c>
      <c r="AL10" s="22"/>
      <c r="AM10" s="22"/>
      <c r="AN10" s="21"/>
      <c r="AO10" s="39" t="s">
        <v>274</v>
      </c>
      <c r="AP10" s="22"/>
      <c r="AQ10" s="22"/>
      <c r="AU10" s="39" t="s">
        <v>178</v>
      </c>
      <c r="AV10" s="22"/>
      <c r="AW10" s="22"/>
      <c r="AY10" s="39" t="s">
        <v>100</v>
      </c>
      <c r="AZ10" s="22"/>
      <c r="BA10" s="43"/>
      <c r="BB10" s="121"/>
      <c r="BC10" s="39" t="s">
        <v>320</v>
      </c>
      <c r="BD10" s="22"/>
      <c r="BE10" s="43"/>
      <c r="BG10" s="39" t="s">
        <v>97</v>
      </c>
      <c r="BH10" s="22"/>
      <c r="BI10" s="43"/>
      <c r="BK10" s="39" t="s">
        <v>455</v>
      </c>
      <c r="BL10" s="22"/>
      <c r="BM10" s="43"/>
      <c r="BO10" s="39" t="s">
        <v>681</v>
      </c>
      <c r="BP10" s="22"/>
      <c r="BQ10" s="43"/>
      <c r="BS10" s="39" t="s">
        <v>98</v>
      </c>
      <c r="BT10" s="22"/>
      <c r="BU10" s="43"/>
      <c r="BW10" s="39" t="s">
        <v>99</v>
      </c>
      <c r="BX10" s="22"/>
      <c r="BY10" s="43"/>
      <c r="CA10" s="39" t="s">
        <v>682</v>
      </c>
      <c r="CB10" s="22"/>
      <c r="CC10" s="43"/>
      <c r="CE10" s="39" t="s">
        <v>271</v>
      </c>
      <c r="CF10" s="22"/>
      <c r="CG10" s="43"/>
      <c r="CI10" s="39" t="s">
        <v>101</v>
      </c>
      <c r="CJ10" s="22"/>
      <c r="CK10" s="43"/>
      <c r="CM10" s="211" t="s">
        <v>838</v>
      </c>
      <c r="CN10" s="22"/>
      <c r="CO10" s="43"/>
      <c r="CQ10" s="211" t="s">
        <v>842</v>
      </c>
      <c r="CR10" s="22"/>
      <c r="CS10" s="43"/>
      <c r="CU10" s="211" t="s">
        <v>843</v>
      </c>
      <c r="CV10" s="22"/>
      <c r="CW10" s="43"/>
      <c r="CY10" s="211" t="s">
        <v>853</v>
      </c>
      <c r="CZ10" s="22"/>
      <c r="DA10" s="43"/>
      <c r="DD10" s="102" t="s">
        <v>380</v>
      </c>
      <c r="DE10" s="894">
        <f ca="1">NOW()</f>
        <v>45212.674167129633</v>
      </c>
      <c r="DF10" s="894"/>
      <c r="DG10" s="895"/>
      <c r="DH10" s="400"/>
      <c r="DI10" s="121"/>
      <c r="DJ10" s="102" t="s">
        <v>629</v>
      </c>
      <c r="DK10" s="894">
        <f ca="1">NOW()</f>
        <v>45212.674167129633</v>
      </c>
      <c r="DL10" s="894"/>
      <c r="DM10" s="895"/>
      <c r="DN10" s="400"/>
      <c r="DO10" s="121"/>
      <c r="DP10" s="102" t="s">
        <v>630</v>
      </c>
      <c r="DQ10" s="894">
        <f ca="1">NOW()</f>
        <v>45212.674167129633</v>
      </c>
      <c r="DR10" s="894"/>
      <c r="DS10" s="895"/>
      <c r="DT10" s="400"/>
      <c r="DU10" s="121"/>
      <c r="DV10" s="102" t="s">
        <v>593</v>
      </c>
      <c r="DW10" s="894">
        <f ca="1">NOW()</f>
        <v>45212.674167129633</v>
      </c>
      <c r="DX10" s="894"/>
      <c r="DY10" s="895"/>
      <c r="DZ10" s="400"/>
      <c r="EA10" s="121"/>
      <c r="EB10" s="102" t="s">
        <v>890</v>
      </c>
      <c r="EC10" s="894">
        <f ca="1">NOW()</f>
        <v>45212.674167129633</v>
      </c>
      <c r="ED10" s="894"/>
      <c r="EE10" s="895"/>
      <c r="EF10" s="106"/>
      <c r="EG10" s="165"/>
      <c r="EH10" s="788" t="s">
        <v>4260</v>
      </c>
      <c r="EI10" s="894">
        <f ca="1">NOW()</f>
        <v>45212.674167129633</v>
      </c>
      <c r="EJ10" s="894"/>
      <c r="EK10" s="895"/>
      <c r="EL10" s="106"/>
    </row>
    <row r="11" spans="2:142" ht="10.8" thickBot="1">
      <c r="B11" s="25"/>
      <c r="C11" s="26"/>
      <c r="D11" s="26"/>
      <c r="E11" s="27"/>
      <c r="G11" s="21"/>
      <c r="H11" s="21"/>
      <c r="I11" s="21"/>
      <c r="J11" s="21"/>
      <c r="K11" s="21"/>
      <c r="L11" s="42" t="s">
        <v>130</v>
      </c>
      <c r="M11" s="67" t="s">
        <v>747</v>
      </c>
      <c r="N11" s="68" t="s">
        <v>129</v>
      </c>
      <c r="O11" s="420" t="s">
        <v>727</v>
      </c>
      <c r="P11" s="21"/>
      <c r="Q11" s="42" t="s">
        <v>130</v>
      </c>
      <c r="R11" s="67" t="s">
        <v>747</v>
      </c>
      <c r="S11" s="68" t="s">
        <v>129</v>
      </c>
      <c r="T11" s="21"/>
      <c r="U11" s="42" t="s">
        <v>1032</v>
      </c>
      <c r="V11" s="67" t="s">
        <v>747</v>
      </c>
      <c r="W11" s="68" t="s">
        <v>129</v>
      </c>
      <c r="X11" s="21"/>
      <c r="Y11" s="42" t="s">
        <v>232</v>
      </c>
      <c r="Z11" s="67" t="s">
        <v>747</v>
      </c>
      <c r="AA11" s="68" t="s">
        <v>129</v>
      </c>
      <c r="AB11" s="21"/>
      <c r="AC11" s="42" t="s">
        <v>233</v>
      </c>
      <c r="AD11" s="67" t="s">
        <v>747</v>
      </c>
      <c r="AE11" s="68" t="s">
        <v>129</v>
      </c>
      <c r="AF11" s="21"/>
      <c r="AG11" s="775" t="s">
        <v>4078</v>
      </c>
      <c r="AH11" s="67" t="s">
        <v>747</v>
      </c>
      <c r="AI11" s="68" t="s">
        <v>129</v>
      </c>
      <c r="AJ11" s="21"/>
      <c r="AK11" s="42" t="s">
        <v>452</v>
      </c>
      <c r="AL11" s="67" t="s">
        <v>747</v>
      </c>
      <c r="AM11" s="68" t="s">
        <v>129</v>
      </c>
      <c r="AN11" s="21"/>
      <c r="AO11" s="42" t="s">
        <v>452</v>
      </c>
      <c r="AP11" s="67" t="s">
        <v>747</v>
      </c>
      <c r="AQ11" s="68" t="s">
        <v>129</v>
      </c>
      <c r="AU11" s="42" t="s">
        <v>179</v>
      </c>
      <c r="AV11" s="67" t="s">
        <v>318</v>
      </c>
      <c r="AW11" s="68" t="s">
        <v>275</v>
      </c>
      <c r="AY11" s="42" t="s">
        <v>293</v>
      </c>
      <c r="AZ11" s="42" t="s">
        <v>294</v>
      </c>
      <c r="BA11" s="68" t="s">
        <v>275</v>
      </c>
      <c r="BB11" s="121"/>
      <c r="BC11" s="42" t="s">
        <v>294</v>
      </c>
      <c r="BD11" s="42" t="s">
        <v>677</v>
      </c>
      <c r="BE11" s="68" t="s">
        <v>275</v>
      </c>
      <c r="BG11" s="42" t="s">
        <v>677</v>
      </c>
      <c r="BH11" s="42" t="s">
        <v>678</v>
      </c>
      <c r="BI11" s="68" t="s">
        <v>275</v>
      </c>
      <c r="BK11" s="42" t="s">
        <v>179</v>
      </c>
      <c r="BL11" s="42" t="s">
        <v>679</v>
      </c>
      <c r="BM11" s="68" t="s">
        <v>275</v>
      </c>
      <c r="BO11" s="42" t="s">
        <v>179</v>
      </c>
      <c r="BP11" s="42" t="s">
        <v>679</v>
      </c>
      <c r="BQ11" s="68" t="s">
        <v>275</v>
      </c>
      <c r="BS11" s="42" t="s">
        <v>293</v>
      </c>
      <c r="BT11" s="42" t="s">
        <v>317</v>
      </c>
      <c r="BU11" s="68" t="s">
        <v>275</v>
      </c>
      <c r="BW11" s="42" t="s">
        <v>293</v>
      </c>
      <c r="BX11" s="775" t="s">
        <v>4078</v>
      </c>
      <c r="BY11" s="68" t="s">
        <v>275</v>
      </c>
      <c r="CA11" s="42" t="s">
        <v>272</v>
      </c>
      <c r="CB11" s="42" t="s">
        <v>683</v>
      </c>
      <c r="CC11" s="68" t="s">
        <v>275</v>
      </c>
      <c r="CE11" s="42" t="s">
        <v>179</v>
      </c>
      <c r="CF11" s="42" t="s">
        <v>273</v>
      </c>
      <c r="CG11" s="68" t="s">
        <v>275</v>
      </c>
      <c r="CI11" s="42" t="s">
        <v>452</v>
      </c>
      <c r="CJ11" s="42" t="s">
        <v>274</v>
      </c>
      <c r="CK11" s="68" t="s">
        <v>275</v>
      </c>
      <c r="CM11" s="67" t="s">
        <v>179</v>
      </c>
      <c r="CN11" s="67" t="s">
        <v>839</v>
      </c>
      <c r="CO11" s="68" t="s">
        <v>275</v>
      </c>
      <c r="CQ11" s="67" t="s">
        <v>839</v>
      </c>
      <c r="CR11" s="67" t="s">
        <v>180</v>
      </c>
      <c r="CS11" s="68" t="s">
        <v>275</v>
      </c>
      <c r="CU11" s="67" t="s">
        <v>839</v>
      </c>
      <c r="CV11" s="753" t="s">
        <v>3107</v>
      </c>
      <c r="CW11" s="68" t="s">
        <v>275</v>
      </c>
      <c r="CY11" s="67" t="s">
        <v>854</v>
      </c>
      <c r="CZ11" s="67" t="s">
        <v>847</v>
      </c>
      <c r="DA11" s="68" t="s">
        <v>275</v>
      </c>
      <c r="DD11" s="42" t="s">
        <v>130</v>
      </c>
      <c r="DE11" s="104" t="s">
        <v>349</v>
      </c>
      <c r="DF11" s="118" t="s">
        <v>73</v>
      </c>
      <c r="DG11" s="513" t="s">
        <v>350</v>
      </c>
      <c r="DH11" s="104" t="s">
        <v>546</v>
      </c>
      <c r="DJ11" s="42" t="s">
        <v>222</v>
      </c>
      <c r="DK11" s="104" t="s">
        <v>349</v>
      </c>
      <c r="DL11" s="118" t="s">
        <v>73</v>
      </c>
      <c r="DM11" s="23" t="s">
        <v>350</v>
      </c>
      <c r="DN11" s="104" t="s">
        <v>546</v>
      </c>
      <c r="DP11" s="42" t="s">
        <v>594</v>
      </c>
      <c r="DQ11" s="104" t="s">
        <v>349</v>
      </c>
      <c r="DR11" s="118" t="s">
        <v>73</v>
      </c>
      <c r="DS11" s="23" t="s">
        <v>350</v>
      </c>
      <c r="DT11" s="104" t="s">
        <v>546</v>
      </c>
      <c r="DU11" s="21"/>
      <c r="DV11" s="42" t="s">
        <v>1037</v>
      </c>
      <c r="DW11" s="104" t="s">
        <v>349</v>
      </c>
      <c r="DX11" s="118" t="s">
        <v>73</v>
      </c>
      <c r="DY11" s="23" t="s">
        <v>350</v>
      </c>
      <c r="DZ11" s="104" t="s">
        <v>546</v>
      </c>
      <c r="EB11" s="42" t="s">
        <v>891</v>
      </c>
      <c r="EC11" s="104" t="s">
        <v>349</v>
      </c>
      <c r="ED11" s="118" t="s">
        <v>73</v>
      </c>
      <c r="EE11" s="23" t="s">
        <v>350</v>
      </c>
      <c r="EF11" s="104" t="s">
        <v>546</v>
      </c>
      <c r="EG11" s="165"/>
      <c r="EH11" s="42" t="s">
        <v>394</v>
      </c>
      <c r="EI11" s="104" t="s">
        <v>349</v>
      </c>
      <c r="EJ11" s="118" t="s">
        <v>73</v>
      </c>
      <c r="EK11" s="23" t="s">
        <v>350</v>
      </c>
      <c r="EL11" s="104" t="s">
        <v>546</v>
      </c>
    </row>
    <row r="12" spans="2:142" ht="10.8" thickBot="1">
      <c r="B12" s="30"/>
      <c r="C12" s="28" t="s">
        <v>326</v>
      </c>
      <c r="D12" s="35" t="s">
        <v>727</v>
      </c>
      <c r="E12" s="29"/>
      <c r="G12" s="21"/>
      <c r="H12" s="21"/>
      <c r="I12" s="21"/>
      <c r="J12" s="21"/>
      <c r="K12" s="21"/>
      <c r="L12" s="153" t="s">
        <v>560</v>
      </c>
      <c r="M12" s="817" t="s">
        <v>481</v>
      </c>
      <c r="N12" s="100" t="s">
        <v>2079</v>
      </c>
      <c r="O12" s="818" t="s">
        <v>728</v>
      </c>
      <c r="P12" s="21"/>
      <c r="Q12" s="153" t="s">
        <v>560</v>
      </c>
      <c r="R12" s="101" t="s">
        <v>181</v>
      </c>
      <c r="S12" s="100" t="s">
        <v>1020</v>
      </c>
      <c r="T12" s="21"/>
      <c r="U12" s="762" t="s">
        <v>3173</v>
      </c>
      <c r="V12" s="407" t="s">
        <v>239</v>
      </c>
      <c r="W12" s="408" t="s">
        <v>2201</v>
      </c>
      <c r="X12" s="21"/>
      <c r="Y12" s="752" t="s">
        <v>3837</v>
      </c>
      <c r="Z12" s="493">
        <v>105</v>
      </c>
      <c r="AA12" s="435" t="s">
        <v>4909</v>
      </c>
      <c r="AB12" s="21"/>
      <c r="AC12" s="773" t="s">
        <v>4066</v>
      </c>
      <c r="AD12" s="98" t="s">
        <v>165</v>
      </c>
      <c r="AE12" s="94" t="s">
        <v>751</v>
      </c>
      <c r="AF12" s="21"/>
      <c r="AG12" s="773" t="s">
        <v>4106</v>
      </c>
      <c r="AH12" s="98" t="s">
        <v>167</v>
      </c>
      <c r="AI12" s="94" t="s">
        <v>2269</v>
      </c>
      <c r="AJ12" s="21"/>
      <c r="AK12" s="161"/>
      <c r="AL12" s="407"/>
      <c r="AM12" s="408"/>
      <c r="AN12" s="21"/>
      <c r="AO12" s="93"/>
      <c r="AP12" s="98"/>
      <c r="AQ12" s="94"/>
      <c r="AU12" s="133" t="s">
        <v>608</v>
      </c>
      <c r="AV12" s="150" t="s">
        <v>181</v>
      </c>
      <c r="AW12" s="135" t="str">
        <f t="shared" ref="AW12:AW20" si="0">CONCATENATE(AU12,".",AV12)</f>
        <v>ДП СТАНДАРТ.1/А</v>
      </c>
      <c r="AY12" s="425" t="s">
        <v>560</v>
      </c>
      <c r="AZ12" s="140" t="s">
        <v>1719</v>
      </c>
      <c r="BA12" s="141" t="str">
        <f t="shared" ref="BA12:BA38" si="1">CONCATENATE(AY12,".",AZ12)</f>
        <v>ДП СТАНДАРТ.1/А.фальц</v>
      </c>
      <c r="BB12" s="121"/>
      <c r="BC12" s="425" t="s">
        <v>1719</v>
      </c>
      <c r="BD12" s="140" t="s">
        <v>3174</v>
      </c>
      <c r="BE12" s="141" t="str">
        <f>CONCATENATE(BC12,".",BD12)</f>
        <v>фальц.робоча</v>
      </c>
      <c r="BF12" s="121"/>
      <c r="BG12" s="252" t="s">
        <v>3174</v>
      </c>
      <c r="BH12" s="137" t="s">
        <v>321</v>
      </c>
      <c r="BI12" s="138" t="str">
        <f t="shared" ref="BI12:BI19" si="2">CONCATENATE(BG12,".",BH12)</f>
        <v>робоча.60</v>
      </c>
      <c r="BK12" s="724" t="s">
        <v>608</v>
      </c>
      <c r="BL12" s="140" t="s">
        <v>4904</v>
      </c>
      <c r="BM12" s="141" t="str">
        <f t="shared" ref="BM12:BM26" si="3">CONCATENATE(BK12,".",BL12)</f>
        <v>ДП СТАНДАРТ.Сімплекс</v>
      </c>
      <c r="BO12" s="252"/>
      <c r="BP12" s="253"/>
      <c r="BQ12" s="141"/>
      <c r="BS12" s="133" t="s">
        <v>560</v>
      </c>
      <c r="BT12" s="101" t="s">
        <v>4066</v>
      </c>
      <c r="BU12" s="135" t="str">
        <f t="shared" ref="BU12:BU29" si="4">CONCATENATE(BS12,".",BT12)</f>
        <v>ДП СТАНДАРТ.1/А.Сотове</v>
      </c>
      <c r="BW12" s="165" t="s">
        <v>560</v>
      </c>
      <c r="BX12" s="247" t="s">
        <v>459</v>
      </c>
      <c r="BY12" s="138" t="str">
        <f t="shared" ref="BY12:BY41" si="5">CONCATENATE(BW12,".",BX12)</f>
        <v>ДП СТАНДАРТ.1/А.Кризет</v>
      </c>
      <c r="CA12" s="742" t="s">
        <v>3175</v>
      </c>
      <c r="CB12" s="137" t="s">
        <v>4106</v>
      </c>
      <c r="CC12" s="138" t="str">
        <f>CONCATENATE(CA12,".",CB12)</f>
        <v>ДП СТАНДАРТ.фальц.робоча.(ні)</v>
      </c>
      <c r="CE12" s="742" t="s">
        <v>3175</v>
      </c>
      <c r="CF12" s="137"/>
      <c r="CG12" s="138" t="str">
        <f t="shared" ref="CG12:CG22" si="6">CONCATENATE(CE12,".",CF12)</f>
        <v>ДП СТАНДАРТ.фальц.робоча.</v>
      </c>
      <c r="CI12" s="59" t="s">
        <v>4106</v>
      </c>
      <c r="CJ12" s="54" t="s">
        <v>4106</v>
      </c>
      <c r="CK12" s="69" t="str">
        <f>CONCATENATE(CI12,".",CJ12)</f>
        <v>(ні).(ні)</v>
      </c>
      <c r="CM12" s="742" t="s">
        <v>3175</v>
      </c>
      <c r="CN12" s="137" t="s">
        <v>975</v>
      </c>
      <c r="CO12" s="138" t="str">
        <f t="shared" ref="CO12:CO18" si="7">CONCATENATE(CM12,".",CN12)</f>
        <v>ДП СТАНДАРТ.фальц.робоча.Standard-MDF</v>
      </c>
      <c r="CQ12" s="45" t="s">
        <v>975</v>
      </c>
      <c r="CR12" s="47" t="s">
        <v>528</v>
      </c>
      <c r="CS12" s="70" t="str">
        <f t="shared" ref="CS12:CS23" si="8">CONCATENATE(CQ12,".",CR12)</f>
        <v>Standard-MDF.1</v>
      </c>
      <c r="CU12" s="161" t="s">
        <v>975</v>
      </c>
      <c r="CV12" s="215" t="s">
        <v>4106</v>
      </c>
      <c r="CW12" s="141" t="str">
        <f>CONCATENATE(CU12,".",CV12)</f>
        <v>Standard-MDF.(ні)</v>
      </c>
      <c r="CY12" s="161" t="s">
        <v>975</v>
      </c>
      <c r="CZ12" s="215" t="s">
        <v>901</v>
      </c>
      <c r="DA12" s="141" t="s">
        <v>855</v>
      </c>
      <c r="DD12" s="774" t="s">
        <v>4905</v>
      </c>
      <c r="DE12" s="406">
        <v>5310</v>
      </c>
      <c r="DF12" s="519">
        <f t="shared" ref="DF12:DF20" si="9">ROUND(((DE12-(DE12/6))/$DD$3)*$DE$3,2)</f>
        <v>5310</v>
      </c>
      <c r="DG12" s="520"/>
      <c r="DH12" s="521">
        <f t="shared" ref="DH12:DH20" si="10">IF(DG12="",DF12,
IF(AND($DE$10&gt;=VLOOKUP(DG12,$DD$5:$DH$9,2,0),$DE$10&lt;=VLOOKUP(DG12,$DD$5:$DH$9,3,0)),
(DF12*(1-VLOOKUP(DG12,$DD$5:$DH$9,4,0))),
DF12))</f>
        <v>5310</v>
      </c>
      <c r="DJ12" s="774" t="s">
        <v>4067</v>
      </c>
      <c r="DK12" s="406">
        <v>0</v>
      </c>
      <c r="DL12" s="519">
        <f t="shared" ref="DL12:DL25" si="11">ROUND(((DK12-(DK12/6))/$DD$3)*$DE$3,2)</f>
        <v>0</v>
      </c>
      <c r="DM12" s="520"/>
      <c r="DN12" s="521">
        <f t="shared" ref="DN12:DN19" si="12">IF(DM12="",DL12,
IF(AND($DK$10&gt;=VLOOKUP(DM12,$DJ$5:$DN$9,2,0),$DK$10&lt;=VLOOKUP(DM12,$DJ$5:$DN$9,3,0)),
(DL12*(1-VLOOKUP(DM12,$DJ$5:$DN$9,4,0))),
DL12))</f>
        <v>0</v>
      </c>
      <c r="DP12" s="405" t="s">
        <v>631</v>
      </c>
      <c r="DQ12" s="406">
        <v>0</v>
      </c>
      <c r="DR12" s="519">
        <f t="shared" ref="DR12:DR73" si="13">ROUND(((DQ12-(DQ12/6))/$DD$3)*$DE$3,2)</f>
        <v>0</v>
      </c>
      <c r="DS12" s="520"/>
      <c r="DT12" s="521">
        <f t="shared" ref="DT12:DT91" si="14">IF(DS12="",DR12,
IF(AND($DQ$10&gt;=VLOOKUP(DS12,$DP$5:$DT$9,2,0),$DQ$10&lt;=VLOOKUP(DS12,$DP$5:$DT$9,3,0)),
(DR12*(1-VLOOKUP(DS12,$DP$5:$DT$9,4,0))),
DR12))</f>
        <v>0</v>
      </c>
      <c r="DU12" s="166"/>
      <c r="DV12" s="736" t="s">
        <v>4107</v>
      </c>
      <c r="DW12" s="105">
        <v>0</v>
      </c>
      <c r="DX12" s="403">
        <f t="shared" ref="DX12:DX59" si="15">ROUND(((DW12-(DW12/6))/$DD$3)*$DE$3,2)</f>
        <v>0</v>
      </c>
      <c r="DY12" s="514"/>
      <c r="DZ12" s="511">
        <f t="shared" ref="DZ12:DZ59" si="16">IF(DY12="",DX12,
IF(AND($DW$10&gt;=VLOOKUP(DY12,$DV$5:$DZ$9,2,0),$DW$10&lt;=VLOOKUP(DY12,$DV$5:$DZ$9,3,0)),
(DX12*(1-VLOOKUP(DY12,$DV$5:$DZ$9,4,0))),
DX12))</f>
        <v>0</v>
      </c>
      <c r="EB12" s="162" t="s">
        <v>900</v>
      </c>
      <c r="EC12" s="163">
        <v>0</v>
      </c>
      <c r="ED12" s="537">
        <f t="shared" ref="ED12:ED31" si="17">ROUND(((EC12-(EC12/6))/$DD$3)*$DE$3,2)</f>
        <v>0</v>
      </c>
      <c r="EE12" s="529"/>
      <c r="EF12" s="530">
        <f t="shared" ref="EF12:EF31" si="18">IF(EE12="",ED12,
IF(AND($EC$10&gt;=VLOOKUP(EE12,$EB$5:$EF$9,2,0),$EC$10&lt;=VLOOKUP(EE12,$EB$5:$EF$9,3,0)),
(ED12*(1-VLOOKUP(EE12,$EB$5:$EF$9,4,0))),
ED12))</f>
        <v>0</v>
      </c>
      <c r="EG12" s="165"/>
      <c r="EH12" s="738" t="s">
        <v>4906</v>
      </c>
      <c r="EI12" s="166">
        <v>0</v>
      </c>
      <c r="EJ12" s="522">
        <f t="shared" ref="EJ12:EJ44" si="19">ROUND(((EI12-(EI12/6))/$DD$3)*$DE$3,2)</f>
        <v>0</v>
      </c>
      <c r="EK12" s="523"/>
      <c r="EL12" s="524">
        <f t="shared" ref="EL12:EL20" si="20">IF(EK12="",EJ12,
IF(AND($EI$10&gt;=VLOOKUP(EK12,$EH$5:$EL$9,2,0),$EI$10&lt;=VLOOKUP(EK12,$EH$5:$EL$9,3,0)),
(EJ12*(1-VLOOKUP(EK12,$EH$5:$EL$9,4,0))),
EJ12))</f>
        <v>0</v>
      </c>
    </row>
    <row r="13" spans="2:142">
      <c r="B13" s="30"/>
      <c r="C13" s="409" t="s">
        <v>481</v>
      </c>
      <c r="D13" s="419" t="s">
        <v>728</v>
      </c>
      <c r="E13" s="29"/>
      <c r="G13" s="21"/>
      <c r="H13" s="21"/>
      <c r="I13" s="21"/>
      <c r="J13" s="21"/>
      <c r="K13" s="21"/>
      <c r="L13" s="154" t="s">
        <v>561</v>
      </c>
      <c r="M13" s="21" t="s">
        <v>481</v>
      </c>
      <c r="N13" s="159" t="s">
        <v>2079</v>
      </c>
      <c r="O13" s="819" t="s">
        <v>728</v>
      </c>
      <c r="P13" s="21"/>
      <c r="Q13" s="154" t="s">
        <v>561</v>
      </c>
      <c r="R13" s="151" t="s">
        <v>182</v>
      </c>
      <c r="S13" s="159" t="s">
        <v>1021</v>
      </c>
      <c r="T13" s="21"/>
      <c r="U13" s="752" t="s">
        <v>3176</v>
      </c>
      <c r="V13" s="151" t="s">
        <v>240</v>
      </c>
      <c r="W13" s="159" t="s">
        <v>2202</v>
      </c>
      <c r="X13" s="21"/>
      <c r="Y13" s="752" t="s">
        <v>3845</v>
      </c>
      <c r="Z13" s="493">
        <v>112</v>
      </c>
      <c r="AA13" s="435" t="s">
        <v>4911</v>
      </c>
      <c r="AB13" s="21"/>
      <c r="AC13" s="45" t="s">
        <v>316</v>
      </c>
      <c r="AD13" s="98" t="s">
        <v>166</v>
      </c>
      <c r="AE13" s="94" t="s">
        <v>752</v>
      </c>
      <c r="AF13" s="21"/>
      <c r="AG13" s="45" t="s">
        <v>459</v>
      </c>
      <c r="AH13" s="98" t="s">
        <v>168</v>
      </c>
      <c r="AI13" s="94" t="s">
        <v>2261</v>
      </c>
      <c r="AJ13" s="21"/>
      <c r="AK13" s="581" t="s">
        <v>1749</v>
      </c>
      <c r="AL13" s="580"/>
      <c r="AM13" s="582"/>
      <c r="AN13" s="21"/>
      <c r="AO13" s="595" t="s">
        <v>1749</v>
      </c>
      <c r="AP13" s="596"/>
      <c r="AQ13" s="597"/>
      <c r="AU13" s="136" t="s">
        <v>608</v>
      </c>
      <c r="AV13" s="148" t="s">
        <v>182</v>
      </c>
      <c r="AW13" s="138" t="str">
        <f t="shared" si="0"/>
        <v>ДП СТАНДАРТ.1/Б</v>
      </c>
      <c r="AY13" s="234" t="s">
        <v>560</v>
      </c>
      <c r="AZ13" s="137" t="s">
        <v>1721</v>
      </c>
      <c r="BA13" s="138" t="str">
        <f t="shared" si="1"/>
        <v>ДП СТАНДАРТ.1/А.б/з фальц</v>
      </c>
      <c r="BB13" s="121"/>
      <c r="BC13" s="224" t="s">
        <v>1719</v>
      </c>
      <c r="BD13" s="62" t="s">
        <v>3177</v>
      </c>
      <c r="BE13" s="139" t="str">
        <f>CONCATENATE(BC13,".",BD13)</f>
        <v>фальц.неробоча</v>
      </c>
      <c r="BF13" s="121"/>
      <c r="BG13" s="146" t="s">
        <v>3174</v>
      </c>
      <c r="BH13" s="137" t="s">
        <v>322</v>
      </c>
      <c r="BI13" s="138" t="str">
        <f t="shared" si="2"/>
        <v>робоча.70</v>
      </c>
      <c r="BK13" s="44" t="s">
        <v>608</v>
      </c>
      <c r="BL13" s="62" t="s">
        <v>1893</v>
      </c>
      <c r="BM13" s="139" t="str">
        <f>CONCATENATE(BK13,".",BL13)</f>
        <v>ДП СТАНДАРТ.Uni-Mat</v>
      </c>
      <c r="BO13" s="146"/>
      <c r="BP13" s="21"/>
      <c r="BQ13" s="138"/>
      <c r="BS13" s="44" t="s">
        <v>560</v>
      </c>
      <c r="BT13" s="254" t="s">
        <v>316</v>
      </c>
      <c r="BU13" s="139" t="str">
        <f t="shared" si="4"/>
        <v>ДП СТАНДАРТ.1/А.ДСП тр.</v>
      </c>
      <c r="BW13" s="165" t="s">
        <v>560</v>
      </c>
      <c r="BX13" s="247" t="s">
        <v>458</v>
      </c>
      <c r="BY13" s="138" t="str">
        <f>CONCATENATE(BW13,".",BX13)</f>
        <v>ДП СТАНДАРТ.1/А.Сатин</v>
      </c>
      <c r="CA13" s="742" t="s">
        <v>3175</v>
      </c>
      <c r="CB13" s="21"/>
      <c r="CC13" s="21"/>
      <c r="CE13" s="742" t="s">
        <v>3175</v>
      </c>
      <c r="CF13" s="137" t="s">
        <v>4261</v>
      </c>
      <c r="CG13" s="138" t="str">
        <f t="shared" si="6"/>
        <v>ДП СТАНДАРТ.фальц.робоча.ВВ</v>
      </c>
      <c r="CI13" s="145" t="s">
        <v>5748</v>
      </c>
      <c r="CJ13" s="134" t="s">
        <v>4827</v>
      </c>
      <c r="CK13" s="135" t="str">
        <f t="shared" ref="CK13:CK18" si="21">CONCATENATE(CI13,".",CJ13)</f>
        <v>Stand цл Лів +2завіс.Ліва</v>
      </c>
      <c r="CM13" s="742" t="s">
        <v>3175</v>
      </c>
      <c r="CN13" s="137" t="s">
        <v>840</v>
      </c>
      <c r="CO13" s="138" t="str">
        <f t="shared" si="7"/>
        <v>ДП СТАНДАРТ.фальц.робоча.Standard</v>
      </c>
      <c r="CQ13" s="45" t="s">
        <v>840</v>
      </c>
      <c r="CR13" s="47" t="s">
        <v>528</v>
      </c>
      <c r="CS13" s="70" t="str">
        <f>CONCATENATE(CQ13,".",CR13)</f>
        <v>Standard.1</v>
      </c>
      <c r="CU13" s="143" t="s">
        <v>975</v>
      </c>
      <c r="CV13" s="216"/>
      <c r="CW13" s="138"/>
      <c r="CY13" s="143" t="s">
        <v>840</v>
      </c>
      <c r="CZ13" s="216" t="s">
        <v>549</v>
      </c>
      <c r="DA13" s="138" t="s">
        <v>855</v>
      </c>
      <c r="DD13" s="738" t="s">
        <v>4907</v>
      </c>
      <c r="DE13" s="166">
        <v>5620.0000000000009</v>
      </c>
      <c r="DF13" s="522">
        <f t="shared" si="9"/>
        <v>5620</v>
      </c>
      <c r="DG13" s="523"/>
      <c r="DH13" s="524">
        <f t="shared" si="10"/>
        <v>5620</v>
      </c>
      <c r="DJ13" s="108" t="s">
        <v>228</v>
      </c>
      <c r="DK13" s="164">
        <v>1300</v>
      </c>
      <c r="DL13" s="531">
        <f t="shared" si="11"/>
        <v>1300</v>
      </c>
      <c r="DM13" s="526"/>
      <c r="DN13" s="527">
        <f t="shared" si="12"/>
        <v>1300</v>
      </c>
      <c r="DP13" s="165" t="s">
        <v>632</v>
      </c>
      <c r="DQ13" s="166">
        <v>340</v>
      </c>
      <c r="DR13" s="522">
        <f t="shared" si="13"/>
        <v>340</v>
      </c>
      <c r="DS13" s="523"/>
      <c r="DT13" s="524">
        <f t="shared" si="14"/>
        <v>340</v>
      </c>
      <c r="DU13" s="166"/>
      <c r="DV13" s="737" t="s">
        <v>5760</v>
      </c>
      <c r="DW13" s="163">
        <v>0</v>
      </c>
      <c r="DX13" s="528">
        <f t="shared" si="15"/>
        <v>0</v>
      </c>
      <c r="DY13" s="529"/>
      <c r="DZ13" s="530">
        <f t="shared" si="16"/>
        <v>0</v>
      </c>
      <c r="EB13" s="738" t="s">
        <v>4262</v>
      </c>
      <c r="EC13" s="166">
        <v>250</v>
      </c>
      <c r="ED13" s="522">
        <f t="shared" si="17"/>
        <v>250</v>
      </c>
      <c r="EE13" s="523"/>
      <c r="EF13" s="524">
        <f t="shared" si="18"/>
        <v>250</v>
      </c>
      <c r="EG13" s="165"/>
      <c r="EH13" s="739" t="s">
        <v>4908</v>
      </c>
      <c r="EI13" s="164">
        <v>730</v>
      </c>
      <c r="EJ13" s="531">
        <f t="shared" si="19"/>
        <v>730</v>
      </c>
      <c r="EK13" s="526"/>
      <c r="EL13" s="527">
        <f t="shared" si="20"/>
        <v>730</v>
      </c>
    </row>
    <row r="14" spans="2:142">
      <c r="B14" s="30"/>
      <c r="C14" s="410" t="s">
        <v>482</v>
      </c>
      <c r="D14" s="417" t="s">
        <v>728</v>
      </c>
      <c r="E14" s="29"/>
      <c r="G14" s="21"/>
      <c r="H14" s="21"/>
      <c r="I14" s="21"/>
      <c r="J14" s="21"/>
      <c r="K14" s="21"/>
      <c r="L14" s="154" t="s">
        <v>562</v>
      </c>
      <c r="M14" s="21" t="s">
        <v>481</v>
      </c>
      <c r="N14" s="159" t="s">
        <v>2079</v>
      </c>
      <c r="O14" s="819" t="s">
        <v>728</v>
      </c>
      <c r="P14" s="21"/>
      <c r="Q14" s="154" t="s">
        <v>562</v>
      </c>
      <c r="R14" s="151" t="s">
        <v>183</v>
      </c>
      <c r="S14" s="159" t="s">
        <v>1022</v>
      </c>
      <c r="T14" s="21"/>
      <c r="U14" s="752" t="s">
        <v>3178</v>
      </c>
      <c r="V14" s="151" t="s">
        <v>241</v>
      </c>
      <c r="W14" s="159" t="s">
        <v>2203</v>
      </c>
      <c r="X14" s="21"/>
      <c r="Y14" s="142" t="s">
        <v>456</v>
      </c>
      <c r="Z14" s="495">
        <v>109</v>
      </c>
      <c r="AA14" s="100" t="s">
        <v>2232</v>
      </c>
      <c r="AB14" s="21"/>
      <c r="AC14" s="756" t="s">
        <v>4078</v>
      </c>
      <c r="AD14" s="98" t="s">
        <v>167</v>
      </c>
      <c r="AE14" s="94" t="s">
        <v>2260</v>
      </c>
      <c r="AF14" s="21"/>
      <c r="AG14" s="45" t="s">
        <v>458</v>
      </c>
      <c r="AH14" s="98" t="s">
        <v>169</v>
      </c>
      <c r="AI14" s="94" t="s">
        <v>2262</v>
      </c>
      <c r="AJ14" s="21"/>
      <c r="AK14" s="777" t="s">
        <v>4108</v>
      </c>
      <c r="AL14" s="151" t="s">
        <v>167</v>
      </c>
      <c r="AM14" s="584" t="s">
        <v>2270</v>
      </c>
      <c r="AN14" s="21"/>
      <c r="AO14" s="777" t="s">
        <v>4109</v>
      </c>
      <c r="AP14" s="101" t="s">
        <v>176</v>
      </c>
      <c r="AQ14" s="589" t="s">
        <v>2325</v>
      </c>
      <c r="AU14" s="136" t="s">
        <v>608</v>
      </c>
      <c r="AV14" s="148" t="s">
        <v>183</v>
      </c>
      <c r="AW14" s="138" t="str">
        <f t="shared" si="0"/>
        <v>ДП СТАНДАРТ.2/А</v>
      </c>
      <c r="AY14" s="224" t="s">
        <v>560</v>
      </c>
      <c r="AZ14" s="62" t="s">
        <v>1720</v>
      </c>
      <c r="BA14" s="139" t="str">
        <f t="shared" si="1"/>
        <v>ДП СТАНДАРТ.1/А.купе</v>
      </c>
      <c r="BB14" s="121"/>
      <c r="BC14" s="55" t="s">
        <v>1721</v>
      </c>
      <c r="BD14" s="56" t="s">
        <v>3174</v>
      </c>
      <c r="BE14" s="70" t="str">
        <f>CONCATENATE(BC14,".",BD14)</f>
        <v>б/з фальц.робоча</v>
      </c>
      <c r="BF14" s="121"/>
      <c r="BG14" s="146" t="s">
        <v>3174</v>
      </c>
      <c r="BH14" s="137" t="s">
        <v>323</v>
      </c>
      <c r="BI14" s="138" t="str">
        <f t="shared" si="2"/>
        <v>робоча.80</v>
      </c>
      <c r="BK14" s="44" t="s">
        <v>608</v>
      </c>
      <c r="BL14" s="137" t="s">
        <v>409</v>
      </c>
      <c r="BM14" s="139" t="str">
        <f>CONCATENATE(BK14,".",BL14)</f>
        <v>ДП СТАНДАРТ.Verto-Cell</v>
      </c>
      <c r="BO14" s="146" t="s">
        <v>4904</v>
      </c>
      <c r="BP14" s="478" t="s">
        <v>3837</v>
      </c>
      <c r="BQ14" s="138" t="str">
        <f t="shared" ref="BQ14:BQ19" si="22">CONCATENATE(BO14,".",BP14)</f>
        <v>Сімплекс.105 Білий</v>
      </c>
      <c r="BS14" s="133" t="s">
        <v>561</v>
      </c>
      <c r="BT14" s="101" t="s">
        <v>4066</v>
      </c>
      <c r="BU14" s="135" t="str">
        <f t="shared" si="4"/>
        <v>ДП СТАНДАРТ.1/Б.Сотове</v>
      </c>
      <c r="BW14" s="165" t="s">
        <v>560</v>
      </c>
      <c r="BX14" s="770" t="s">
        <v>3851</v>
      </c>
      <c r="BY14" s="138" t="str">
        <f t="shared" si="5"/>
        <v>ДП СТАНДАРТ.1/А.Графіт</v>
      </c>
      <c r="CA14" s="742" t="s">
        <v>3175</v>
      </c>
      <c r="CB14" s="783" t="s">
        <v>5748</v>
      </c>
      <c r="CC14" s="138" t="str">
        <f t="shared" ref="CC14:CC19" si="23">CONCATENATE(CA14,".",CB14)</f>
        <v>ДП СТАНДАРТ.фальц.робоча.Stand цл Лів +2завіс</v>
      </c>
      <c r="CE14" s="424" t="s">
        <v>3175</v>
      </c>
      <c r="CF14" s="62" t="s">
        <v>739</v>
      </c>
      <c r="CG14" s="139" t="str">
        <f t="shared" si="6"/>
        <v>ДП СТАНДАРТ.фальц.робоча.ВП</v>
      </c>
      <c r="CI14" s="147" t="s">
        <v>5749</v>
      </c>
      <c r="CJ14" s="62" t="s">
        <v>4857</v>
      </c>
      <c r="CK14" s="139" t="str">
        <f t="shared" si="21"/>
        <v>Stand цл Пр +2завіс.Права</v>
      </c>
      <c r="CM14" s="742" t="s">
        <v>3175</v>
      </c>
      <c r="CN14" s="137" t="s">
        <v>841</v>
      </c>
      <c r="CO14" s="138" t="str">
        <f t="shared" si="7"/>
        <v>ДП СТАНДАРТ.фальц.робоча.Verto-FIT</v>
      </c>
      <c r="CQ14" s="142" t="s">
        <v>841</v>
      </c>
      <c r="CR14" s="156" t="s">
        <v>469</v>
      </c>
      <c r="CS14" s="135" t="str">
        <f t="shared" si="8"/>
        <v>Verto-FIT.A</v>
      </c>
      <c r="CU14" s="143" t="s">
        <v>975</v>
      </c>
      <c r="CV14" s="157" t="s">
        <v>844</v>
      </c>
      <c r="CW14" s="138" t="str">
        <f>CONCATENATE(CU14,".",CV14)</f>
        <v>Standard-MDF.М60 1кт</v>
      </c>
      <c r="CY14" s="143" t="s">
        <v>841</v>
      </c>
      <c r="CZ14" s="216" t="s">
        <v>548</v>
      </c>
      <c r="DA14" s="138" t="s">
        <v>855</v>
      </c>
      <c r="DD14" s="738" t="s">
        <v>4910</v>
      </c>
      <c r="DE14" s="166">
        <v>5310</v>
      </c>
      <c r="DF14" s="522">
        <f t="shared" si="9"/>
        <v>5310</v>
      </c>
      <c r="DG14" s="523"/>
      <c r="DH14" s="524">
        <f t="shared" si="10"/>
        <v>5310</v>
      </c>
      <c r="DJ14" s="738" t="s">
        <v>4068</v>
      </c>
      <c r="DK14" s="166">
        <v>0</v>
      </c>
      <c r="DL14" s="522">
        <f t="shared" si="11"/>
        <v>0</v>
      </c>
      <c r="DM14" s="523"/>
      <c r="DN14" s="524">
        <f t="shared" si="12"/>
        <v>0</v>
      </c>
      <c r="DP14" s="738" t="s">
        <v>3852</v>
      </c>
      <c r="DQ14" s="166">
        <v>550</v>
      </c>
      <c r="DR14" s="522">
        <f>ROUND(((DQ14-(DQ14/6))/$DD$3)*$DE$3,2)</f>
        <v>550</v>
      </c>
      <c r="DS14" s="523"/>
      <c r="DT14" s="524">
        <f>IF(DS14="",DR14,
IF(AND($DQ$10&gt;=VLOOKUP(DS14,$DP$5:$DT$9,2,0),$DQ$10&lt;=VLOOKUP(DS14,$DP$5:$DT$9,3,0)),
(DR14*(1-VLOOKUP(DS14,$DP$5:$DT$9,4,0))),
DR14))</f>
        <v>550</v>
      </c>
      <c r="DU14" s="166"/>
      <c r="DV14" s="737" t="s">
        <v>5761</v>
      </c>
      <c r="DW14" s="163">
        <v>0</v>
      </c>
      <c r="DX14" s="528">
        <f>ROUND(((DW14-(DW14/6))/$DD$3)*$DE$3,2)</f>
        <v>0</v>
      </c>
      <c r="DY14" s="529"/>
      <c r="DZ14" s="530">
        <f>IF(DY14="",DX14,
IF(AND($DW$10&gt;=VLOOKUP(DY14,$DV$5:$DZ$9,2,0),$DW$10&lt;=VLOOKUP(DY14,$DV$5:$DZ$9,3,0)),
(DX14*(1-VLOOKUP(DY14,$DV$5:$DZ$9,4,0))),
DX14))</f>
        <v>0</v>
      </c>
      <c r="EB14" s="108" t="s">
        <v>1003</v>
      </c>
      <c r="EC14" s="164">
        <v>170</v>
      </c>
      <c r="ED14" s="531">
        <f t="shared" si="17"/>
        <v>170</v>
      </c>
      <c r="EE14" s="526"/>
      <c r="EF14" s="527">
        <f t="shared" si="18"/>
        <v>170</v>
      </c>
      <c r="EG14" s="165"/>
      <c r="EH14" s="738" t="s">
        <v>3335</v>
      </c>
      <c r="EI14" s="166">
        <v>0</v>
      </c>
      <c r="EJ14" s="522">
        <f t="shared" si="19"/>
        <v>0</v>
      </c>
      <c r="EK14" s="523"/>
      <c r="EL14" s="524">
        <f t="shared" si="20"/>
        <v>0</v>
      </c>
    </row>
    <row r="15" spans="2:142">
      <c r="B15" s="30"/>
      <c r="C15" s="410" t="s">
        <v>2346</v>
      </c>
      <c r="D15" s="417" t="s">
        <v>728</v>
      </c>
      <c r="E15" s="29"/>
      <c r="G15" s="21"/>
      <c r="H15" s="21"/>
      <c r="I15" s="21"/>
      <c r="J15" s="21"/>
      <c r="K15" s="21"/>
      <c r="L15" s="154" t="s">
        <v>563</v>
      </c>
      <c r="M15" s="21" t="s">
        <v>481</v>
      </c>
      <c r="N15" s="159" t="s">
        <v>2079</v>
      </c>
      <c r="O15" s="819" t="s">
        <v>728</v>
      </c>
      <c r="P15" s="21"/>
      <c r="Q15" s="154" t="s">
        <v>563</v>
      </c>
      <c r="R15" s="151" t="s">
        <v>184</v>
      </c>
      <c r="S15" s="159" t="s">
        <v>1023</v>
      </c>
      <c r="T15" s="21"/>
      <c r="U15" s="750" t="s">
        <v>3179</v>
      </c>
      <c r="V15" s="152" t="s">
        <v>242</v>
      </c>
      <c r="W15" s="160" t="s">
        <v>2204</v>
      </c>
      <c r="X15" s="21"/>
      <c r="Y15" s="143" t="s">
        <v>457</v>
      </c>
      <c r="Z15" s="493">
        <v>110</v>
      </c>
      <c r="AA15" s="159" t="s">
        <v>2233</v>
      </c>
      <c r="AB15" s="21"/>
      <c r="AC15" s="756" t="s">
        <v>4086</v>
      </c>
      <c r="AD15" s="98" t="s">
        <v>165</v>
      </c>
      <c r="AE15" s="94" t="s">
        <v>751</v>
      </c>
      <c r="AF15" s="21"/>
      <c r="AG15" s="756" t="s">
        <v>4203</v>
      </c>
      <c r="AH15" s="98" t="s">
        <v>170</v>
      </c>
      <c r="AI15" s="94" t="s">
        <v>2263</v>
      </c>
      <c r="AJ15" s="21"/>
      <c r="AK15" s="777" t="s">
        <v>4263</v>
      </c>
      <c r="AL15" s="151" t="s">
        <v>1750</v>
      </c>
      <c r="AM15" s="584" t="s">
        <v>2271</v>
      </c>
      <c r="AN15" s="21"/>
      <c r="AO15" s="591"/>
      <c r="AP15" s="475"/>
      <c r="AQ15" s="592"/>
      <c r="AU15" s="136" t="s">
        <v>608</v>
      </c>
      <c r="AV15" s="148" t="s">
        <v>184</v>
      </c>
      <c r="AW15" s="138" t="str">
        <f t="shared" si="0"/>
        <v>ДП СТАНДАРТ.2/Б</v>
      </c>
      <c r="AY15" s="234" t="s">
        <v>561</v>
      </c>
      <c r="AZ15" s="137" t="s">
        <v>1719</v>
      </c>
      <c r="BA15" s="138" t="str">
        <f>CONCATENATE(AY15,".",AZ15)</f>
        <v>ДП СТАНДАРТ.1/Б.фальц</v>
      </c>
      <c r="BB15" s="121"/>
      <c r="BC15" s="55" t="s">
        <v>1720</v>
      </c>
      <c r="BD15" s="56" t="s">
        <v>3174</v>
      </c>
      <c r="BE15" s="70" t="str">
        <f>CONCATENATE(BC15,".",BD15)</f>
        <v>купе.робоча</v>
      </c>
      <c r="BF15" s="121"/>
      <c r="BG15" s="147" t="s">
        <v>3174</v>
      </c>
      <c r="BH15" s="62" t="s">
        <v>324</v>
      </c>
      <c r="BI15" s="139" t="str">
        <f t="shared" si="2"/>
        <v>робоча.90</v>
      </c>
      <c r="BK15" s="133" t="s">
        <v>609</v>
      </c>
      <c r="BL15" s="134" t="s">
        <v>4904</v>
      </c>
      <c r="BM15" s="135" t="str">
        <f>CONCATENATE(BK15,".",BL15)</f>
        <v>ДП КУПАВА.Сімплекс</v>
      </c>
      <c r="BO15" s="146" t="s">
        <v>4904</v>
      </c>
      <c r="BP15" s="151" t="s">
        <v>3845</v>
      </c>
      <c r="BQ15" s="138" t="str">
        <f t="shared" si="22"/>
        <v>Сімплекс.112 Сірий</v>
      </c>
      <c r="BS15" s="44" t="s">
        <v>561</v>
      </c>
      <c r="BT15" s="254" t="s">
        <v>316</v>
      </c>
      <c r="BU15" s="139" t="str">
        <f t="shared" si="4"/>
        <v>ДП СТАНДАРТ.1/Б.ДСП тр.</v>
      </c>
      <c r="BW15" s="108" t="s">
        <v>560</v>
      </c>
      <c r="BX15" s="248" t="s">
        <v>832</v>
      </c>
      <c r="BY15" s="139" t="str">
        <f t="shared" si="5"/>
        <v>ДП СТАНДАРТ.1/А.Бронза</v>
      </c>
      <c r="CA15" s="742" t="s">
        <v>3175</v>
      </c>
      <c r="CB15" s="783" t="s">
        <v>5749</v>
      </c>
      <c r="CC15" s="138" t="str">
        <f t="shared" si="23"/>
        <v>ДП СТАНДАРТ.фальц.робоча.Stand цл Пр +2завіс</v>
      </c>
      <c r="CE15" s="742" t="s">
        <v>3180</v>
      </c>
      <c r="CF15" s="137"/>
      <c r="CG15" s="138" t="str">
        <f t="shared" si="6"/>
        <v>ДП СТАНДАРТ.фальц.неробоча.</v>
      </c>
      <c r="CI15" s="146" t="s">
        <v>5750</v>
      </c>
      <c r="CJ15" s="137" t="s">
        <v>4827</v>
      </c>
      <c r="CK15" s="138" t="str">
        <f t="shared" si="21"/>
        <v>Stand кл Лів +2завіс.Ліва</v>
      </c>
      <c r="CM15" s="424" t="s">
        <v>3175</v>
      </c>
      <c r="CN15" s="62" t="s">
        <v>371</v>
      </c>
      <c r="CO15" s="139" t="str">
        <f t="shared" si="7"/>
        <v>ДП СТАНДАРТ.фальц.робоча.Verto-FIT Plus</v>
      </c>
      <c r="CQ15" s="143" t="s">
        <v>841</v>
      </c>
      <c r="CR15" s="157" t="s">
        <v>470</v>
      </c>
      <c r="CS15" s="138" t="str">
        <f t="shared" si="8"/>
        <v>Verto-FIT.B</v>
      </c>
      <c r="CU15" s="143" t="s">
        <v>975</v>
      </c>
      <c r="CV15" s="157" t="s">
        <v>845</v>
      </c>
      <c r="CW15" s="138" t="str">
        <f>CONCATENATE(CU15,".",CV15)</f>
        <v>Standard-MDF.М60 2кт</v>
      </c>
      <c r="CY15" s="143" t="s">
        <v>371</v>
      </c>
      <c r="CZ15" s="157" t="s">
        <v>352</v>
      </c>
      <c r="DA15" s="138" t="s">
        <v>855</v>
      </c>
      <c r="DD15" s="738" t="s">
        <v>4912</v>
      </c>
      <c r="DE15" s="166">
        <v>5620.0000000000009</v>
      </c>
      <c r="DF15" s="522">
        <f t="shared" si="9"/>
        <v>5620</v>
      </c>
      <c r="DG15" s="523"/>
      <c r="DH15" s="524">
        <f t="shared" si="10"/>
        <v>5620</v>
      </c>
      <c r="DJ15" s="108" t="s">
        <v>224</v>
      </c>
      <c r="DK15" s="164">
        <v>1300</v>
      </c>
      <c r="DL15" s="531">
        <f t="shared" si="11"/>
        <v>1300</v>
      </c>
      <c r="DM15" s="526"/>
      <c r="DN15" s="527">
        <f t="shared" si="12"/>
        <v>1300</v>
      </c>
      <c r="DP15" s="108" t="s">
        <v>1811</v>
      </c>
      <c r="DQ15" s="164">
        <v>550</v>
      </c>
      <c r="DR15" s="525">
        <f t="shared" si="13"/>
        <v>550</v>
      </c>
      <c r="DS15" s="526"/>
      <c r="DT15" s="527">
        <f t="shared" si="14"/>
        <v>550</v>
      </c>
      <c r="DU15" s="166"/>
      <c r="DV15" s="738" t="s">
        <v>5762</v>
      </c>
      <c r="DW15" s="166">
        <v>0</v>
      </c>
      <c r="DX15" s="522">
        <f t="shared" si="15"/>
        <v>0</v>
      </c>
      <c r="DY15" s="523"/>
      <c r="DZ15" s="524">
        <f t="shared" si="16"/>
        <v>0</v>
      </c>
      <c r="EB15" s="165" t="s">
        <v>894</v>
      </c>
      <c r="EC15" s="166">
        <v>0</v>
      </c>
      <c r="ED15" s="522">
        <f t="shared" si="17"/>
        <v>0</v>
      </c>
      <c r="EE15" s="523"/>
      <c r="EF15" s="530">
        <f t="shared" si="18"/>
        <v>0</v>
      </c>
      <c r="EG15" s="165"/>
      <c r="EH15" s="739" t="s">
        <v>3336</v>
      </c>
      <c r="EI15" s="164">
        <v>730</v>
      </c>
      <c r="EJ15" s="531">
        <f t="shared" si="19"/>
        <v>730</v>
      </c>
      <c r="EK15" s="526"/>
      <c r="EL15" s="527">
        <f t="shared" si="20"/>
        <v>730</v>
      </c>
    </row>
    <row r="16" spans="2:142">
      <c r="B16" s="30"/>
      <c r="C16" s="410" t="s">
        <v>2407</v>
      </c>
      <c r="D16" s="417" t="s">
        <v>728</v>
      </c>
      <c r="E16" s="29"/>
      <c r="G16" s="21"/>
      <c r="H16" s="21"/>
      <c r="I16" s="21"/>
      <c r="J16" s="21"/>
      <c r="K16" s="21"/>
      <c r="L16" s="154" t="s">
        <v>564</v>
      </c>
      <c r="M16" s="21" t="s">
        <v>481</v>
      </c>
      <c r="N16" s="159" t="s">
        <v>2079</v>
      </c>
      <c r="O16" s="819" t="s">
        <v>728</v>
      </c>
      <c r="P16" s="21"/>
      <c r="Q16" s="154" t="s">
        <v>564</v>
      </c>
      <c r="R16" s="151" t="s">
        <v>185</v>
      </c>
      <c r="S16" s="159" t="s">
        <v>143</v>
      </c>
      <c r="T16" s="21"/>
      <c r="U16" s="752" t="s">
        <v>3181</v>
      </c>
      <c r="V16" s="151" t="s">
        <v>1729</v>
      </c>
      <c r="W16" s="159" t="s">
        <v>2205</v>
      </c>
      <c r="X16" s="21"/>
      <c r="Y16" s="752" t="s">
        <v>3846</v>
      </c>
      <c r="Z16" s="493">
        <v>115</v>
      </c>
      <c r="AA16" s="159" t="s">
        <v>2234</v>
      </c>
      <c r="AB16" s="21"/>
      <c r="AC16" s="45"/>
      <c r="AD16" s="98"/>
      <c r="AE16" s="94"/>
      <c r="AF16" s="21"/>
      <c r="AG16" s="756" t="s">
        <v>4220</v>
      </c>
      <c r="AH16" s="98" t="s">
        <v>171</v>
      </c>
      <c r="AI16" s="94" t="s">
        <v>2264</v>
      </c>
      <c r="AJ16" s="21"/>
      <c r="AK16" s="778" t="s">
        <v>4110</v>
      </c>
      <c r="AL16" s="152" t="s">
        <v>1751</v>
      </c>
      <c r="AM16" s="586" t="s">
        <v>2272</v>
      </c>
      <c r="AN16" s="21"/>
      <c r="AO16" s="789" t="s">
        <v>5736</v>
      </c>
      <c r="AP16" s="101" t="s">
        <v>5495</v>
      </c>
      <c r="AQ16" s="589" t="s">
        <v>2321</v>
      </c>
      <c r="AU16" s="136" t="s">
        <v>608</v>
      </c>
      <c r="AV16" s="148" t="s">
        <v>185</v>
      </c>
      <c r="AW16" s="138" t="str">
        <f t="shared" si="0"/>
        <v>ДП СТАНДАРТ.3/0</v>
      </c>
      <c r="AY16" s="234" t="s">
        <v>561</v>
      </c>
      <c r="AZ16" s="137" t="s">
        <v>1721</v>
      </c>
      <c r="BA16" s="138" t="str">
        <f>CONCATENATE(AY16,".",AZ16)</f>
        <v>ДП СТАНДАРТ.1/Б.б/з фальц</v>
      </c>
      <c r="BB16" s="121"/>
      <c r="BC16" s="432"/>
      <c r="BD16" s="222"/>
      <c r="BE16" s="223"/>
      <c r="BF16" s="121"/>
      <c r="BG16" s="145" t="s">
        <v>3177</v>
      </c>
      <c r="BH16" s="134" t="s">
        <v>321</v>
      </c>
      <c r="BI16" s="135" t="str">
        <f t="shared" si="2"/>
        <v>неробоча.60</v>
      </c>
      <c r="BK16" s="136" t="s">
        <v>609</v>
      </c>
      <c r="BL16" s="137" t="s">
        <v>409</v>
      </c>
      <c r="BM16" s="138" t="str">
        <f>CONCATENATE(BK16,".",BL16)</f>
        <v>ДП КУПАВА.Verto-Cell</v>
      </c>
      <c r="BS16" s="133" t="s">
        <v>562</v>
      </c>
      <c r="BT16" s="101" t="s">
        <v>4066</v>
      </c>
      <c r="BU16" s="135" t="str">
        <f t="shared" si="4"/>
        <v>ДП СТАНДАРТ.2/А.Сотове</v>
      </c>
      <c r="BW16" s="162" t="s">
        <v>561</v>
      </c>
      <c r="BX16" s="246" t="s">
        <v>459</v>
      </c>
      <c r="BY16" s="135" t="str">
        <f t="shared" si="5"/>
        <v>ДП СТАНДАРТ.1/Б.Кризет</v>
      </c>
      <c r="CA16" s="742" t="s">
        <v>3175</v>
      </c>
      <c r="CB16" s="783" t="s">
        <v>5750</v>
      </c>
      <c r="CC16" s="138" t="str">
        <f t="shared" si="23"/>
        <v>ДП СТАНДАРТ.фальц.робоча.Stand кл Лів +2завіс</v>
      </c>
      <c r="CE16" s="742" t="s">
        <v>3180</v>
      </c>
      <c r="CF16" s="137" t="s">
        <v>4261</v>
      </c>
      <c r="CG16" s="138" t="str">
        <f t="shared" si="6"/>
        <v>ДП СТАНДАРТ.фальц.неробоча.ВВ</v>
      </c>
      <c r="CI16" s="147" t="s">
        <v>5751</v>
      </c>
      <c r="CJ16" s="62" t="s">
        <v>4857</v>
      </c>
      <c r="CK16" s="139" t="str">
        <f t="shared" si="21"/>
        <v>Stand кл Пр +2завіс.Права</v>
      </c>
      <c r="CM16" s="742" t="s">
        <v>3180</v>
      </c>
      <c r="CN16" s="137" t="s">
        <v>4106</v>
      </c>
      <c r="CO16" s="70" t="str">
        <f t="shared" si="7"/>
        <v>ДП СТАНДАРТ.фальц.неробоча.(ні)</v>
      </c>
      <c r="CQ16" s="143" t="s">
        <v>841</v>
      </c>
      <c r="CR16" s="542" t="s">
        <v>1184</v>
      </c>
      <c r="CS16" s="138" t="str">
        <f>CONCATENATE(CQ16,".",CR16)</f>
        <v>Verto-FIT.B+</v>
      </c>
      <c r="CU16" s="143" t="s">
        <v>975</v>
      </c>
      <c r="CV16" s="542"/>
      <c r="CW16" s="239"/>
      <c r="CY16" s="144" t="s">
        <v>941</v>
      </c>
      <c r="CZ16" s="158" t="s">
        <v>1042</v>
      </c>
      <c r="DA16" s="139" t="s">
        <v>855</v>
      </c>
      <c r="DD16" s="738" t="s">
        <v>4913</v>
      </c>
      <c r="DE16" s="166">
        <v>4990</v>
      </c>
      <c r="DF16" s="522">
        <f t="shared" si="9"/>
        <v>4990</v>
      </c>
      <c r="DG16" s="523"/>
      <c r="DH16" s="524">
        <f t="shared" si="10"/>
        <v>4990</v>
      </c>
      <c r="DJ16" s="738" t="s">
        <v>4069</v>
      </c>
      <c r="DK16" s="166">
        <v>0</v>
      </c>
      <c r="DL16" s="522">
        <f t="shared" si="11"/>
        <v>0</v>
      </c>
      <c r="DM16" s="523"/>
      <c r="DN16" s="524">
        <f t="shared" si="12"/>
        <v>0</v>
      </c>
      <c r="DP16" s="162" t="s">
        <v>633</v>
      </c>
      <c r="DQ16" s="163">
        <v>0</v>
      </c>
      <c r="DR16" s="528">
        <f t="shared" si="13"/>
        <v>0</v>
      </c>
      <c r="DS16" s="529"/>
      <c r="DT16" s="530">
        <f t="shared" si="14"/>
        <v>0</v>
      </c>
      <c r="DU16" s="166"/>
      <c r="DV16" s="738" t="s">
        <v>5763</v>
      </c>
      <c r="DW16" s="166">
        <v>0</v>
      </c>
      <c r="DX16" s="522">
        <f>ROUND(((DW16-(DW16/6))/$DD$3)*$DE$3,2)</f>
        <v>0</v>
      </c>
      <c r="DY16" s="523"/>
      <c r="DZ16" s="524">
        <f>IF(DY16="",DX16,
IF(AND($DW$10&gt;=VLOOKUP(DY16,$DV$5:$DZ$9,2,0),$DW$10&lt;=VLOOKUP(DY16,$DV$5:$DZ$9,3,0)),
(DX16*(1-VLOOKUP(DY16,$DV$5:$DZ$9,4,0))),
DX16))</f>
        <v>0</v>
      </c>
      <c r="EB16" s="108" t="s">
        <v>63</v>
      </c>
      <c r="EC16" s="164">
        <v>170</v>
      </c>
      <c r="ED16" s="531">
        <f t="shared" si="17"/>
        <v>170</v>
      </c>
      <c r="EE16" s="526"/>
      <c r="EF16" s="527">
        <f t="shared" si="18"/>
        <v>170</v>
      </c>
      <c r="EG16" s="165"/>
      <c r="EH16" s="738" t="s">
        <v>3337</v>
      </c>
      <c r="EI16" s="166">
        <v>0</v>
      </c>
      <c r="EJ16" s="522">
        <f>ROUND(((EI16-(EI16/6))/$DD$3)*$DE$3,2)</f>
        <v>0</v>
      </c>
      <c r="EK16" s="523"/>
      <c r="EL16" s="524">
        <f>IF(EK16="",EJ16,
IF(AND($EI$10&gt;=VLOOKUP(EK16,$EH$5:$EL$9,2,0),$EI$10&lt;=VLOOKUP(EK16,$EH$5:$EL$9,3,0)),
(EJ16*(1-VLOOKUP(EK16,$EH$5:$EL$9,4,0))),
EJ16))</f>
        <v>0</v>
      </c>
    </row>
    <row r="17" spans="2:142">
      <c r="B17" s="30"/>
      <c r="C17" s="410" t="s">
        <v>2408</v>
      </c>
      <c r="D17" s="417" t="s">
        <v>728</v>
      </c>
      <c r="E17" s="29"/>
      <c r="G17" s="21"/>
      <c r="H17" s="21"/>
      <c r="I17" s="21"/>
      <c r="J17" s="21"/>
      <c r="K17" s="21"/>
      <c r="L17" s="154" t="s">
        <v>565</v>
      </c>
      <c r="M17" s="21" t="s">
        <v>481</v>
      </c>
      <c r="N17" s="159" t="s">
        <v>2079</v>
      </c>
      <c r="O17" s="819" t="s">
        <v>728</v>
      </c>
      <c r="P17" s="21"/>
      <c r="Q17" s="154" t="s">
        <v>565</v>
      </c>
      <c r="R17" s="151" t="s">
        <v>186</v>
      </c>
      <c r="S17" s="159" t="s">
        <v>144</v>
      </c>
      <c r="T17" s="21"/>
      <c r="U17" s="752" t="s">
        <v>3182</v>
      </c>
      <c r="V17" s="151" t="s">
        <v>1730</v>
      </c>
      <c r="W17" s="159" t="s">
        <v>2206</v>
      </c>
      <c r="X17" s="21"/>
      <c r="Y17" s="143" t="s">
        <v>382</v>
      </c>
      <c r="Z17" s="493">
        <v>116</v>
      </c>
      <c r="AA17" s="159" t="s">
        <v>2235</v>
      </c>
      <c r="AB17" s="21"/>
      <c r="AC17" s="45"/>
      <c r="AD17" s="98"/>
      <c r="AE17" s="94"/>
      <c r="AF17" s="21"/>
      <c r="AG17" s="756" t="s">
        <v>3851</v>
      </c>
      <c r="AH17" s="98" t="s">
        <v>833</v>
      </c>
      <c r="AI17" s="94" t="s">
        <v>2265</v>
      </c>
      <c r="AJ17" s="21"/>
      <c r="AK17" s="587"/>
      <c r="AL17" s="435"/>
      <c r="AM17" s="584"/>
      <c r="AN17" s="21"/>
      <c r="AO17" s="778" t="s">
        <v>5737</v>
      </c>
      <c r="AP17" s="152" t="s">
        <v>177</v>
      </c>
      <c r="AQ17" s="586" t="s">
        <v>2323</v>
      </c>
      <c r="AU17" s="136" t="s">
        <v>608</v>
      </c>
      <c r="AV17" s="148" t="s">
        <v>186</v>
      </c>
      <c r="AW17" s="138" t="str">
        <f t="shared" si="0"/>
        <v>ДП СТАНДАРТ.3/1</v>
      </c>
      <c r="AY17" s="224" t="s">
        <v>561</v>
      </c>
      <c r="AZ17" s="62" t="s">
        <v>1720</v>
      </c>
      <c r="BA17" s="139" t="str">
        <f>CONCATENATE(AY17,".",AZ17)</f>
        <v>ДП СТАНДАРТ.1/Б.купе</v>
      </c>
      <c r="BB17" s="121"/>
      <c r="BC17" s="133" t="s">
        <v>1722</v>
      </c>
      <c r="BD17" s="150" t="s">
        <v>3183</v>
      </c>
      <c r="BE17" s="135" t="str">
        <f>CONCATENATE(BC17,".",BD17)</f>
        <v>фальц..робоча.</v>
      </c>
      <c r="BF17" s="121"/>
      <c r="BG17" s="146" t="s">
        <v>3177</v>
      </c>
      <c r="BH17" s="137" t="s">
        <v>322</v>
      </c>
      <c r="BI17" s="138" t="str">
        <f t="shared" si="2"/>
        <v>неробоча.70</v>
      </c>
      <c r="BK17" s="44" t="s">
        <v>609</v>
      </c>
      <c r="BL17" s="62" t="s">
        <v>1893</v>
      </c>
      <c r="BM17" s="139" t="str">
        <f>CONCATENATE(BK17,".",BL17)</f>
        <v>ДП КУПАВА.Uni-Mat</v>
      </c>
      <c r="BO17" s="146" t="s">
        <v>409</v>
      </c>
      <c r="BP17" s="21" t="s">
        <v>457</v>
      </c>
      <c r="BQ17" s="138" t="str">
        <f t="shared" si="22"/>
        <v>Verto-Cell.110 Дуб золот.</v>
      </c>
      <c r="BS17" s="44" t="s">
        <v>562</v>
      </c>
      <c r="BT17" s="254" t="s">
        <v>316</v>
      </c>
      <c r="BU17" s="139" t="str">
        <f t="shared" si="4"/>
        <v>ДП СТАНДАРТ.2/А.ДСП тр.</v>
      </c>
      <c r="BW17" s="165" t="s">
        <v>561</v>
      </c>
      <c r="BX17" s="247" t="s">
        <v>458</v>
      </c>
      <c r="BY17" s="138" t="str">
        <f>CONCATENATE(BW17,".",BX17)</f>
        <v>ДП СТАНДАРТ.1/Б.Сатин</v>
      </c>
      <c r="CA17" s="742" t="s">
        <v>3175</v>
      </c>
      <c r="CB17" s="783" t="s">
        <v>5751</v>
      </c>
      <c r="CC17" s="138" t="str">
        <f t="shared" si="23"/>
        <v>ДП СТАНДАРТ.фальц.робоча.Stand кл Пр +2завіс</v>
      </c>
      <c r="CE17" s="424" t="s">
        <v>3180</v>
      </c>
      <c r="CF17" s="62" t="s">
        <v>739</v>
      </c>
      <c r="CG17" s="139" t="str">
        <f t="shared" si="6"/>
        <v>ДП СТАНДАРТ.фальц.неробоча.ВП</v>
      </c>
      <c r="CI17" s="146" t="s">
        <v>5752</v>
      </c>
      <c r="CJ17" s="137" t="s">
        <v>4827</v>
      </c>
      <c r="CK17" s="138" t="str">
        <f t="shared" si="21"/>
        <v>Stand ст Лів +2завіс.Ліва</v>
      </c>
      <c r="CM17" s="86" t="s">
        <v>3184</v>
      </c>
      <c r="CN17" s="56" t="s">
        <v>941</v>
      </c>
      <c r="CO17" s="70" t="str">
        <f t="shared" si="7"/>
        <v>ДП СТАНДАРТ.б/з фальц.робоча.Verto-FIT Comfort</v>
      </c>
      <c r="CQ17" s="143" t="s">
        <v>841</v>
      </c>
      <c r="CR17" s="157" t="s">
        <v>471</v>
      </c>
      <c r="CS17" s="138" t="str">
        <f t="shared" si="8"/>
        <v>Verto-FIT.C</v>
      </c>
      <c r="CU17" s="143" t="s">
        <v>975</v>
      </c>
      <c r="CV17" s="542" t="s">
        <v>1127</v>
      </c>
      <c r="CW17" s="138" t="str">
        <f>CONCATENATE(CU17,".",CV17)</f>
        <v>Standard-MDF.М80 1кт</v>
      </c>
      <c r="CY17" s="751" t="s">
        <v>4106</v>
      </c>
      <c r="CZ17" s="779" t="s">
        <v>4106</v>
      </c>
      <c r="DA17" s="235" t="s">
        <v>871</v>
      </c>
      <c r="DD17" s="738" t="s">
        <v>4914</v>
      </c>
      <c r="DE17" s="166">
        <v>4990</v>
      </c>
      <c r="DF17" s="522">
        <f t="shared" si="9"/>
        <v>4990</v>
      </c>
      <c r="DG17" s="523"/>
      <c r="DH17" s="524">
        <f t="shared" si="10"/>
        <v>4990</v>
      </c>
      <c r="DJ17" s="108" t="s">
        <v>226</v>
      </c>
      <c r="DK17" s="164">
        <v>1300</v>
      </c>
      <c r="DL17" s="531">
        <f t="shared" si="11"/>
        <v>1300</v>
      </c>
      <c r="DM17" s="526"/>
      <c r="DN17" s="527">
        <f t="shared" si="12"/>
        <v>1300</v>
      </c>
      <c r="DP17" s="165" t="s">
        <v>634</v>
      </c>
      <c r="DQ17" s="166">
        <v>340</v>
      </c>
      <c r="DR17" s="522">
        <f>ROUND(((DQ17-(DQ17/6))/$DD$3)*$DE$3,2)</f>
        <v>340</v>
      </c>
      <c r="DS17" s="523"/>
      <c r="DT17" s="524">
        <f>IF(DS17="",DR17,
IF(AND($DQ$10&gt;=VLOOKUP(DS17,$DP$5:$DT$9,2,0),$DQ$10&lt;=VLOOKUP(DS17,$DP$5:$DT$9,3,0)),
(DR17*(1-VLOOKUP(DS17,$DP$5:$DT$9,4,0))),
DR17))</f>
        <v>340</v>
      </c>
      <c r="DU17" s="166"/>
      <c r="DV17" s="738" t="s">
        <v>5764</v>
      </c>
      <c r="DW17" s="166">
        <v>0</v>
      </c>
      <c r="DX17" s="522">
        <f t="shared" si="15"/>
        <v>0</v>
      </c>
      <c r="DY17" s="523"/>
      <c r="DZ17" s="524">
        <f t="shared" si="16"/>
        <v>0</v>
      </c>
      <c r="EB17" s="162" t="s">
        <v>898</v>
      </c>
      <c r="EC17" s="163">
        <v>0</v>
      </c>
      <c r="ED17" s="537">
        <f t="shared" si="17"/>
        <v>0</v>
      </c>
      <c r="EE17" s="529"/>
      <c r="EF17" s="530">
        <f t="shared" si="18"/>
        <v>0</v>
      </c>
      <c r="EG17" s="165"/>
      <c r="EH17" s="739" t="s">
        <v>3338</v>
      </c>
      <c r="EI17" s="164">
        <v>730</v>
      </c>
      <c r="EJ17" s="531">
        <f>ROUND(((EI17-(EI17/6))/$DD$3)*$DE$3,2)</f>
        <v>730</v>
      </c>
      <c r="EK17" s="526"/>
      <c r="EL17" s="527">
        <f>IF(EK17="",EJ17,
IF(AND($EI$10&gt;=VLOOKUP(EK17,$EH$5:$EL$9,2,0),$EI$10&lt;=VLOOKUP(EK17,$EH$5:$EL$9,3,0)),
(EJ17*(1-VLOOKUP(EK17,$EH$5:$EL$9,4,0))),
EJ17))</f>
        <v>730</v>
      </c>
    </row>
    <row r="18" spans="2:142">
      <c r="B18" s="30"/>
      <c r="C18" s="410"/>
      <c r="D18" s="417"/>
      <c r="E18" s="29"/>
      <c r="G18" s="21"/>
      <c r="H18" s="21"/>
      <c r="I18" s="21"/>
      <c r="J18" s="21"/>
      <c r="K18" s="21"/>
      <c r="L18" s="154" t="s">
        <v>566</v>
      </c>
      <c r="M18" s="21" t="s">
        <v>481</v>
      </c>
      <c r="N18" s="159" t="s">
        <v>2079</v>
      </c>
      <c r="O18" s="819" t="s">
        <v>728</v>
      </c>
      <c r="P18" s="21"/>
      <c r="Q18" s="154" t="s">
        <v>566</v>
      </c>
      <c r="R18" s="151" t="s">
        <v>187</v>
      </c>
      <c r="S18" s="159" t="s">
        <v>147</v>
      </c>
      <c r="T18" s="21"/>
      <c r="U18" s="752" t="s">
        <v>3185</v>
      </c>
      <c r="V18" s="151" t="s">
        <v>1731</v>
      </c>
      <c r="W18" s="159" t="s">
        <v>2207</v>
      </c>
      <c r="X18" s="21"/>
      <c r="Y18" s="752" t="s">
        <v>3848</v>
      </c>
      <c r="Z18" s="493">
        <v>118</v>
      </c>
      <c r="AA18" s="100" t="s">
        <v>2236</v>
      </c>
      <c r="AB18" s="21"/>
      <c r="AC18" s="45"/>
      <c r="AD18" s="98"/>
      <c r="AE18" s="94"/>
      <c r="AF18" s="21"/>
      <c r="AG18" s="45" t="s">
        <v>832</v>
      </c>
      <c r="AH18" s="98" t="s">
        <v>834</v>
      </c>
      <c r="AI18" s="94" t="s">
        <v>2266</v>
      </c>
      <c r="AJ18" s="21"/>
      <c r="AK18" s="789" t="s">
        <v>5647</v>
      </c>
      <c r="AL18" s="477" t="s">
        <v>174</v>
      </c>
      <c r="AM18" s="589" t="s">
        <v>5648</v>
      </c>
      <c r="AN18" s="21"/>
      <c r="AO18" s="777" t="s">
        <v>5738</v>
      </c>
      <c r="AP18" s="151" t="s">
        <v>5495</v>
      </c>
      <c r="AQ18" s="584" t="s">
        <v>2322</v>
      </c>
      <c r="AU18" s="136" t="s">
        <v>608</v>
      </c>
      <c r="AV18" s="148" t="s">
        <v>187</v>
      </c>
      <c r="AW18" s="138" t="str">
        <f t="shared" si="0"/>
        <v>ДП СТАНДАРТ.4/0</v>
      </c>
      <c r="AY18" s="234" t="s">
        <v>562</v>
      </c>
      <c r="AZ18" s="137" t="s">
        <v>1719</v>
      </c>
      <c r="BA18" s="138" t="str">
        <f t="shared" si="1"/>
        <v>ДП СТАНДАРТ.2/А.фальц</v>
      </c>
      <c r="BB18" s="121"/>
      <c r="BC18" s="44" t="s">
        <v>1722</v>
      </c>
      <c r="BD18" s="149" t="s">
        <v>3186</v>
      </c>
      <c r="BE18" s="139" t="str">
        <f>CONCATENATE(BC18,".",BD18)</f>
        <v>фальц..неробоча.</v>
      </c>
      <c r="BF18" s="121"/>
      <c r="BG18" s="146" t="s">
        <v>3177</v>
      </c>
      <c r="BH18" s="137" t="s">
        <v>323</v>
      </c>
      <c r="BI18" s="138" t="str">
        <f t="shared" si="2"/>
        <v>неробоча.80</v>
      </c>
      <c r="BK18" s="44"/>
      <c r="BL18" s="62"/>
      <c r="BM18" s="139"/>
      <c r="BO18" s="146" t="s">
        <v>409</v>
      </c>
      <c r="BP18" s="151" t="s">
        <v>3846</v>
      </c>
      <c r="BQ18" s="138" t="str">
        <f t="shared" si="22"/>
        <v>Verto-Cell.115 Горіх мед.</v>
      </c>
      <c r="BS18" s="133" t="s">
        <v>563</v>
      </c>
      <c r="BT18" s="101" t="s">
        <v>4066</v>
      </c>
      <c r="BU18" s="135" t="str">
        <f t="shared" si="4"/>
        <v>ДП СТАНДАРТ.2/Б.Сотове</v>
      </c>
      <c r="BW18" s="165" t="s">
        <v>561</v>
      </c>
      <c r="BX18" s="770" t="s">
        <v>3851</v>
      </c>
      <c r="BY18" s="138" t="str">
        <f t="shared" si="5"/>
        <v>ДП СТАНДАРТ.1/Б.Графіт</v>
      </c>
      <c r="CA18" s="742" t="s">
        <v>3175</v>
      </c>
      <c r="CB18" s="783" t="s">
        <v>5752</v>
      </c>
      <c r="CC18" s="138" t="str">
        <f t="shared" si="23"/>
        <v>ДП СТАНДАРТ.фальц.робоча.Stand ст Лів +2завіс</v>
      </c>
      <c r="CE18" s="146" t="s">
        <v>3184</v>
      </c>
      <c r="CF18" s="137"/>
      <c r="CG18" s="138" t="str">
        <f t="shared" si="6"/>
        <v>ДП СТАНДАРТ.б/з фальц.робоча.</v>
      </c>
      <c r="CI18" s="147" t="s">
        <v>5753</v>
      </c>
      <c r="CJ18" s="62" t="s">
        <v>4857</v>
      </c>
      <c r="CK18" s="139" t="str">
        <f t="shared" si="21"/>
        <v>Stand ст Пр +2завіс.Права</v>
      </c>
      <c r="CM18" s="86" t="s">
        <v>3187</v>
      </c>
      <c r="CN18" s="56" t="s">
        <v>841</v>
      </c>
      <c r="CO18" s="70" t="str">
        <f t="shared" si="7"/>
        <v>ДП СТАНДАРТ.купе.робоча.Verto-FIT</v>
      </c>
      <c r="CQ18" s="143" t="s">
        <v>841</v>
      </c>
      <c r="CR18" s="157" t="s">
        <v>472</v>
      </c>
      <c r="CS18" s="138" t="str">
        <f t="shared" si="8"/>
        <v>Verto-FIT.D</v>
      </c>
      <c r="CU18" s="144" t="s">
        <v>975</v>
      </c>
      <c r="CV18" s="699" t="s">
        <v>1128</v>
      </c>
      <c r="CW18" s="139" t="str">
        <f>CONCATENATE(CU18,".",CV18)</f>
        <v>Standard-MDF.М80 2кт</v>
      </c>
      <c r="CY18" s="230" t="s">
        <v>844</v>
      </c>
      <c r="CZ18" s="137" t="s">
        <v>5934</v>
      </c>
      <c r="DA18" s="236" t="s">
        <v>528</v>
      </c>
      <c r="DD18" s="738" t="s">
        <v>4915</v>
      </c>
      <c r="DE18" s="166">
        <v>4990</v>
      </c>
      <c r="DF18" s="522">
        <f t="shared" si="9"/>
        <v>4990</v>
      </c>
      <c r="DG18" s="523"/>
      <c r="DH18" s="524">
        <f t="shared" si="10"/>
        <v>4990</v>
      </c>
      <c r="DJ18" s="738" t="s">
        <v>4070</v>
      </c>
      <c r="DK18" s="166">
        <v>0</v>
      </c>
      <c r="DL18" s="522">
        <f t="shared" si="11"/>
        <v>0</v>
      </c>
      <c r="DM18" s="523"/>
      <c r="DN18" s="524">
        <f t="shared" si="12"/>
        <v>0</v>
      </c>
      <c r="DP18" s="738" t="s">
        <v>3853</v>
      </c>
      <c r="DQ18" s="166">
        <v>550</v>
      </c>
      <c r="DR18" s="522">
        <f t="shared" si="13"/>
        <v>550</v>
      </c>
      <c r="DS18" s="523"/>
      <c r="DT18" s="524">
        <f t="shared" si="14"/>
        <v>550</v>
      </c>
      <c r="DU18" s="166"/>
      <c r="DV18" s="738" t="s">
        <v>5765</v>
      </c>
      <c r="DW18" s="166">
        <v>0</v>
      </c>
      <c r="DX18" s="522">
        <f>ROUND(((DW18-(DW18/6))/$DD$3)*$DE$3,2)</f>
        <v>0</v>
      </c>
      <c r="DY18" s="523"/>
      <c r="DZ18" s="524">
        <f>IF(DY18="",DX18,
IF(AND($DW$10&gt;=VLOOKUP(DY18,$DV$5:$DZ$9,2,0),$DW$10&lt;=VLOOKUP(DY18,$DV$5:$DZ$9,3,0)),
(DX18*(1-VLOOKUP(DY18,$DV$5:$DZ$9,4,0))),
DX18))</f>
        <v>0</v>
      </c>
      <c r="EB18" s="738" t="s">
        <v>4264</v>
      </c>
      <c r="EC18" s="166">
        <v>250</v>
      </c>
      <c r="ED18" s="522">
        <f t="shared" si="17"/>
        <v>250</v>
      </c>
      <c r="EE18" s="523"/>
      <c r="EF18" s="524">
        <f t="shared" si="18"/>
        <v>250</v>
      </c>
      <c r="EG18" s="165"/>
      <c r="EH18" s="738" t="s">
        <v>3339</v>
      </c>
      <c r="EI18" s="166">
        <v>0</v>
      </c>
      <c r="EJ18" s="522">
        <f>ROUND(((EI18-(EI18/6))/$DD$3)*$DE$3,2)</f>
        <v>0</v>
      </c>
      <c r="EK18" s="523"/>
      <c r="EL18" s="524">
        <f>IF(EK18="",EJ18,
IF(AND($EI$10&gt;=VLOOKUP(EK18,$EH$5:$EL$9,2,0),$EI$10&lt;=VLOOKUP(EK18,$EH$5:$EL$9,3,0)),
(EJ18*(1-VLOOKUP(EK18,$EH$5:$EL$9,4,0))),
EJ18))</f>
        <v>0</v>
      </c>
    </row>
    <row r="19" spans="2:142">
      <c r="B19" s="30"/>
      <c r="C19" s="410" t="s">
        <v>1332</v>
      </c>
      <c r="D19" s="417" t="s">
        <v>728</v>
      </c>
      <c r="E19" s="29"/>
      <c r="G19" s="21"/>
      <c r="H19" s="21"/>
      <c r="I19" s="21"/>
      <c r="J19" s="21"/>
      <c r="K19" s="21"/>
      <c r="L19" s="154" t="s">
        <v>567</v>
      </c>
      <c r="M19" s="21" t="s">
        <v>481</v>
      </c>
      <c r="N19" s="159" t="s">
        <v>2079</v>
      </c>
      <c r="O19" s="819" t="s">
        <v>728</v>
      </c>
      <c r="P19" s="21"/>
      <c r="Q19" s="154" t="s">
        <v>567</v>
      </c>
      <c r="R19" s="151" t="s">
        <v>188</v>
      </c>
      <c r="S19" s="159" t="s">
        <v>137</v>
      </c>
      <c r="T19" s="21"/>
      <c r="U19" s="750" t="s">
        <v>3188</v>
      </c>
      <c r="V19" s="152" t="s">
        <v>1732</v>
      </c>
      <c r="W19" s="160" t="s">
        <v>2208</v>
      </c>
      <c r="X19" s="21"/>
      <c r="Y19" s="143" t="s">
        <v>1311</v>
      </c>
      <c r="Z19" s="493">
        <v>119</v>
      </c>
      <c r="AA19" s="159" t="s">
        <v>2237</v>
      </c>
      <c r="AB19" s="21"/>
      <c r="AC19" s="49"/>
      <c r="AD19" s="98"/>
      <c r="AE19" s="94"/>
      <c r="AF19" s="21"/>
      <c r="AG19" s="45" t="s">
        <v>461</v>
      </c>
      <c r="AH19" s="98" t="s">
        <v>172</v>
      </c>
      <c r="AI19" s="94" t="s">
        <v>2267</v>
      </c>
      <c r="AJ19" s="21"/>
      <c r="AK19" s="777" t="s">
        <v>5649</v>
      </c>
      <c r="AL19" s="478" t="s">
        <v>5650</v>
      </c>
      <c r="AM19" s="584" t="s">
        <v>5651</v>
      </c>
      <c r="AN19" s="21"/>
      <c r="AO19" s="778" t="s">
        <v>5739</v>
      </c>
      <c r="AP19" s="152" t="s">
        <v>177</v>
      </c>
      <c r="AQ19" s="586" t="s">
        <v>2324</v>
      </c>
      <c r="AU19" s="136" t="s">
        <v>608</v>
      </c>
      <c r="AV19" s="148" t="s">
        <v>188</v>
      </c>
      <c r="AW19" s="138" t="str">
        <f t="shared" si="0"/>
        <v>ДП СТАНДАРТ.4/1</v>
      </c>
      <c r="AY19" s="234" t="s">
        <v>562</v>
      </c>
      <c r="AZ19" s="137" t="s">
        <v>1721</v>
      </c>
      <c r="BA19" s="138" t="str">
        <f t="shared" si="1"/>
        <v>ДП СТАНДАРТ.2/А.б/з фальц</v>
      </c>
      <c r="BB19" s="121"/>
      <c r="BC19" s="40" t="s">
        <v>1723</v>
      </c>
      <c r="BD19" s="41" t="s">
        <v>3183</v>
      </c>
      <c r="BE19" s="70" t="str">
        <f>CONCATENATE(BC19,".",BD19)</f>
        <v>б/з фальц..робоча.</v>
      </c>
      <c r="BF19" s="121"/>
      <c r="BG19" s="147" t="s">
        <v>3177</v>
      </c>
      <c r="BH19" s="62" t="s">
        <v>324</v>
      </c>
      <c r="BI19" s="139" t="str">
        <f t="shared" si="2"/>
        <v>неробоча.90</v>
      </c>
      <c r="BK19" s="133" t="s">
        <v>2346</v>
      </c>
      <c r="BL19" s="134" t="s">
        <v>4904</v>
      </c>
      <c r="BM19" s="135" t="str">
        <f t="shared" si="3"/>
        <v>ДП Геометрія.Сімплекс</v>
      </c>
      <c r="BO19" s="146" t="s">
        <v>409</v>
      </c>
      <c r="BP19" s="21" t="s">
        <v>382</v>
      </c>
      <c r="BQ19" s="138" t="str">
        <f t="shared" si="22"/>
        <v>Verto-Cell.116 Дуб британ</v>
      </c>
      <c r="BS19" s="44" t="s">
        <v>563</v>
      </c>
      <c r="BT19" s="254" t="s">
        <v>316</v>
      </c>
      <c r="BU19" s="139" t="str">
        <f t="shared" si="4"/>
        <v>ДП СТАНДАРТ.2/Б.ДСП тр.</v>
      </c>
      <c r="BW19" s="108" t="s">
        <v>561</v>
      </c>
      <c r="BX19" s="248" t="s">
        <v>832</v>
      </c>
      <c r="BY19" s="139" t="str">
        <f t="shared" si="5"/>
        <v>ДП СТАНДАРТ.1/Б.Бронза</v>
      </c>
      <c r="CA19" s="742" t="s">
        <v>3175</v>
      </c>
      <c r="CB19" s="783" t="s">
        <v>5753</v>
      </c>
      <c r="CC19" s="138" t="str">
        <f t="shared" si="23"/>
        <v>ДП СТАНДАРТ.фальц.робоча.Stand ст Пр +2завіс</v>
      </c>
      <c r="CE19" s="146" t="s">
        <v>3184</v>
      </c>
      <c r="CF19" s="137" t="s">
        <v>4261</v>
      </c>
      <c r="CG19" s="138" t="str">
        <f t="shared" si="6"/>
        <v>ДП СТАНДАРТ.б/з фальц.робоча.ВВ</v>
      </c>
      <c r="CI19" s="146" t="s">
        <v>4294</v>
      </c>
      <c r="CJ19" s="137" t="s">
        <v>4827</v>
      </c>
      <c r="CK19" s="138" t="str">
        <f t="shared" ref="CK19:CK30" si="24">CONCATENATE(CI19,".",CJ19)</f>
        <v>Soft цл +2завіс.Ліва</v>
      </c>
      <c r="CM19" s="432"/>
      <c r="CN19" s="222"/>
      <c r="CO19" s="223"/>
      <c r="CQ19" s="143" t="s">
        <v>841</v>
      </c>
      <c r="CR19" s="157" t="s">
        <v>473</v>
      </c>
      <c r="CS19" s="138" t="str">
        <f t="shared" si="8"/>
        <v>Verto-FIT.E</v>
      </c>
      <c r="CU19" s="143" t="s">
        <v>840</v>
      </c>
      <c r="CV19" s="216" t="s">
        <v>4106</v>
      </c>
      <c r="CW19" s="138" t="str">
        <f>CONCATENATE(CU19,".",CV19)</f>
        <v>Standard.(ні)</v>
      </c>
      <c r="CY19" s="230" t="s">
        <v>845</v>
      </c>
      <c r="CZ19" s="137" t="s">
        <v>5934</v>
      </c>
      <c r="DA19" s="236" t="s">
        <v>529</v>
      </c>
      <c r="DD19" s="738" t="s">
        <v>4916</v>
      </c>
      <c r="DE19" s="166">
        <v>4990</v>
      </c>
      <c r="DF19" s="522">
        <f t="shared" si="9"/>
        <v>4990</v>
      </c>
      <c r="DG19" s="523"/>
      <c r="DH19" s="524">
        <f>IF(DG19="",DF19,
IF(AND($DE$10&gt;=VLOOKUP(DG19,$DD$5:$DH$9,2,0),$DE$10&lt;=VLOOKUP(DG19,$DD$5:$DH$9,3,0)),
(DF19*(1-VLOOKUP(DG19,$DD$5:$DH$9,4,0))),
DF19))</f>
        <v>4990</v>
      </c>
      <c r="DJ19" s="108" t="s">
        <v>227</v>
      </c>
      <c r="DK19" s="164">
        <v>1300</v>
      </c>
      <c r="DL19" s="531">
        <f t="shared" si="11"/>
        <v>1300</v>
      </c>
      <c r="DM19" s="526"/>
      <c r="DN19" s="527">
        <f t="shared" si="12"/>
        <v>1300</v>
      </c>
      <c r="DP19" s="108" t="s">
        <v>1812</v>
      </c>
      <c r="DQ19" s="164">
        <v>550</v>
      </c>
      <c r="DR19" s="525">
        <f t="shared" si="13"/>
        <v>550</v>
      </c>
      <c r="DS19" s="526"/>
      <c r="DT19" s="527">
        <f t="shared" si="14"/>
        <v>550</v>
      </c>
      <c r="DU19" s="166"/>
      <c r="DV19" s="738" t="s">
        <v>4291</v>
      </c>
      <c r="DW19" s="166">
        <v>550</v>
      </c>
      <c r="DX19" s="522">
        <f t="shared" si="15"/>
        <v>550</v>
      </c>
      <c r="DY19" s="523"/>
      <c r="DZ19" s="524">
        <f t="shared" si="16"/>
        <v>550</v>
      </c>
      <c r="EB19" s="108" t="s">
        <v>1001</v>
      </c>
      <c r="EC19" s="164">
        <v>170</v>
      </c>
      <c r="ED19" s="531">
        <f t="shared" si="17"/>
        <v>170</v>
      </c>
      <c r="EE19" s="526"/>
      <c r="EF19" s="527">
        <f t="shared" si="18"/>
        <v>170</v>
      </c>
      <c r="EG19" s="165"/>
      <c r="EH19" s="739" t="s">
        <v>3340</v>
      </c>
      <c r="EI19" s="164">
        <v>820</v>
      </c>
      <c r="EJ19" s="531">
        <f>ROUND(((EI19-(EI19/6))/$DD$3)*$DE$3,2)</f>
        <v>820</v>
      </c>
      <c r="EK19" s="526"/>
      <c r="EL19" s="527">
        <f>IF(EK19="",EJ19,
IF(AND($EI$10&gt;=VLOOKUP(EK19,$EH$5:$EL$9,2,0),$EI$10&lt;=VLOOKUP(EK19,$EH$5:$EL$9,3,0)),
(EJ19*(1-VLOOKUP(EK19,$EH$5:$EL$9,4,0))),
EJ19))</f>
        <v>820</v>
      </c>
    </row>
    <row r="20" spans="2:142">
      <c r="B20" s="30"/>
      <c r="C20" s="410" t="s">
        <v>1333</v>
      </c>
      <c r="D20" s="417" t="s">
        <v>728</v>
      </c>
      <c r="E20" s="29"/>
      <c r="G20" s="21"/>
      <c r="H20" s="21"/>
      <c r="I20" s="21"/>
      <c r="J20" s="21"/>
      <c r="K20" s="21"/>
      <c r="L20" s="155" t="s">
        <v>568</v>
      </c>
      <c r="M20" s="254" t="s">
        <v>481</v>
      </c>
      <c r="N20" s="160" t="s">
        <v>2079</v>
      </c>
      <c r="O20" s="422" t="s">
        <v>728</v>
      </c>
      <c r="P20" s="21"/>
      <c r="Q20" s="155" t="s">
        <v>568</v>
      </c>
      <c r="R20" s="152" t="s">
        <v>189</v>
      </c>
      <c r="S20" s="160" t="s">
        <v>148</v>
      </c>
      <c r="T20" s="21"/>
      <c r="U20" s="752" t="s">
        <v>3189</v>
      </c>
      <c r="V20" s="151" t="s">
        <v>1733</v>
      </c>
      <c r="W20" s="159" t="s">
        <v>2209</v>
      </c>
      <c r="X20" s="21"/>
      <c r="Y20" s="143" t="s">
        <v>1312</v>
      </c>
      <c r="Z20" s="493">
        <v>120</v>
      </c>
      <c r="AA20" s="159" t="s">
        <v>2238</v>
      </c>
      <c r="AB20" s="21"/>
      <c r="AC20" s="49"/>
      <c r="AD20" s="98"/>
      <c r="AE20" s="94"/>
      <c r="AF20" s="21"/>
      <c r="AG20" s="45" t="s">
        <v>460</v>
      </c>
      <c r="AH20" s="98" t="s">
        <v>173</v>
      </c>
      <c r="AI20" s="94" t="s">
        <v>2268</v>
      </c>
      <c r="AJ20" s="21"/>
      <c r="AK20" s="777" t="s">
        <v>5662</v>
      </c>
      <c r="AL20" s="478" t="s">
        <v>161</v>
      </c>
      <c r="AM20" s="584" t="s">
        <v>5663</v>
      </c>
      <c r="AN20" s="21"/>
      <c r="AO20" s="777" t="s">
        <v>5740</v>
      </c>
      <c r="AP20" s="151" t="s">
        <v>5495</v>
      </c>
      <c r="AQ20" s="584" t="s">
        <v>2322</v>
      </c>
      <c r="AU20" s="136" t="s">
        <v>608</v>
      </c>
      <c r="AV20" s="148" t="s">
        <v>189</v>
      </c>
      <c r="AW20" s="138" t="str">
        <f t="shared" si="0"/>
        <v>ДП СТАНДАРТ.4/2</v>
      </c>
      <c r="AY20" s="224" t="s">
        <v>562</v>
      </c>
      <c r="AZ20" s="62" t="s">
        <v>1720</v>
      </c>
      <c r="BA20" s="139" t="str">
        <f t="shared" si="1"/>
        <v>ДП СТАНДАРТ.2/А.купе</v>
      </c>
      <c r="BB20" s="121"/>
      <c r="BC20" s="40" t="s">
        <v>1724</v>
      </c>
      <c r="BD20" s="41" t="s">
        <v>3183</v>
      </c>
      <c r="BE20" s="70" t="str">
        <f>CONCATENATE(BC20,".",BD20)</f>
        <v>купе..робоча.</v>
      </c>
      <c r="BF20" s="121"/>
      <c r="BG20" s="426"/>
      <c r="BH20" s="427"/>
      <c r="BI20" s="428"/>
      <c r="BK20" s="136" t="s">
        <v>2346</v>
      </c>
      <c r="BL20" s="137" t="s">
        <v>409</v>
      </c>
      <c r="BM20" s="138" t="str">
        <f t="shared" si="3"/>
        <v>ДП Геометрія.Verto-Cell</v>
      </c>
      <c r="BO20" s="146" t="s">
        <v>409</v>
      </c>
      <c r="BP20" s="767" t="s">
        <v>3848</v>
      </c>
      <c r="BQ20" s="135" t="str">
        <f t="shared" ref="BQ20:BQ25" si="25">CONCATENATE(BO20,".",BP20)</f>
        <v>Verto-Cell.118 Дуб вибіл.</v>
      </c>
      <c r="BS20" s="133" t="s">
        <v>564</v>
      </c>
      <c r="BT20" s="101" t="s">
        <v>4066</v>
      </c>
      <c r="BU20" s="135" t="str">
        <f t="shared" si="4"/>
        <v>ДП СТАНДАРТ.3/0.Сотове</v>
      </c>
      <c r="BW20" s="162" t="s">
        <v>562</v>
      </c>
      <c r="BX20" s="246" t="s">
        <v>459</v>
      </c>
      <c r="BY20" s="135" t="str">
        <f t="shared" si="5"/>
        <v>ДП СТАНДАРТ.2/А.Кризет</v>
      </c>
      <c r="CA20" s="742" t="s">
        <v>3175</v>
      </c>
      <c r="CB20" s="137"/>
      <c r="CC20" s="138"/>
      <c r="CE20" s="147" t="s">
        <v>3184</v>
      </c>
      <c r="CF20" s="62" t="s">
        <v>739</v>
      </c>
      <c r="CG20" s="139" t="str">
        <f t="shared" si="6"/>
        <v>ДП СТАНДАРТ.б/з фальц.робоча.ВП</v>
      </c>
      <c r="CI20" s="147" t="s">
        <v>4294</v>
      </c>
      <c r="CJ20" s="62" t="s">
        <v>4857</v>
      </c>
      <c r="CK20" s="139" t="str">
        <f t="shared" si="24"/>
        <v>Soft цл +2завіс.Права</v>
      </c>
      <c r="CM20" s="742" t="s">
        <v>3190</v>
      </c>
      <c r="CN20" s="137" t="s">
        <v>975</v>
      </c>
      <c r="CO20" s="138" t="str">
        <f t="shared" ref="CO20:CO26" si="26">CONCATENATE(CM20,".",CN20)</f>
        <v>ДП КУПАВА.фальц.робоча.Standard-MDF</v>
      </c>
      <c r="CQ20" s="143" t="s">
        <v>841</v>
      </c>
      <c r="CR20" s="157" t="s">
        <v>474</v>
      </c>
      <c r="CS20" s="138" t="str">
        <f t="shared" si="8"/>
        <v>Verto-FIT.F</v>
      </c>
      <c r="CU20" s="143" t="s">
        <v>840</v>
      </c>
      <c r="CV20" s="216"/>
      <c r="CW20" s="138"/>
      <c r="CY20" s="543" t="s">
        <v>1127</v>
      </c>
      <c r="CZ20" s="137" t="s">
        <v>5935</v>
      </c>
      <c r="DA20" s="236" t="s">
        <v>528</v>
      </c>
      <c r="DD20" s="827" t="s">
        <v>4917</v>
      </c>
      <c r="DE20" s="828">
        <v>4990</v>
      </c>
      <c r="DF20" s="531">
        <f t="shared" si="9"/>
        <v>4990</v>
      </c>
      <c r="DG20" s="526"/>
      <c r="DH20" s="527">
        <f t="shared" si="10"/>
        <v>4990</v>
      </c>
      <c r="DJ20" s="738" t="s">
        <v>4071</v>
      </c>
      <c r="DK20" s="166">
        <v>0</v>
      </c>
      <c r="DL20" s="522">
        <f t="shared" si="11"/>
        <v>0</v>
      </c>
      <c r="DM20" s="523"/>
      <c r="DN20" s="524">
        <f t="shared" ref="DN20:DN27" si="27">IF(DM20="",DL20,
IF(AND($DK$10&gt;=VLOOKUP(DM20,$DJ$5:$DN$9,2,0),$DK$10&lt;=VLOOKUP(DM20,$DJ$5:$DN$9,3,0)),
(DL20*(1-VLOOKUP(DM20,$DJ$5:$DN$9,4,0))),
DL20))</f>
        <v>0</v>
      </c>
      <c r="DP20" s="162" t="s">
        <v>635</v>
      </c>
      <c r="DQ20" s="163">
        <v>0</v>
      </c>
      <c r="DR20" s="528">
        <f t="shared" si="13"/>
        <v>0</v>
      </c>
      <c r="DS20" s="529"/>
      <c r="DT20" s="530">
        <f t="shared" si="14"/>
        <v>0</v>
      </c>
      <c r="DU20" s="166"/>
      <c r="DV20" s="738" t="s">
        <v>4292</v>
      </c>
      <c r="DW20" s="166">
        <v>550</v>
      </c>
      <c r="DX20" s="522">
        <f t="shared" si="15"/>
        <v>550</v>
      </c>
      <c r="DY20" s="523"/>
      <c r="DZ20" s="524">
        <f t="shared" si="16"/>
        <v>550</v>
      </c>
      <c r="EB20" s="162" t="s">
        <v>899</v>
      </c>
      <c r="EC20" s="163">
        <v>0</v>
      </c>
      <c r="ED20" s="537">
        <f t="shared" si="17"/>
        <v>0</v>
      </c>
      <c r="EE20" s="529"/>
      <c r="EF20" s="530">
        <f t="shared" si="18"/>
        <v>0</v>
      </c>
      <c r="EG20" s="165"/>
      <c r="EH20" s="738" t="s">
        <v>3341</v>
      </c>
      <c r="EI20" s="166">
        <v>0</v>
      </c>
      <c r="EJ20" s="522">
        <f t="shared" si="19"/>
        <v>0</v>
      </c>
      <c r="EK20" s="523"/>
      <c r="EL20" s="524">
        <f t="shared" si="20"/>
        <v>0</v>
      </c>
    </row>
    <row r="21" spans="2:142">
      <c r="B21" s="30"/>
      <c r="C21" s="410" t="s">
        <v>1334</v>
      </c>
      <c r="D21" s="417" t="s">
        <v>728</v>
      </c>
      <c r="E21" s="29"/>
      <c r="G21" s="21"/>
      <c r="H21" s="21"/>
      <c r="I21" s="21"/>
      <c r="J21" s="21"/>
      <c r="K21" s="21"/>
      <c r="L21" s="153" t="s">
        <v>569</v>
      </c>
      <c r="M21" s="817" t="s">
        <v>482</v>
      </c>
      <c r="N21" s="100" t="s">
        <v>2080</v>
      </c>
      <c r="O21" s="818" t="s">
        <v>728</v>
      </c>
      <c r="P21" s="21"/>
      <c r="Q21" s="153" t="s">
        <v>569</v>
      </c>
      <c r="R21" s="101" t="s">
        <v>194</v>
      </c>
      <c r="S21" s="100" t="s">
        <v>138</v>
      </c>
      <c r="T21" s="21"/>
      <c r="U21" s="752" t="s">
        <v>3191</v>
      </c>
      <c r="V21" s="151" t="s">
        <v>1734</v>
      </c>
      <c r="W21" s="159" t="s">
        <v>2210</v>
      </c>
      <c r="X21" s="21"/>
      <c r="Y21" s="752" t="s">
        <v>3849</v>
      </c>
      <c r="Z21" s="493">
        <v>121</v>
      </c>
      <c r="AA21" s="160" t="s">
        <v>2239</v>
      </c>
      <c r="AB21" s="21"/>
      <c r="AC21" s="49"/>
      <c r="AD21" s="98"/>
      <c r="AE21" s="94"/>
      <c r="AF21" s="21"/>
      <c r="AG21" s="756" t="s">
        <v>4248</v>
      </c>
      <c r="AH21" s="98" t="s">
        <v>167</v>
      </c>
      <c r="AI21" s="94" t="s">
        <v>2269</v>
      </c>
      <c r="AJ21" s="21"/>
      <c r="AK21" s="777" t="s">
        <v>5664</v>
      </c>
      <c r="AL21" s="478" t="s">
        <v>5665</v>
      </c>
      <c r="AM21" s="584" t="s">
        <v>5666</v>
      </c>
      <c r="AN21" s="21"/>
      <c r="AO21" s="778" t="s">
        <v>5741</v>
      </c>
      <c r="AP21" s="152" t="s">
        <v>177</v>
      </c>
      <c r="AQ21" s="586" t="s">
        <v>2323</v>
      </c>
      <c r="AU21" s="136" t="s">
        <v>609</v>
      </c>
      <c r="AV21" s="148" t="s">
        <v>185</v>
      </c>
      <c r="AW21" s="138" t="str">
        <f t="shared" ref="AW21:AW34" si="28">CONCATENATE(AU21,".",AV21)</f>
        <v>ДП КУПАВА.3/0</v>
      </c>
      <c r="AY21" s="234" t="s">
        <v>563</v>
      </c>
      <c r="AZ21" s="137" t="s">
        <v>1719</v>
      </c>
      <c r="BA21" s="138" t="str">
        <f t="shared" si="1"/>
        <v>ДП СТАНДАРТ.2/Б.фальц</v>
      </c>
      <c r="BB21" s="121"/>
      <c r="BC21" s="432"/>
      <c r="BD21" s="222"/>
      <c r="BE21" s="223"/>
      <c r="BF21" s="121"/>
      <c r="BG21" s="146" t="s">
        <v>3183</v>
      </c>
      <c r="BH21" s="134" t="s">
        <v>321</v>
      </c>
      <c r="BI21" s="138" t="str">
        <f>CONCATENATE(BG21,".",BH21)</f>
        <v>робоча..60</v>
      </c>
      <c r="BK21" s="136" t="s">
        <v>2346</v>
      </c>
      <c r="BL21" s="137" t="s">
        <v>1893</v>
      </c>
      <c r="BM21" s="138" t="str">
        <f>CONCATENATE(BK21,".",BL21)</f>
        <v>ДП Геометрія.Uni-Mat</v>
      </c>
      <c r="BO21" s="146" t="s">
        <v>409</v>
      </c>
      <c r="BP21" s="255" t="s">
        <v>1311</v>
      </c>
      <c r="BQ21" s="138" t="str">
        <f t="shared" si="25"/>
        <v>Verto-Cell.119 Дуб ретро</v>
      </c>
      <c r="BS21" s="44" t="s">
        <v>564</v>
      </c>
      <c r="BT21" s="254" t="s">
        <v>316</v>
      </c>
      <c r="BU21" s="139" t="str">
        <f t="shared" si="4"/>
        <v>ДП СТАНДАРТ.3/0.ДСП тр.</v>
      </c>
      <c r="BW21" s="165" t="s">
        <v>562</v>
      </c>
      <c r="BX21" s="247" t="s">
        <v>458</v>
      </c>
      <c r="BY21" s="138" t="str">
        <f>CONCATENATE(BW21,".",BX21)</f>
        <v>ДП СТАНДАРТ.2/А.Сатин</v>
      </c>
      <c r="CA21" s="742" t="s">
        <v>3175</v>
      </c>
      <c r="CB21" s="783" t="s">
        <v>5754</v>
      </c>
      <c r="CC21" s="138" t="str">
        <f t="shared" ref="CC21:CC26" si="29">CONCATENATE(CA21,".",CB21)</f>
        <v>ДП СТАНДАРТ.фальц.робоча.Stand цл Лів +3завіс</v>
      </c>
      <c r="CE21" s="742" t="s">
        <v>3187</v>
      </c>
      <c r="CF21" s="137"/>
      <c r="CG21" s="138" t="str">
        <f t="shared" si="6"/>
        <v>ДП СТАНДАРТ.купе.робоча.</v>
      </c>
      <c r="CI21" s="146" t="s">
        <v>4297</v>
      </c>
      <c r="CJ21" s="137" t="s">
        <v>4827</v>
      </c>
      <c r="CK21" s="138" t="str">
        <f t="shared" si="24"/>
        <v>Soft ст +2завіс.Ліва</v>
      </c>
      <c r="CM21" s="742" t="s">
        <v>3190</v>
      </c>
      <c r="CN21" s="137" t="s">
        <v>840</v>
      </c>
      <c r="CO21" s="138" t="str">
        <f t="shared" si="26"/>
        <v>ДП КУПАВА.фальц.робоча.Standard</v>
      </c>
      <c r="CQ21" s="143" t="s">
        <v>841</v>
      </c>
      <c r="CR21" s="157" t="s">
        <v>475</v>
      </c>
      <c r="CS21" s="138" t="str">
        <f t="shared" si="8"/>
        <v>Verto-FIT.G</v>
      </c>
      <c r="CU21" s="143" t="s">
        <v>840</v>
      </c>
      <c r="CV21" s="157" t="s">
        <v>844</v>
      </c>
      <c r="CW21" s="138" t="str">
        <f>CONCATENATE(CU21,".",CV21)</f>
        <v>Standard.М60 1кт</v>
      </c>
      <c r="CY21" s="543" t="s">
        <v>1128</v>
      </c>
      <c r="CZ21" s="137" t="s">
        <v>5935</v>
      </c>
      <c r="DA21" s="236" t="s">
        <v>529</v>
      </c>
      <c r="DD21" s="165" t="s">
        <v>1895</v>
      </c>
      <c r="DE21" s="166">
        <v>6060</v>
      </c>
      <c r="DF21" s="522">
        <f t="shared" ref="DF21:DF26" si="30">ROUND(((DE21-(DE21/6))/$DD$3)*$DE$3,2)</f>
        <v>6060</v>
      </c>
      <c r="DG21" s="523"/>
      <c r="DH21" s="524">
        <f>IF(DG21="",DF21,
IF(AND($DE$10&gt;=VLOOKUP(DG21,$DD$5:$DH$9,2,0),$DE$10&lt;=VLOOKUP(DG21,$DD$5:$DH$9,3,0)),
(DF21*(1-VLOOKUP(DG21,$DD$5:$DH$9,4,0))),
DF21))</f>
        <v>6060</v>
      </c>
      <c r="DJ21" s="108" t="s">
        <v>2347</v>
      </c>
      <c r="DK21" s="164">
        <v>1300</v>
      </c>
      <c r="DL21" s="531">
        <f t="shared" si="11"/>
        <v>1300</v>
      </c>
      <c r="DM21" s="526"/>
      <c r="DN21" s="527">
        <f t="shared" si="27"/>
        <v>1300</v>
      </c>
      <c r="DP21" s="165" t="s">
        <v>636</v>
      </c>
      <c r="DQ21" s="166">
        <v>420</v>
      </c>
      <c r="DR21" s="522">
        <f>ROUND(((DQ21-(DQ21/6))/$DD$3)*$DE$3,2)</f>
        <v>420</v>
      </c>
      <c r="DS21" s="523"/>
      <c r="DT21" s="524">
        <f>IF(DS21="",DR21,
IF(AND($DQ$10&gt;=VLOOKUP(DS21,$DP$5:$DT$9,2,0),$DQ$10&lt;=VLOOKUP(DS21,$DP$5:$DT$9,3,0)),
(DR21*(1-VLOOKUP(DS21,$DP$5:$DT$9,4,0))),
DR21))</f>
        <v>420</v>
      </c>
      <c r="DU21" s="166"/>
      <c r="DV21" s="738" t="s">
        <v>4293</v>
      </c>
      <c r="DW21" s="166">
        <v>800.00000000000011</v>
      </c>
      <c r="DX21" s="522">
        <f>ROUND(((DW21-(DW21/6))/$DD$3)*$DE$3,2)</f>
        <v>800</v>
      </c>
      <c r="DY21" s="523"/>
      <c r="DZ21" s="524">
        <f>IF(DY21="",DX21,
IF(AND($DW$10&gt;=VLOOKUP(DY21,$DV$5:$DZ$9,2,0),$DW$10&lt;=VLOOKUP(DY21,$DV$5:$DZ$9,3,0)),
(DX21*(1-VLOOKUP(DY21,$DV$5:$DZ$9,4,0))),
DX21))</f>
        <v>800</v>
      </c>
      <c r="EB21" s="738" t="s">
        <v>4265</v>
      </c>
      <c r="EC21" s="166">
        <v>250</v>
      </c>
      <c r="ED21" s="522">
        <f t="shared" si="17"/>
        <v>250</v>
      </c>
      <c r="EE21" s="523"/>
      <c r="EF21" s="524">
        <f t="shared" si="18"/>
        <v>250</v>
      </c>
      <c r="EG21" s="165"/>
      <c r="EH21" s="739" t="s">
        <v>3342</v>
      </c>
      <c r="EI21" s="164">
        <v>860</v>
      </c>
      <c r="EJ21" s="531">
        <f t="shared" si="19"/>
        <v>860</v>
      </c>
      <c r="EK21" s="526"/>
      <c r="EL21" s="527">
        <f t="shared" ref="EL21:EL44" si="31">IF(EK21="",EJ21,
IF(AND($EI$10&gt;=VLOOKUP(EK21,$EH$5:$EL$9,2,0),$EI$10&lt;=VLOOKUP(EK21,$EH$5:$EL$9,3,0)),
(EJ21*(1-VLOOKUP(EK21,$EH$5:$EL$9,4,0))),
EJ21))</f>
        <v>860</v>
      </c>
    </row>
    <row r="22" spans="2:142">
      <c r="B22" s="30"/>
      <c r="C22" s="410" t="s">
        <v>1335</v>
      </c>
      <c r="D22" s="417" t="s">
        <v>728</v>
      </c>
      <c r="E22" s="29"/>
      <c r="G22" s="21"/>
      <c r="H22" s="21"/>
      <c r="I22" s="21"/>
      <c r="J22" s="21"/>
      <c r="K22" s="21"/>
      <c r="L22" s="154" t="s">
        <v>570</v>
      </c>
      <c r="M22" s="21" t="s">
        <v>482</v>
      </c>
      <c r="N22" s="159" t="s">
        <v>2080</v>
      </c>
      <c r="O22" s="819" t="s">
        <v>728</v>
      </c>
      <c r="P22" s="21"/>
      <c r="Q22" s="154" t="s">
        <v>570</v>
      </c>
      <c r="R22" s="151" t="s">
        <v>195</v>
      </c>
      <c r="S22" s="159" t="s">
        <v>139</v>
      </c>
      <c r="T22" s="21"/>
      <c r="U22" s="752" t="s">
        <v>3192</v>
      </c>
      <c r="V22" s="151" t="s">
        <v>1735</v>
      </c>
      <c r="W22" s="159" t="s">
        <v>2211</v>
      </c>
      <c r="X22" s="21"/>
      <c r="Y22" s="143" t="s">
        <v>1832</v>
      </c>
      <c r="Z22" s="493">
        <v>122</v>
      </c>
      <c r="AA22" s="160" t="s">
        <v>2240</v>
      </c>
      <c r="AB22" s="21"/>
      <c r="AC22" s="49"/>
      <c r="AD22" s="98"/>
      <c r="AE22" s="94"/>
      <c r="AF22" s="21"/>
      <c r="AG22" s="756" t="s">
        <v>4251</v>
      </c>
      <c r="AH22" s="98" t="s">
        <v>1186</v>
      </c>
      <c r="AI22" s="475" t="s">
        <v>4259</v>
      </c>
      <c r="AJ22" s="21"/>
      <c r="AK22" s="778" t="s">
        <v>5677</v>
      </c>
      <c r="AL22" s="590" t="s">
        <v>162</v>
      </c>
      <c r="AM22" s="586" t="s">
        <v>5678</v>
      </c>
      <c r="AN22" s="21"/>
      <c r="AO22" s="777" t="s">
        <v>4828</v>
      </c>
      <c r="AP22" s="151" t="s">
        <v>5495</v>
      </c>
      <c r="AQ22" s="584" t="s">
        <v>2321</v>
      </c>
      <c r="AU22" s="136" t="s">
        <v>609</v>
      </c>
      <c r="AV22" s="148" t="s">
        <v>186</v>
      </c>
      <c r="AW22" s="138" t="str">
        <f t="shared" si="28"/>
        <v>ДП КУПАВА.3/1</v>
      </c>
      <c r="AY22" s="234" t="s">
        <v>563</v>
      </c>
      <c r="AZ22" s="137" t="s">
        <v>1721</v>
      </c>
      <c r="BA22" s="138" t="str">
        <f t="shared" si="1"/>
        <v>ДП СТАНДАРТ.2/Б.б/з фальц</v>
      </c>
      <c r="BB22" s="121"/>
      <c r="BC22" s="133" t="s">
        <v>1725</v>
      </c>
      <c r="BD22" s="150" t="s">
        <v>3183</v>
      </c>
      <c r="BE22" s="135" t="str">
        <f>CONCATENATE(BC22,".",BD22)</f>
        <v>фальц,.робоча.</v>
      </c>
      <c r="BF22" s="121"/>
      <c r="BG22" s="146" t="s">
        <v>3183</v>
      </c>
      <c r="BH22" s="137" t="s">
        <v>322</v>
      </c>
      <c r="BI22" s="138" t="str">
        <f t="shared" ref="BI22:BI31" si="32">CONCATENATE(BG22,".",BH22)</f>
        <v>робоча..70</v>
      </c>
      <c r="BK22" s="44" t="s">
        <v>2346</v>
      </c>
      <c r="BL22" s="62" t="s">
        <v>557</v>
      </c>
      <c r="BM22" s="139" t="str">
        <f t="shared" si="3"/>
        <v>ДП Геометрія.Резист</v>
      </c>
      <c r="BO22" s="146" t="s">
        <v>409</v>
      </c>
      <c r="BP22" s="255" t="s">
        <v>1312</v>
      </c>
      <c r="BQ22" s="138" t="str">
        <f t="shared" si="25"/>
        <v>Verto-Cell.120 Дуб невада</v>
      </c>
      <c r="BS22" s="133" t="s">
        <v>565</v>
      </c>
      <c r="BT22" s="101" t="s">
        <v>4066</v>
      </c>
      <c r="BU22" s="135" t="str">
        <f t="shared" si="4"/>
        <v>ДП СТАНДАРТ.3/1.Сотове</v>
      </c>
      <c r="BW22" s="165" t="s">
        <v>562</v>
      </c>
      <c r="BX22" s="770" t="s">
        <v>3851</v>
      </c>
      <c r="BY22" s="138" t="str">
        <f t="shared" si="5"/>
        <v>ДП СТАНДАРТ.2/А.Графіт</v>
      </c>
      <c r="CA22" s="742" t="s">
        <v>3175</v>
      </c>
      <c r="CB22" s="783" t="s">
        <v>5755</v>
      </c>
      <c r="CC22" s="138" t="str">
        <f t="shared" si="29"/>
        <v>ДП СТАНДАРТ.фальц.робоча.Stand цл Пр +3завіс</v>
      </c>
      <c r="CE22" s="424" t="s">
        <v>3187</v>
      </c>
      <c r="CF22" s="62" t="s">
        <v>4261</v>
      </c>
      <c r="CG22" s="139" t="str">
        <f t="shared" si="6"/>
        <v>ДП СТАНДАРТ.купе.робоча.ВВ</v>
      </c>
      <c r="CI22" s="147" t="s">
        <v>4297</v>
      </c>
      <c r="CJ22" s="62" t="s">
        <v>4857</v>
      </c>
      <c r="CK22" s="139" t="str">
        <f t="shared" si="24"/>
        <v>Soft ст +2завіс.Права</v>
      </c>
      <c r="CM22" s="742" t="s">
        <v>3190</v>
      </c>
      <c r="CN22" s="137" t="s">
        <v>841</v>
      </c>
      <c r="CO22" s="138" t="str">
        <f t="shared" si="26"/>
        <v>ДП КУПАВА.фальц.робоча.Verto-FIT</v>
      </c>
      <c r="CQ22" s="143" t="s">
        <v>841</v>
      </c>
      <c r="CR22" s="157" t="s">
        <v>476</v>
      </c>
      <c r="CS22" s="138" t="str">
        <f t="shared" si="8"/>
        <v>Verto-FIT.H</v>
      </c>
      <c r="CU22" s="143" t="s">
        <v>840</v>
      </c>
      <c r="CV22" s="157" t="s">
        <v>845</v>
      </c>
      <c r="CW22" s="138" t="str">
        <f>CONCATENATE(CU22,".",CV22)</f>
        <v>Standard.М60 2кт</v>
      </c>
      <c r="CY22" s="793" t="s">
        <v>5418</v>
      </c>
      <c r="CZ22" s="158"/>
      <c r="DA22" s="237" t="s">
        <v>871</v>
      </c>
      <c r="DD22" s="165" t="s">
        <v>1896</v>
      </c>
      <c r="DE22" s="166">
        <v>6440</v>
      </c>
      <c r="DF22" s="522">
        <f t="shared" si="30"/>
        <v>6440</v>
      </c>
      <c r="DG22" s="523"/>
      <c r="DH22" s="524">
        <f>IF(DG22="",DF22,
IF(AND($DE$10&gt;=VLOOKUP(DG22,$DD$5:$DH$9,2,0),$DE$10&lt;=VLOOKUP(DG22,$DD$5:$DH$9,3,0)),
(DF22*(1-VLOOKUP(DG22,$DD$5:$DH$9,4,0))),
DF22))</f>
        <v>6440</v>
      </c>
      <c r="DJ22" s="738" t="s">
        <v>4072</v>
      </c>
      <c r="DK22" s="166">
        <v>0</v>
      </c>
      <c r="DL22" s="522">
        <f t="shared" si="11"/>
        <v>0</v>
      </c>
      <c r="DM22" s="523"/>
      <c r="DN22" s="524">
        <f t="shared" si="27"/>
        <v>0</v>
      </c>
      <c r="DP22" s="738" t="s">
        <v>3854</v>
      </c>
      <c r="DQ22" s="166">
        <v>550</v>
      </c>
      <c r="DR22" s="522">
        <f t="shared" si="13"/>
        <v>550</v>
      </c>
      <c r="DS22" s="523"/>
      <c r="DT22" s="524">
        <f t="shared" si="14"/>
        <v>550</v>
      </c>
      <c r="DU22" s="166"/>
      <c r="DV22" s="739" t="s">
        <v>4295</v>
      </c>
      <c r="DW22" s="164">
        <v>800.00000000000011</v>
      </c>
      <c r="DX22" s="525">
        <f>ROUND(((DW22-(DW22/6))/$DD$3)*$DE$3,2)</f>
        <v>800</v>
      </c>
      <c r="DY22" s="526"/>
      <c r="DZ22" s="527">
        <f>IF(DY22="",DX22,
IF(AND($DW$10&gt;=VLOOKUP(DY22,$DV$5:$DZ$9,2,0),$DW$10&lt;=VLOOKUP(DY22,$DV$5:$DZ$9,3,0)),
(DX22*(1-VLOOKUP(DY22,$DV$5:$DZ$9,4,0))),
DX22))</f>
        <v>800</v>
      </c>
      <c r="EB22" s="108" t="s">
        <v>1002</v>
      </c>
      <c r="EC22" s="164">
        <v>170</v>
      </c>
      <c r="ED22" s="531">
        <f t="shared" si="17"/>
        <v>170</v>
      </c>
      <c r="EE22" s="526"/>
      <c r="EF22" s="527">
        <f t="shared" si="18"/>
        <v>170</v>
      </c>
      <c r="EG22" s="165"/>
      <c r="EH22" s="738" t="s">
        <v>3343</v>
      </c>
      <c r="EI22" s="166">
        <v>0</v>
      </c>
      <c r="EJ22" s="522">
        <f t="shared" si="19"/>
        <v>0</v>
      </c>
      <c r="EK22" s="523"/>
      <c r="EL22" s="524">
        <f t="shared" si="31"/>
        <v>0</v>
      </c>
    </row>
    <row r="23" spans="2:142">
      <c r="B23" s="30"/>
      <c r="C23" s="410" t="s">
        <v>2496</v>
      </c>
      <c r="D23" s="733" t="s">
        <v>728</v>
      </c>
      <c r="E23" s="29"/>
      <c r="G23" s="21"/>
      <c r="H23" s="21"/>
      <c r="I23" s="21"/>
      <c r="J23" s="21"/>
      <c r="K23" s="21"/>
      <c r="L23" s="154" t="s">
        <v>571</v>
      </c>
      <c r="M23" s="21" t="s">
        <v>482</v>
      </c>
      <c r="N23" s="159" t="s">
        <v>2080</v>
      </c>
      <c r="O23" s="819" t="s">
        <v>728</v>
      </c>
      <c r="P23" s="21"/>
      <c r="Q23" s="154" t="s">
        <v>571</v>
      </c>
      <c r="R23" s="151" t="s">
        <v>196</v>
      </c>
      <c r="S23" s="159" t="s">
        <v>140</v>
      </c>
      <c r="T23" s="21"/>
      <c r="U23" s="750" t="s">
        <v>3193</v>
      </c>
      <c r="V23" s="152" t="s">
        <v>1736</v>
      </c>
      <c r="W23" s="160" t="s">
        <v>2212</v>
      </c>
      <c r="X23" s="21"/>
      <c r="Y23" s="143" t="s">
        <v>2071</v>
      </c>
      <c r="Z23" s="493">
        <v>123</v>
      </c>
      <c r="AA23" s="159" t="s">
        <v>2241</v>
      </c>
      <c r="AB23" s="21"/>
      <c r="AC23" s="565"/>
      <c r="AD23" s="579"/>
      <c r="AE23" s="554"/>
      <c r="AF23" s="21"/>
      <c r="AG23" s="45" t="s">
        <v>6046</v>
      </c>
      <c r="AH23" s="98" t="s">
        <v>6047</v>
      </c>
      <c r="AI23" s="475" t="s">
        <v>6048</v>
      </c>
      <c r="AJ23" s="21"/>
      <c r="AK23" s="777" t="s">
        <v>5679</v>
      </c>
      <c r="AL23" s="478" t="s">
        <v>5680</v>
      </c>
      <c r="AM23" s="584" t="s">
        <v>5681</v>
      </c>
      <c r="AN23" s="21"/>
      <c r="AO23" s="778" t="s">
        <v>4858</v>
      </c>
      <c r="AP23" s="152" t="s">
        <v>177</v>
      </c>
      <c r="AQ23" s="586" t="s">
        <v>2324</v>
      </c>
      <c r="AU23" s="136" t="s">
        <v>609</v>
      </c>
      <c r="AV23" s="148" t="s">
        <v>187</v>
      </c>
      <c r="AW23" s="138" t="str">
        <f t="shared" si="28"/>
        <v>ДП КУПАВА.4/0</v>
      </c>
      <c r="AY23" s="224" t="s">
        <v>563</v>
      </c>
      <c r="AZ23" s="62" t="s">
        <v>1720</v>
      </c>
      <c r="BA23" s="139" t="str">
        <f t="shared" si="1"/>
        <v>ДП СТАНДАРТ.2/Б.купе</v>
      </c>
      <c r="BB23" s="121"/>
      <c r="BC23" s="44" t="s">
        <v>1725</v>
      </c>
      <c r="BD23" s="149" t="s">
        <v>3194</v>
      </c>
      <c r="BE23" s="139" t="str">
        <f>CONCATENATE(BC23,".",BD23)</f>
        <v>фальц,.неробоча,</v>
      </c>
      <c r="BF23" s="121"/>
      <c r="BG23" s="146" t="s">
        <v>3183</v>
      </c>
      <c r="BH23" s="137" t="s">
        <v>323</v>
      </c>
      <c r="BI23" s="138" t="str">
        <f t="shared" si="32"/>
        <v>робоча..80</v>
      </c>
      <c r="BK23" s="133" t="s">
        <v>2407</v>
      </c>
      <c r="BL23" s="134" t="s">
        <v>4904</v>
      </c>
      <c r="BM23" s="135" t="str">
        <f t="shared" si="3"/>
        <v>ДП Ідея.Сімплекс</v>
      </c>
      <c r="BO23" s="146" t="s">
        <v>409</v>
      </c>
      <c r="BP23" s="768" t="s">
        <v>3849</v>
      </c>
      <c r="BQ23" s="138" t="str">
        <f t="shared" si="25"/>
        <v>Verto-Cell.121 Дуб ірланд.</v>
      </c>
      <c r="BS23" s="44" t="s">
        <v>565</v>
      </c>
      <c r="BT23" s="254" t="s">
        <v>316</v>
      </c>
      <c r="BU23" s="139" t="str">
        <f t="shared" si="4"/>
        <v>ДП СТАНДАРТ.3/1.ДСП тр.</v>
      </c>
      <c r="BW23" s="108" t="s">
        <v>562</v>
      </c>
      <c r="BX23" s="248" t="s">
        <v>832</v>
      </c>
      <c r="BY23" s="139" t="str">
        <f t="shared" si="5"/>
        <v>ДП СТАНДАРТ.2/А.Бронза</v>
      </c>
      <c r="CA23" s="742" t="s">
        <v>3175</v>
      </c>
      <c r="CB23" s="783" t="s">
        <v>5756</v>
      </c>
      <c r="CC23" s="138" t="str">
        <f t="shared" si="29"/>
        <v>ДП СТАНДАРТ.фальц.робоча.Stand кл Лів +3завіс</v>
      </c>
      <c r="CE23" s="479"/>
      <c r="CF23" s="427"/>
      <c r="CG23" s="428"/>
      <c r="CI23" s="146" t="s">
        <v>4300</v>
      </c>
      <c r="CJ23" s="137" t="s">
        <v>4827</v>
      </c>
      <c r="CK23" s="138" t="str">
        <f>CONCATENATE(CI23,".",CJ23)</f>
        <v>Magnet цл +2завіс.Ліва</v>
      </c>
      <c r="CM23" s="424" t="s">
        <v>3190</v>
      </c>
      <c r="CN23" s="62" t="s">
        <v>371</v>
      </c>
      <c r="CO23" s="139" t="str">
        <f t="shared" si="26"/>
        <v>ДП КУПАВА.фальц.робоча.Verto-FIT Plus</v>
      </c>
      <c r="CQ23" s="144" t="s">
        <v>841</v>
      </c>
      <c r="CR23" s="158" t="s">
        <v>477</v>
      </c>
      <c r="CS23" s="139" t="str">
        <f t="shared" si="8"/>
        <v>Verto-FIT.I</v>
      </c>
      <c r="CU23" s="143" t="s">
        <v>840</v>
      </c>
      <c r="CV23" s="157"/>
      <c r="CW23" s="138"/>
      <c r="CY23" s="222"/>
      <c r="CZ23" s="222"/>
      <c r="DA23" s="223"/>
      <c r="DD23" s="165" t="s">
        <v>1897</v>
      </c>
      <c r="DE23" s="166">
        <v>6060</v>
      </c>
      <c r="DF23" s="522">
        <f t="shared" si="30"/>
        <v>6060</v>
      </c>
      <c r="DG23" s="523"/>
      <c r="DH23" s="524">
        <f t="shared" ref="DH23:DH36" si="33">IF(DG23="",DF23,
IF(AND($DE$10&gt;=VLOOKUP(DG23,$DD$5:$DH$9,2,0),$DE$10&lt;=VLOOKUP(DG23,$DD$5:$DH$9,3,0)),
(DF23*(1-VLOOKUP(DG23,$DD$5:$DH$9,4,0))),
DF23))</f>
        <v>6060</v>
      </c>
      <c r="DJ23" s="108" t="s">
        <v>223</v>
      </c>
      <c r="DK23" s="164">
        <v>1300</v>
      </c>
      <c r="DL23" s="531">
        <f t="shared" si="11"/>
        <v>1300</v>
      </c>
      <c r="DM23" s="526"/>
      <c r="DN23" s="527">
        <f t="shared" si="27"/>
        <v>1300</v>
      </c>
      <c r="DP23" s="108" t="s">
        <v>1813</v>
      </c>
      <c r="DQ23" s="164">
        <v>550</v>
      </c>
      <c r="DR23" s="525">
        <f t="shared" si="13"/>
        <v>550</v>
      </c>
      <c r="DS23" s="526"/>
      <c r="DT23" s="527">
        <f t="shared" si="14"/>
        <v>550</v>
      </c>
      <c r="DU23" s="166"/>
      <c r="DV23" s="738" t="s">
        <v>6219</v>
      </c>
      <c r="DW23" s="166">
        <v>1</v>
      </c>
      <c r="DX23" s="522">
        <f t="shared" si="15"/>
        <v>1</v>
      </c>
      <c r="DY23" s="523"/>
      <c r="DZ23" s="524">
        <f t="shared" si="16"/>
        <v>1</v>
      </c>
      <c r="EB23" s="165" t="s">
        <v>2348</v>
      </c>
      <c r="EC23" s="166">
        <v>0</v>
      </c>
      <c r="ED23" s="522">
        <f t="shared" si="17"/>
        <v>0</v>
      </c>
      <c r="EE23" s="523"/>
      <c r="EF23" s="524">
        <f t="shared" si="18"/>
        <v>0</v>
      </c>
      <c r="EG23" s="165"/>
      <c r="EH23" s="739" t="s">
        <v>3344</v>
      </c>
      <c r="EI23" s="164">
        <v>950</v>
      </c>
      <c r="EJ23" s="531">
        <f t="shared" si="19"/>
        <v>950</v>
      </c>
      <c r="EK23" s="526"/>
      <c r="EL23" s="527">
        <f t="shared" si="31"/>
        <v>950</v>
      </c>
    </row>
    <row r="24" spans="2:142">
      <c r="B24" s="30"/>
      <c r="C24" s="410" t="s">
        <v>2591</v>
      </c>
      <c r="D24" s="733" t="s">
        <v>728</v>
      </c>
      <c r="E24" s="29"/>
      <c r="G24" s="21"/>
      <c r="H24" s="21"/>
      <c r="I24" s="21"/>
      <c r="J24" s="21"/>
      <c r="K24" s="21"/>
      <c r="L24" s="154" t="s">
        <v>722</v>
      </c>
      <c r="M24" s="21" t="s">
        <v>482</v>
      </c>
      <c r="N24" s="159" t="s">
        <v>2080</v>
      </c>
      <c r="O24" s="819" t="s">
        <v>728</v>
      </c>
      <c r="P24" s="21"/>
      <c r="Q24" s="154" t="s">
        <v>722</v>
      </c>
      <c r="R24" s="151" t="s">
        <v>197</v>
      </c>
      <c r="S24" s="159" t="s">
        <v>141</v>
      </c>
      <c r="T24" s="21"/>
      <c r="U24" s="752" t="s">
        <v>3195</v>
      </c>
      <c r="V24" s="151" t="s">
        <v>1733</v>
      </c>
      <c r="W24" s="159" t="s">
        <v>2217</v>
      </c>
      <c r="X24" s="21"/>
      <c r="Y24" s="143" t="s">
        <v>1833</v>
      </c>
      <c r="Z24" s="493">
        <v>124</v>
      </c>
      <c r="AA24" s="160" t="s">
        <v>5482</v>
      </c>
      <c r="AB24" s="21"/>
      <c r="AF24" s="21"/>
      <c r="AG24" s="45"/>
      <c r="AH24" s="98"/>
      <c r="AI24" s="94"/>
      <c r="AJ24" s="21"/>
      <c r="AK24" s="777" t="s">
        <v>4296</v>
      </c>
      <c r="AL24" s="478" t="s">
        <v>159</v>
      </c>
      <c r="AM24" s="584" t="s">
        <v>2273</v>
      </c>
      <c r="AN24" s="21"/>
      <c r="AO24" s="777" t="s">
        <v>4829</v>
      </c>
      <c r="AP24" s="151" t="s">
        <v>5495</v>
      </c>
      <c r="AQ24" s="584" t="s">
        <v>2321</v>
      </c>
      <c r="AU24" s="44" t="s">
        <v>609</v>
      </c>
      <c r="AV24" s="149" t="s">
        <v>188</v>
      </c>
      <c r="AW24" s="139" t="str">
        <f t="shared" si="28"/>
        <v>ДП КУПАВА.4/1</v>
      </c>
      <c r="AY24" s="234" t="s">
        <v>564</v>
      </c>
      <c r="AZ24" s="137" t="s">
        <v>1719</v>
      </c>
      <c r="BA24" s="138" t="str">
        <f t="shared" si="1"/>
        <v>ДП СТАНДАРТ.3/0.фальц</v>
      </c>
      <c r="BB24" s="121"/>
      <c r="BC24" s="432"/>
      <c r="BD24" s="222"/>
      <c r="BE24" s="223"/>
      <c r="BF24" s="121"/>
      <c r="BG24" s="146" t="s">
        <v>3183</v>
      </c>
      <c r="BH24" s="137" t="s">
        <v>324</v>
      </c>
      <c r="BI24" s="138" t="str">
        <f t="shared" si="32"/>
        <v>робоча..90</v>
      </c>
      <c r="BK24" s="136" t="s">
        <v>2407</v>
      </c>
      <c r="BL24" s="137" t="s">
        <v>409</v>
      </c>
      <c r="BM24" s="138" t="str">
        <f t="shared" si="3"/>
        <v>ДП Ідея.Verto-Cell</v>
      </c>
      <c r="BO24" s="146" t="s">
        <v>409</v>
      </c>
      <c r="BP24" s="255" t="s">
        <v>1832</v>
      </c>
      <c r="BQ24" s="138" t="str">
        <f t="shared" si="25"/>
        <v>Verto-Cell.122 Сосна аз.</v>
      </c>
      <c r="BS24" s="133" t="s">
        <v>566</v>
      </c>
      <c r="BT24" s="101" t="s">
        <v>4066</v>
      </c>
      <c r="BU24" s="135" t="str">
        <f t="shared" si="4"/>
        <v>ДП СТАНДАРТ.4/0.Сотове</v>
      </c>
      <c r="BW24" s="162" t="s">
        <v>563</v>
      </c>
      <c r="BX24" s="246" t="s">
        <v>459</v>
      </c>
      <c r="BY24" s="135" t="str">
        <f t="shared" si="5"/>
        <v>ДП СТАНДАРТ.2/Б.Кризет</v>
      </c>
      <c r="CA24" s="742" t="s">
        <v>3175</v>
      </c>
      <c r="CB24" s="783" t="s">
        <v>5757</v>
      </c>
      <c r="CC24" s="138" t="str">
        <f t="shared" si="29"/>
        <v>ДП СТАНДАРТ.фальц.робоча.Stand кл Пр +3завіс</v>
      </c>
      <c r="CE24" s="742" t="s">
        <v>3190</v>
      </c>
      <c r="CF24" s="134"/>
      <c r="CG24" s="138" t="str">
        <f t="shared" ref="CG24:CG30" si="34">CONCATENATE(CE24,".",CF24)</f>
        <v>ДП КУПАВА.фальц.робоча.</v>
      </c>
      <c r="CI24" s="147" t="s">
        <v>4300</v>
      </c>
      <c r="CJ24" s="62" t="s">
        <v>4857</v>
      </c>
      <c r="CK24" s="139" t="str">
        <f>CONCATENATE(CI24,".",CJ24)</f>
        <v>Magnet цл +2завіс.Права</v>
      </c>
      <c r="CM24" s="424" t="s">
        <v>3196</v>
      </c>
      <c r="CN24" s="62" t="s">
        <v>4106</v>
      </c>
      <c r="CO24" s="70" t="str">
        <f t="shared" si="26"/>
        <v>ДП КУПАВА.фальц.неробоча.(ні)</v>
      </c>
      <c r="CQ24" s="142" t="s">
        <v>371</v>
      </c>
      <c r="CR24" s="156" t="s">
        <v>469</v>
      </c>
      <c r="CS24" s="135" t="str">
        <f t="shared" ref="CS24:CS33" si="35">CONCATENATE(CQ24,".",CR24)</f>
        <v>Verto-FIT Plus.A</v>
      </c>
      <c r="CU24" s="143" t="s">
        <v>840</v>
      </c>
      <c r="CV24" s="542" t="s">
        <v>1127</v>
      </c>
      <c r="CW24" s="138" t="str">
        <f t="shared" ref="CW24:CW29" si="36">CONCATENATE(CU24,".",CV24)</f>
        <v>Standard.М80 1кт</v>
      </c>
      <c r="CY24" s="231" t="s">
        <v>1719</v>
      </c>
      <c r="CZ24" s="232" t="s">
        <v>95</v>
      </c>
      <c r="DA24" s="135" t="s">
        <v>856</v>
      </c>
      <c r="DD24" s="165" t="s">
        <v>1898</v>
      </c>
      <c r="DE24" s="166">
        <v>6440</v>
      </c>
      <c r="DF24" s="522">
        <f t="shared" si="30"/>
        <v>6440</v>
      </c>
      <c r="DG24" s="523"/>
      <c r="DH24" s="524">
        <f t="shared" si="33"/>
        <v>6440</v>
      </c>
      <c r="DJ24" s="738" t="s">
        <v>4073</v>
      </c>
      <c r="DK24" s="166">
        <v>0</v>
      </c>
      <c r="DL24" s="522">
        <f t="shared" si="11"/>
        <v>0</v>
      </c>
      <c r="DM24" s="523"/>
      <c r="DN24" s="524">
        <f t="shared" si="27"/>
        <v>0</v>
      </c>
      <c r="DP24" s="162" t="s">
        <v>637</v>
      </c>
      <c r="DQ24" s="163">
        <v>0</v>
      </c>
      <c r="DR24" s="528">
        <f t="shared" si="13"/>
        <v>0</v>
      </c>
      <c r="DS24" s="529"/>
      <c r="DT24" s="530">
        <f t="shared" si="14"/>
        <v>0</v>
      </c>
      <c r="DU24" s="166"/>
      <c r="DV24" s="739" t="s">
        <v>6220</v>
      </c>
      <c r="DW24" s="164">
        <v>1</v>
      </c>
      <c r="DX24" s="525">
        <f t="shared" si="15"/>
        <v>1</v>
      </c>
      <c r="DY24" s="526"/>
      <c r="DZ24" s="527">
        <f t="shared" si="16"/>
        <v>1</v>
      </c>
      <c r="EB24" s="738" t="s">
        <v>4266</v>
      </c>
      <c r="EC24" s="166">
        <v>250</v>
      </c>
      <c r="ED24" s="522">
        <f t="shared" si="17"/>
        <v>250</v>
      </c>
      <c r="EE24" s="523"/>
      <c r="EF24" s="524">
        <f t="shared" si="18"/>
        <v>250</v>
      </c>
      <c r="EG24" s="165"/>
      <c r="EH24" s="738" t="s">
        <v>5069</v>
      </c>
      <c r="EI24" s="166">
        <v>0</v>
      </c>
      <c r="EJ24" s="522">
        <f>ROUND(((EI24-(EI24/6))/$DD$3)*$DE$3,2)</f>
        <v>0</v>
      </c>
      <c r="EK24" s="523"/>
      <c r="EL24" s="524">
        <f>IF(EK24="",EJ24,
IF(AND($EI$10&gt;=VLOOKUP(EK24,$EH$5:$EL$9,2,0),$EI$10&lt;=VLOOKUP(EK24,$EH$5:$EL$9,3,0)),
(EJ24*(1-VLOOKUP(EK24,$EH$5:$EL$9,4,0))),
EJ24))</f>
        <v>0</v>
      </c>
    </row>
    <row r="25" spans="2:142">
      <c r="B25" s="30"/>
      <c r="C25" s="410" t="s">
        <v>552</v>
      </c>
      <c r="D25" s="417" t="s">
        <v>728</v>
      </c>
      <c r="E25" s="29"/>
      <c r="G25" s="21"/>
      <c r="H25" s="21"/>
      <c r="I25" s="21"/>
      <c r="J25" s="21"/>
      <c r="K25" s="21"/>
      <c r="L25" s="154" t="s">
        <v>723</v>
      </c>
      <c r="M25" s="21" t="s">
        <v>482</v>
      </c>
      <c r="N25" s="159" t="s">
        <v>2080</v>
      </c>
      <c r="O25" s="819" t="s">
        <v>728</v>
      </c>
      <c r="P25" s="21"/>
      <c r="Q25" s="154" t="s">
        <v>723</v>
      </c>
      <c r="R25" s="151" t="s">
        <v>185</v>
      </c>
      <c r="S25" s="159" t="s">
        <v>143</v>
      </c>
      <c r="T25" s="21"/>
      <c r="U25" s="752" t="s">
        <v>3197</v>
      </c>
      <c r="V25" s="151" t="s">
        <v>1734</v>
      </c>
      <c r="W25" s="159" t="s">
        <v>2218</v>
      </c>
      <c r="X25" s="21"/>
      <c r="Y25" s="143" t="s">
        <v>1834</v>
      </c>
      <c r="Z25" s="493">
        <v>125</v>
      </c>
      <c r="AA25" s="160" t="s">
        <v>2242</v>
      </c>
      <c r="AB25" s="21"/>
      <c r="AF25" s="21"/>
      <c r="AG25" s="49"/>
      <c r="AH25" s="98"/>
      <c r="AI25" s="94"/>
      <c r="AJ25" s="21"/>
      <c r="AK25" s="778" t="s">
        <v>4298</v>
      </c>
      <c r="AL25" s="590" t="s">
        <v>164</v>
      </c>
      <c r="AM25" s="586" t="s">
        <v>2274</v>
      </c>
      <c r="AN25" s="21"/>
      <c r="AO25" s="778" t="s">
        <v>4859</v>
      </c>
      <c r="AP25" s="152" t="s">
        <v>177</v>
      </c>
      <c r="AQ25" s="586" t="s">
        <v>2324</v>
      </c>
      <c r="AU25" s="136" t="s">
        <v>2346</v>
      </c>
      <c r="AV25" s="148" t="s">
        <v>194</v>
      </c>
      <c r="AW25" s="138" t="str">
        <f t="shared" si="28"/>
        <v>ДП Геометрія.1/0</v>
      </c>
      <c r="AY25" s="234" t="s">
        <v>564</v>
      </c>
      <c r="AZ25" s="137" t="s">
        <v>1721</v>
      </c>
      <c r="BA25" s="138" t="str">
        <f t="shared" si="1"/>
        <v>ДП СТАНДАРТ.3/0.б/з фальц</v>
      </c>
      <c r="BB25" s="121"/>
      <c r="BC25" s="86" t="s">
        <v>4078</v>
      </c>
      <c r="BD25" s="41" t="s">
        <v>3183</v>
      </c>
      <c r="BE25" s="70" t="str">
        <f>CONCATENATE(BC25,".",BD25)</f>
        <v>Скло.робоча.</v>
      </c>
      <c r="BF25" s="121"/>
      <c r="BG25" s="147" t="s">
        <v>3183</v>
      </c>
      <c r="BH25" s="62" t="s">
        <v>325</v>
      </c>
      <c r="BI25" s="139" t="str">
        <f>CONCATENATE(BG25,".",BH25)</f>
        <v>робоча..100</v>
      </c>
      <c r="BK25" s="136" t="s">
        <v>2407</v>
      </c>
      <c r="BL25" s="137" t="s">
        <v>1893</v>
      </c>
      <c r="BM25" s="138" t="str">
        <f>CONCATENATE(BK25,".",BL25)</f>
        <v>ДП Ідея.Uni-Mat</v>
      </c>
      <c r="BO25" s="146" t="s">
        <v>409</v>
      </c>
      <c r="BP25" s="21" t="s">
        <v>2071</v>
      </c>
      <c r="BQ25" s="138" t="str">
        <f t="shared" si="25"/>
        <v>Verto-Cell.123 Дуб гесато</v>
      </c>
      <c r="BS25" s="44" t="s">
        <v>566</v>
      </c>
      <c r="BT25" s="254" t="s">
        <v>316</v>
      </c>
      <c r="BU25" s="139" t="str">
        <f t="shared" si="4"/>
        <v>ДП СТАНДАРТ.4/0.ДСП тр.</v>
      </c>
      <c r="BW25" s="165" t="s">
        <v>563</v>
      </c>
      <c r="BX25" s="247" t="s">
        <v>458</v>
      </c>
      <c r="BY25" s="138" t="str">
        <f>CONCATENATE(BW25,".",BX25)</f>
        <v>ДП СТАНДАРТ.2/Б.Сатин</v>
      </c>
      <c r="CA25" s="742" t="s">
        <v>3175</v>
      </c>
      <c r="CB25" s="783" t="s">
        <v>5758</v>
      </c>
      <c r="CC25" s="138" t="str">
        <f t="shared" si="29"/>
        <v>ДП СТАНДАРТ.фальц.робоча.Stand ст Лів +3завіс</v>
      </c>
      <c r="CE25" s="424" t="s">
        <v>3190</v>
      </c>
      <c r="CF25" s="62" t="s">
        <v>739</v>
      </c>
      <c r="CG25" s="139" t="str">
        <f t="shared" si="34"/>
        <v>ДП КУПАВА.фальц.робоча.ВП</v>
      </c>
      <c r="CI25" s="146" t="s">
        <v>4305</v>
      </c>
      <c r="CJ25" s="137" t="s">
        <v>4827</v>
      </c>
      <c r="CK25" s="138" t="str">
        <f>CONCATENATE(CI25,".",CJ25)</f>
        <v>Magnet ст +2завіс.Ліва</v>
      </c>
      <c r="CM25" s="86" t="s">
        <v>3198</v>
      </c>
      <c r="CN25" s="56" t="s">
        <v>941</v>
      </c>
      <c r="CO25" s="70" t="str">
        <f t="shared" si="26"/>
        <v>ДП КУПАВА.б/з фальц.робоча.Verto-FIT Comfort</v>
      </c>
      <c r="CQ25" s="143" t="s">
        <v>371</v>
      </c>
      <c r="CR25" s="542" t="s">
        <v>470</v>
      </c>
      <c r="CS25" s="138" t="str">
        <f t="shared" si="35"/>
        <v>Verto-FIT Plus.B</v>
      </c>
      <c r="CU25" s="143" t="s">
        <v>840</v>
      </c>
      <c r="CV25" s="542" t="s">
        <v>1128</v>
      </c>
      <c r="CW25" s="138" t="str">
        <f t="shared" si="36"/>
        <v>Standard.М80 2кт</v>
      </c>
      <c r="CY25" s="146" t="s">
        <v>1722</v>
      </c>
      <c r="CZ25" s="233" t="s">
        <v>95</v>
      </c>
      <c r="DA25" s="138" t="s">
        <v>856</v>
      </c>
      <c r="DD25" s="165" t="s">
        <v>1899</v>
      </c>
      <c r="DE25" s="166">
        <v>5720</v>
      </c>
      <c r="DF25" s="522">
        <f t="shared" si="30"/>
        <v>5720</v>
      </c>
      <c r="DG25" s="523"/>
      <c r="DH25" s="524">
        <f t="shared" si="33"/>
        <v>5720</v>
      </c>
      <c r="DJ25" s="108" t="s">
        <v>2409</v>
      </c>
      <c r="DK25" s="164">
        <v>1300</v>
      </c>
      <c r="DL25" s="531">
        <f t="shared" si="11"/>
        <v>1300</v>
      </c>
      <c r="DM25" s="526"/>
      <c r="DN25" s="527">
        <f t="shared" si="27"/>
        <v>1300</v>
      </c>
      <c r="DP25" s="165" t="s">
        <v>638</v>
      </c>
      <c r="DQ25" s="166">
        <v>420</v>
      </c>
      <c r="DR25" s="522">
        <f>ROUND(((DQ25-(DQ25/6))/$DD$3)*$DE$3,2)</f>
        <v>420</v>
      </c>
      <c r="DS25" s="523"/>
      <c r="DT25" s="524">
        <f>IF(DS25="",DR25,
IF(AND($DQ$10&gt;=VLOOKUP(DS25,$DP$5:$DT$9,2,0),$DQ$10&lt;=VLOOKUP(DS25,$DP$5:$DT$9,3,0)),
(DR25*(1-VLOOKUP(DS25,$DP$5:$DT$9,4,0))),
DR25))</f>
        <v>420</v>
      </c>
      <c r="DU25" s="166"/>
      <c r="DV25" s="737" t="s">
        <v>5772</v>
      </c>
      <c r="DW25" s="163">
        <v>80</v>
      </c>
      <c r="DX25" s="528">
        <f t="shared" si="15"/>
        <v>80</v>
      </c>
      <c r="DY25" s="529"/>
      <c r="DZ25" s="530">
        <f t="shared" si="16"/>
        <v>80</v>
      </c>
      <c r="EB25" s="108" t="s">
        <v>2349</v>
      </c>
      <c r="EC25" s="164">
        <v>170</v>
      </c>
      <c r="ED25" s="531">
        <f t="shared" si="17"/>
        <v>170</v>
      </c>
      <c r="EE25" s="526"/>
      <c r="EF25" s="527">
        <f t="shared" si="18"/>
        <v>170</v>
      </c>
      <c r="EG25" s="165"/>
      <c r="EH25" s="739" t="s">
        <v>5070</v>
      </c>
      <c r="EI25" s="164">
        <v>1020</v>
      </c>
      <c r="EJ25" s="531">
        <f>ROUND(((EI25-(EI25/6))/$DD$3)*$DE$3,2)</f>
        <v>1020</v>
      </c>
      <c r="EK25" s="526"/>
      <c r="EL25" s="527">
        <f>IF(EK25="",EJ25,
IF(AND($EI$10&gt;=VLOOKUP(EK25,$EH$5:$EL$9,2,0),$EI$10&lt;=VLOOKUP(EK25,$EH$5:$EL$9,3,0)),
(EJ25*(1-VLOOKUP(EK25,$EH$5:$EL$9,4,0))),
EJ25))</f>
        <v>1020</v>
      </c>
    </row>
    <row r="26" spans="2:142">
      <c r="B26" s="30"/>
      <c r="C26" s="410" t="s">
        <v>403</v>
      </c>
      <c r="D26" s="417" t="s">
        <v>728</v>
      </c>
      <c r="E26" s="29"/>
      <c r="G26" s="21"/>
      <c r="H26" s="21"/>
      <c r="I26" s="21"/>
      <c r="J26" s="21"/>
      <c r="K26" s="21"/>
      <c r="L26" s="154" t="s">
        <v>724</v>
      </c>
      <c r="M26" s="21" t="s">
        <v>482</v>
      </c>
      <c r="N26" s="159" t="s">
        <v>2080</v>
      </c>
      <c r="O26" s="819" t="s">
        <v>728</v>
      </c>
      <c r="P26" s="21"/>
      <c r="Q26" s="154" t="s">
        <v>724</v>
      </c>
      <c r="R26" s="151" t="s">
        <v>186</v>
      </c>
      <c r="S26" s="159" t="s">
        <v>144</v>
      </c>
      <c r="T26" s="21"/>
      <c r="U26" s="752" t="s">
        <v>3199</v>
      </c>
      <c r="V26" s="151" t="s">
        <v>1735</v>
      </c>
      <c r="W26" s="159" t="s">
        <v>2219</v>
      </c>
      <c r="X26" s="21"/>
      <c r="Y26" s="143" t="s">
        <v>6508</v>
      </c>
      <c r="Z26" s="493">
        <v>126</v>
      </c>
      <c r="AA26" s="160" t="s">
        <v>6509</v>
      </c>
      <c r="AB26" s="21"/>
      <c r="AF26" s="21"/>
      <c r="AG26" s="49"/>
      <c r="AH26" s="98"/>
      <c r="AI26" s="94"/>
      <c r="AJ26" s="21"/>
      <c r="AK26" s="777" t="s">
        <v>4299</v>
      </c>
      <c r="AL26" s="478" t="s">
        <v>160</v>
      </c>
      <c r="AM26" s="584" t="s">
        <v>2275</v>
      </c>
      <c r="AN26" s="21"/>
      <c r="AO26" s="777" t="s">
        <v>4830</v>
      </c>
      <c r="AP26" s="151" t="s">
        <v>5495</v>
      </c>
      <c r="AQ26" s="584" t="s">
        <v>2321</v>
      </c>
      <c r="AU26" s="136" t="s">
        <v>2346</v>
      </c>
      <c r="AV26" s="148" t="s">
        <v>195</v>
      </c>
      <c r="AW26" s="138" t="str">
        <f t="shared" si="28"/>
        <v>ДП Геометрія.1/1</v>
      </c>
      <c r="AY26" s="224" t="s">
        <v>564</v>
      </c>
      <c r="AZ26" s="62" t="s">
        <v>1720</v>
      </c>
      <c r="BA26" s="139" t="str">
        <f t="shared" si="1"/>
        <v>ДП СТАНДАРТ.3/0.купе</v>
      </c>
      <c r="BB26" s="121"/>
      <c r="BC26" s="432"/>
      <c r="BD26" s="222"/>
      <c r="BE26" s="223"/>
      <c r="BF26" s="121"/>
      <c r="BG26" s="145" t="s">
        <v>3186</v>
      </c>
      <c r="BH26" s="134" t="s">
        <v>756</v>
      </c>
      <c r="BI26" s="135" t="str">
        <f t="shared" si="32"/>
        <v>неробоча..40</v>
      </c>
      <c r="BK26" s="44" t="s">
        <v>2407</v>
      </c>
      <c r="BL26" s="62" t="s">
        <v>557</v>
      </c>
      <c r="BM26" s="139" t="str">
        <f t="shared" si="3"/>
        <v>ДП Ідея.Резист</v>
      </c>
      <c r="BO26" s="146" t="s">
        <v>409</v>
      </c>
      <c r="BP26" s="255" t="s">
        <v>1833</v>
      </c>
      <c r="BQ26" s="138" t="str">
        <f t="shared" ref="BQ26:BQ33" si="37">CONCATENATE(BO26,".",BP26)</f>
        <v>Verto-Cell.124 Дуб делано</v>
      </c>
      <c r="BS26" s="133" t="s">
        <v>567</v>
      </c>
      <c r="BT26" s="101" t="s">
        <v>4066</v>
      </c>
      <c r="BU26" s="135" t="str">
        <f t="shared" si="4"/>
        <v>ДП СТАНДАРТ.4/1.Сотове</v>
      </c>
      <c r="BW26" s="165" t="s">
        <v>563</v>
      </c>
      <c r="BX26" s="770" t="s">
        <v>3851</v>
      </c>
      <c r="BY26" s="138" t="str">
        <f t="shared" si="5"/>
        <v>ДП СТАНДАРТ.2/Б.Графіт</v>
      </c>
      <c r="CA26" s="742" t="s">
        <v>3175</v>
      </c>
      <c r="CB26" s="783" t="s">
        <v>5759</v>
      </c>
      <c r="CC26" s="138" t="str">
        <f t="shared" si="29"/>
        <v>ДП СТАНДАРТ.фальц.робоча.Stand ст Пр +3завіс</v>
      </c>
      <c r="CE26" s="742" t="s">
        <v>3196</v>
      </c>
      <c r="CF26" s="137"/>
      <c r="CG26" s="138" t="str">
        <f t="shared" si="34"/>
        <v>ДП КУПАВА.фальц.неробоча.</v>
      </c>
      <c r="CI26" s="147" t="s">
        <v>4305</v>
      </c>
      <c r="CJ26" s="62" t="s">
        <v>4857</v>
      </c>
      <c r="CK26" s="139" t="str">
        <f>CONCATENATE(CI26,".",CJ26)</f>
        <v>Magnet ст +2завіс.Права</v>
      </c>
      <c r="CM26" s="86" t="s">
        <v>3200</v>
      </c>
      <c r="CN26" s="56" t="s">
        <v>841</v>
      </c>
      <c r="CO26" s="70" t="str">
        <f t="shared" si="26"/>
        <v>ДП КУПАВА.купе.робоча.Verto-FIT</v>
      </c>
      <c r="CQ26" s="143" t="s">
        <v>371</v>
      </c>
      <c r="CR26" s="542" t="s">
        <v>1184</v>
      </c>
      <c r="CS26" s="138" t="str">
        <f>CONCATENATE(CQ26,".",CR26)</f>
        <v>Verto-FIT Plus.B+</v>
      </c>
      <c r="CU26" s="142" t="s">
        <v>841</v>
      </c>
      <c r="CV26" s="779" t="s">
        <v>5418</v>
      </c>
      <c r="CW26" s="135" t="str">
        <f t="shared" si="36"/>
        <v>Verto-FIT.в ціні</v>
      </c>
      <c r="CY26" s="224" t="s">
        <v>1725</v>
      </c>
      <c r="CZ26" s="225" t="s">
        <v>95</v>
      </c>
      <c r="DA26" s="139" t="s">
        <v>856</v>
      </c>
      <c r="DD26" s="165" t="s">
        <v>1900</v>
      </c>
      <c r="DE26" s="166">
        <v>5720</v>
      </c>
      <c r="DF26" s="522">
        <f t="shared" si="30"/>
        <v>5720</v>
      </c>
      <c r="DG26" s="523"/>
      <c r="DH26" s="524">
        <f t="shared" si="33"/>
        <v>5720</v>
      </c>
      <c r="DJ26" s="738" t="s">
        <v>4074</v>
      </c>
      <c r="DK26" s="166">
        <v>0</v>
      </c>
      <c r="DL26" s="522">
        <f>ROUND(((DK26-(DK26/6))/$DD$3)*$DE$3,2)</f>
        <v>0</v>
      </c>
      <c r="DM26" s="523"/>
      <c r="DN26" s="524">
        <f t="shared" si="27"/>
        <v>0</v>
      </c>
      <c r="DP26" s="738" t="s">
        <v>3855</v>
      </c>
      <c r="DQ26" s="166">
        <v>550</v>
      </c>
      <c r="DR26" s="522">
        <f t="shared" si="13"/>
        <v>550</v>
      </c>
      <c r="DS26" s="523"/>
      <c r="DT26" s="524">
        <f t="shared" si="14"/>
        <v>550</v>
      </c>
      <c r="DU26" s="166"/>
      <c r="DV26" s="737" t="s">
        <v>5773</v>
      </c>
      <c r="DW26" s="163">
        <v>80</v>
      </c>
      <c r="DX26" s="528">
        <f>ROUND(((DW26-(DW26/6))/$DD$3)*$DE$3,2)</f>
        <v>80</v>
      </c>
      <c r="DY26" s="529"/>
      <c r="DZ26" s="530">
        <f>IF(DY26="",DX26,
IF(AND($DW$10&gt;=VLOOKUP(DY26,$DV$5:$DZ$9,2,0),$DW$10&lt;=VLOOKUP(DY26,$DV$5:$DZ$9,3,0)),
(DX26*(1-VLOOKUP(DY26,$DV$5:$DZ$9,4,0))),
DX26))</f>
        <v>80</v>
      </c>
      <c r="EB26" s="165" t="s">
        <v>893</v>
      </c>
      <c r="EC26" s="166">
        <v>0</v>
      </c>
      <c r="ED26" s="522">
        <f t="shared" si="17"/>
        <v>0</v>
      </c>
      <c r="EE26" s="523"/>
      <c r="EF26" s="530">
        <f t="shared" si="18"/>
        <v>0</v>
      </c>
      <c r="EG26" s="165"/>
      <c r="EH26" s="738" t="s">
        <v>3345</v>
      </c>
      <c r="EI26" s="166">
        <v>0</v>
      </c>
      <c r="EJ26" s="522">
        <f t="shared" si="19"/>
        <v>0</v>
      </c>
      <c r="EK26" s="523"/>
      <c r="EL26" s="524">
        <f t="shared" si="31"/>
        <v>0</v>
      </c>
    </row>
    <row r="27" spans="2:142">
      <c r="B27" s="30"/>
      <c r="C27" s="410" t="s">
        <v>2651</v>
      </c>
      <c r="D27" s="733" t="s">
        <v>728</v>
      </c>
      <c r="E27" s="29"/>
      <c r="G27" s="21"/>
      <c r="H27" s="21"/>
      <c r="I27" s="21"/>
      <c r="J27" s="21"/>
      <c r="K27" s="21"/>
      <c r="L27" s="154" t="s">
        <v>725</v>
      </c>
      <c r="M27" s="21" t="s">
        <v>482</v>
      </c>
      <c r="N27" s="159" t="s">
        <v>2080</v>
      </c>
      <c r="O27" s="819" t="s">
        <v>728</v>
      </c>
      <c r="P27" s="21"/>
      <c r="Q27" s="154" t="s">
        <v>725</v>
      </c>
      <c r="R27" s="151" t="s">
        <v>187</v>
      </c>
      <c r="S27" s="159" t="s">
        <v>147</v>
      </c>
      <c r="T27" s="21"/>
      <c r="U27" s="750" t="s">
        <v>3201</v>
      </c>
      <c r="V27" s="152" t="s">
        <v>1736</v>
      </c>
      <c r="W27" s="160" t="s">
        <v>2220</v>
      </c>
      <c r="X27" s="21"/>
      <c r="Y27" s="143" t="s">
        <v>6471</v>
      </c>
      <c r="Z27" s="493">
        <v>127</v>
      </c>
      <c r="AA27" s="160" t="s">
        <v>6470</v>
      </c>
      <c r="AB27" s="21"/>
      <c r="AF27" s="21"/>
      <c r="AG27" s="49"/>
      <c r="AH27" s="98"/>
      <c r="AI27" s="94"/>
      <c r="AJ27" s="21"/>
      <c r="AK27" s="777" t="s">
        <v>4302</v>
      </c>
      <c r="AL27" s="478" t="s">
        <v>981</v>
      </c>
      <c r="AM27" s="584" t="s">
        <v>2276</v>
      </c>
      <c r="AN27" s="21"/>
      <c r="AO27" s="778" t="s">
        <v>4860</v>
      </c>
      <c r="AP27" s="152" t="s">
        <v>177</v>
      </c>
      <c r="AQ27" s="586" t="s">
        <v>2324</v>
      </c>
      <c r="AU27" s="136" t="s">
        <v>2346</v>
      </c>
      <c r="AV27" s="148" t="s">
        <v>185</v>
      </c>
      <c r="AW27" s="138" t="str">
        <f t="shared" si="28"/>
        <v>ДП Геометрія.3/0</v>
      </c>
      <c r="AY27" s="234" t="s">
        <v>565</v>
      </c>
      <c r="AZ27" s="137" t="s">
        <v>1719</v>
      </c>
      <c r="BA27" s="138" t="str">
        <f t="shared" si="1"/>
        <v>ДП СТАНДАРТ.3/1.фальц</v>
      </c>
      <c r="BB27" s="121"/>
      <c r="BC27" s="44" t="s">
        <v>1726</v>
      </c>
      <c r="BD27" s="149" t="s">
        <v>3202</v>
      </c>
      <c r="BE27" s="139" t="str">
        <f>CONCATENATE(BC27,".",BD27)</f>
        <v>фальц...неробоча..</v>
      </c>
      <c r="BF27" s="121"/>
      <c r="BG27" s="146" t="s">
        <v>3186</v>
      </c>
      <c r="BH27" s="137" t="s">
        <v>321</v>
      </c>
      <c r="BI27" s="138" t="str">
        <f t="shared" si="32"/>
        <v>неробоча..60</v>
      </c>
      <c r="BK27" s="44" t="s">
        <v>2410</v>
      </c>
      <c r="BL27" s="62" t="s">
        <v>1836</v>
      </c>
      <c r="BM27" s="139" t="str">
        <f>CONCATENATE(BK27,".",BL27)</f>
        <v>ДП Ідея-ЛОФТ.Лофт</v>
      </c>
      <c r="BO27" s="146" t="s">
        <v>409</v>
      </c>
      <c r="BP27" s="255" t="s">
        <v>1834</v>
      </c>
      <c r="BQ27" s="138" t="str">
        <f t="shared" si="37"/>
        <v>Verto-Cell.125 Дуб катан.</v>
      </c>
      <c r="BS27" s="44" t="s">
        <v>567</v>
      </c>
      <c r="BT27" s="254" t="s">
        <v>316</v>
      </c>
      <c r="BU27" s="139" t="str">
        <f t="shared" si="4"/>
        <v>ДП СТАНДАРТ.4/1.ДСП тр.</v>
      </c>
      <c r="BW27" s="108" t="s">
        <v>563</v>
      </c>
      <c r="BX27" s="248" t="s">
        <v>832</v>
      </c>
      <c r="BY27" s="139" t="str">
        <f t="shared" si="5"/>
        <v>ДП СТАНДАРТ.2/Б.Бронза</v>
      </c>
      <c r="CA27" s="742" t="s">
        <v>3175</v>
      </c>
      <c r="CB27" s="21"/>
      <c r="CC27" s="21"/>
      <c r="CE27" s="424" t="s">
        <v>3196</v>
      </c>
      <c r="CF27" s="62" t="s">
        <v>739</v>
      </c>
      <c r="CG27" s="139" t="str">
        <f t="shared" si="34"/>
        <v>ДП КУПАВА.фальц.неробоча.ВП</v>
      </c>
      <c r="CI27" s="146" t="s">
        <v>6204</v>
      </c>
      <c r="CJ27" s="137" t="s">
        <v>4827</v>
      </c>
      <c r="CK27" s="138" t="str">
        <f t="shared" si="24"/>
        <v>Magnet цл (чор.) +2завіс.Ліва</v>
      </c>
      <c r="CM27" s="426"/>
      <c r="CN27" s="427"/>
      <c r="CO27" s="428"/>
      <c r="CQ27" s="143" t="s">
        <v>371</v>
      </c>
      <c r="CR27" s="157" t="s">
        <v>471</v>
      </c>
      <c r="CS27" s="138" t="str">
        <f t="shared" si="35"/>
        <v>Verto-FIT Plus.C</v>
      </c>
      <c r="CU27" s="45" t="s">
        <v>371</v>
      </c>
      <c r="CV27" s="794" t="s">
        <v>5418</v>
      </c>
      <c r="CW27" s="70" t="str">
        <f t="shared" si="36"/>
        <v>Verto-FIT Plus.в ціні</v>
      </c>
      <c r="CY27" s="231" t="s">
        <v>1721</v>
      </c>
      <c r="CZ27" s="232" t="s">
        <v>680</v>
      </c>
      <c r="DA27" s="238" t="s">
        <v>856</v>
      </c>
      <c r="DD27" s="165" t="s">
        <v>1901</v>
      </c>
      <c r="DE27" s="166">
        <v>5720</v>
      </c>
      <c r="DF27" s="522">
        <f t="shared" ref="DF27:DF38" si="38">ROUND(((DE27-(DE27/6))/$DD$3)*$DE$3,2)</f>
        <v>5720</v>
      </c>
      <c r="DG27" s="523"/>
      <c r="DH27" s="524">
        <f>IF(DG27="",DF27,
IF(AND($DE$10&gt;=VLOOKUP(DG27,$DD$5:$DH$9,2,0),$DE$10&lt;=VLOOKUP(DG27,$DD$5:$DH$9,3,0)),
(DF27*(1-VLOOKUP(DG27,$DD$5:$DH$9,4,0))),
DF27))</f>
        <v>5720</v>
      </c>
      <c r="DJ27" s="108" t="s">
        <v>2411</v>
      </c>
      <c r="DK27" s="164">
        <v>1300</v>
      </c>
      <c r="DL27" s="531">
        <f>ROUND(((DK27-(DK27/6))/$DD$3)*$DE$3,2)</f>
        <v>1300</v>
      </c>
      <c r="DM27" s="526"/>
      <c r="DN27" s="527">
        <f t="shared" si="27"/>
        <v>1300</v>
      </c>
      <c r="DP27" s="108" t="s">
        <v>1814</v>
      </c>
      <c r="DQ27" s="164">
        <v>550</v>
      </c>
      <c r="DR27" s="525">
        <f t="shared" si="13"/>
        <v>550</v>
      </c>
      <c r="DS27" s="526"/>
      <c r="DT27" s="527">
        <f t="shared" si="14"/>
        <v>550</v>
      </c>
      <c r="DU27" s="166"/>
      <c r="DV27" s="738" t="s">
        <v>5774</v>
      </c>
      <c r="DW27" s="166">
        <v>80</v>
      </c>
      <c r="DX27" s="522">
        <f t="shared" si="15"/>
        <v>80</v>
      </c>
      <c r="DY27" s="523"/>
      <c r="DZ27" s="524">
        <f t="shared" si="16"/>
        <v>80</v>
      </c>
      <c r="EB27" s="738" t="s">
        <v>4267</v>
      </c>
      <c r="EC27" s="166">
        <v>250</v>
      </c>
      <c r="ED27" s="522">
        <f t="shared" si="17"/>
        <v>250</v>
      </c>
      <c r="EE27" s="523"/>
      <c r="EF27" s="524">
        <f t="shared" si="18"/>
        <v>250</v>
      </c>
      <c r="EG27" s="165"/>
      <c r="EH27" s="739" t="s">
        <v>3346</v>
      </c>
      <c r="EI27" s="164">
        <v>1020</v>
      </c>
      <c r="EJ27" s="531">
        <f t="shared" si="19"/>
        <v>1020</v>
      </c>
      <c r="EK27" s="526"/>
      <c r="EL27" s="527">
        <f t="shared" si="31"/>
        <v>1020</v>
      </c>
    </row>
    <row r="28" spans="2:142">
      <c r="B28" s="30"/>
      <c r="C28" s="410" t="s">
        <v>1066</v>
      </c>
      <c r="D28" s="733" t="s">
        <v>728</v>
      </c>
      <c r="E28" s="29"/>
      <c r="G28" s="21"/>
      <c r="H28" s="21"/>
      <c r="I28" s="21"/>
      <c r="J28" s="21"/>
      <c r="K28" s="21"/>
      <c r="L28" s="155" t="s">
        <v>726</v>
      </c>
      <c r="M28" s="254" t="s">
        <v>482</v>
      </c>
      <c r="N28" s="160" t="s">
        <v>2080</v>
      </c>
      <c r="O28" s="422" t="s">
        <v>728</v>
      </c>
      <c r="P28" s="21"/>
      <c r="Q28" s="155" t="s">
        <v>726</v>
      </c>
      <c r="R28" s="152" t="s">
        <v>188</v>
      </c>
      <c r="S28" s="160" t="s">
        <v>137</v>
      </c>
      <c r="T28" s="21"/>
      <c r="U28" s="815"/>
      <c r="V28" s="816"/>
      <c r="W28" s="808"/>
      <c r="X28" s="21"/>
      <c r="Y28" s="751" t="s">
        <v>3850</v>
      </c>
      <c r="Z28" s="495">
        <v>151</v>
      </c>
      <c r="AA28" s="100" t="s">
        <v>5422</v>
      </c>
      <c r="AB28" s="21"/>
      <c r="AF28" s="21"/>
      <c r="AG28" s="45"/>
      <c r="AH28" s="98"/>
      <c r="AI28" s="95"/>
      <c r="AJ28" s="21"/>
      <c r="AK28" s="777" t="s">
        <v>6090</v>
      </c>
      <c r="AL28" s="478" t="s">
        <v>6448</v>
      </c>
      <c r="AM28" s="584" t="s">
        <v>6096</v>
      </c>
      <c r="AN28" s="21"/>
      <c r="AO28" s="777" t="s">
        <v>6173</v>
      </c>
      <c r="AP28" s="151" t="s">
        <v>5495</v>
      </c>
      <c r="AQ28" s="584" t="s">
        <v>2321</v>
      </c>
      <c r="AU28" s="136" t="s">
        <v>2346</v>
      </c>
      <c r="AV28" s="148" t="s">
        <v>200</v>
      </c>
      <c r="AW28" s="138" t="str">
        <f t="shared" si="28"/>
        <v>ДП Геометрія.3/3</v>
      </c>
      <c r="AY28" s="234" t="s">
        <v>565</v>
      </c>
      <c r="AZ28" s="137" t="s">
        <v>1721</v>
      </c>
      <c r="BA28" s="138" t="str">
        <f t="shared" si="1"/>
        <v>ДП СТАНДАРТ.3/1.б/з фальц</v>
      </c>
      <c r="BC28" s="432"/>
      <c r="BD28" s="222"/>
      <c r="BE28" s="223"/>
      <c r="BF28" s="121"/>
      <c r="BG28" s="146" t="s">
        <v>3186</v>
      </c>
      <c r="BH28" s="137" t="s">
        <v>322</v>
      </c>
      <c r="BI28" s="138" t="str">
        <f t="shared" si="32"/>
        <v>неробоча..70</v>
      </c>
      <c r="BK28" s="426"/>
      <c r="BL28" s="427"/>
      <c r="BM28" s="428"/>
      <c r="BO28" s="146" t="s">
        <v>409</v>
      </c>
      <c r="BP28" s="255" t="s">
        <v>6508</v>
      </c>
      <c r="BQ28" s="138" t="str">
        <f>CONCATENATE(BO28,".",BP28)</f>
        <v>Verto-Cell.126 Дуб грей</v>
      </c>
      <c r="BS28" s="133" t="s">
        <v>568</v>
      </c>
      <c r="BT28" s="101" t="s">
        <v>4066</v>
      </c>
      <c r="BU28" s="135" t="str">
        <f t="shared" si="4"/>
        <v>ДП СТАНДАРТ.4/2.Сотове</v>
      </c>
      <c r="BW28" s="60" t="s">
        <v>564</v>
      </c>
      <c r="BX28" s="780" t="s">
        <v>4106</v>
      </c>
      <c r="BY28" s="70" t="str">
        <f t="shared" si="5"/>
        <v>ДП СТАНДАРТ.3/0.(ні)</v>
      </c>
      <c r="CA28" s="742" t="s">
        <v>3175</v>
      </c>
      <c r="CB28" s="137" t="s">
        <v>4294</v>
      </c>
      <c r="CC28" s="138" t="str">
        <f>CONCATENATE(CA28,".",CB28)</f>
        <v>ДП СТАНДАРТ.фальц.робоча.Soft цл +2завіс</v>
      </c>
      <c r="CE28" s="146" t="s">
        <v>3198</v>
      </c>
      <c r="CF28" s="137"/>
      <c r="CG28" s="138" t="str">
        <f t="shared" si="34"/>
        <v>ДП КУПАВА.б/з фальц.робоча.</v>
      </c>
      <c r="CI28" s="147" t="s">
        <v>6204</v>
      </c>
      <c r="CJ28" s="62" t="s">
        <v>4857</v>
      </c>
      <c r="CK28" s="139" t="str">
        <f t="shared" si="24"/>
        <v>Magnet цл (чор.) +2завіс.Права</v>
      </c>
      <c r="CM28" s="742" t="s">
        <v>3203</v>
      </c>
      <c r="CN28" s="137" t="s">
        <v>975</v>
      </c>
      <c r="CO28" s="138" t="str">
        <f t="shared" ref="CO28:CO34" si="39">CONCATENATE(CM28,".",CN28)</f>
        <v>ДП РУТА.фальц.робоча.Standard-MDF</v>
      </c>
      <c r="CQ28" s="143" t="s">
        <v>371</v>
      </c>
      <c r="CR28" s="157" t="s">
        <v>472</v>
      </c>
      <c r="CS28" s="138" t="str">
        <f t="shared" si="35"/>
        <v>Verto-FIT Plus.D</v>
      </c>
      <c r="CU28" s="45" t="s">
        <v>941</v>
      </c>
      <c r="CV28" s="794" t="s">
        <v>5418</v>
      </c>
      <c r="CW28" s="70" t="str">
        <f t="shared" si="36"/>
        <v>Verto-FIT Comfort.в ціні</v>
      </c>
      <c r="CY28" s="224" t="s">
        <v>1723</v>
      </c>
      <c r="CZ28" s="225" t="s">
        <v>680</v>
      </c>
      <c r="DA28" s="240" t="s">
        <v>856</v>
      </c>
      <c r="DD28" s="165" t="s">
        <v>1902</v>
      </c>
      <c r="DE28" s="166">
        <v>5720</v>
      </c>
      <c r="DF28" s="522">
        <f t="shared" si="38"/>
        <v>5720</v>
      </c>
      <c r="DG28" s="523"/>
      <c r="DH28" s="524">
        <f t="shared" si="33"/>
        <v>5720</v>
      </c>
      <c r="DJ28" s="538"/>
      <c r="DK28" s="538"/>
      <c r="DL28" s="538"/>
      <c r="DM28" s="538"/>
      <c r="DN28" s="538"/>
      <c r="DP28" s="736" t="s">
        <v>4111</v>
      </c>
      <c r="DQ28" s="105">
        <v>0</v>
      </c>
      <c r="DR28" s="403">
        <f t="shared" si="13"/>
        <v>0</v>
      </c>
      <c r="DS28" s="514"/>
      <c r="DT28" s="511">
        <f t="shared" si="14"/>
        <v>0</v>
      </c>
      <c r="DU28" s="166"/>
      <c r="DV28" s="738" t="s">
        <v>5775</v>
      </c>
      <c r="DW28" s="166">
        <v>80</v>
      </c>
      <c r="DX28" s="522">
        <f>ROUND(((DW28-(DW28/6))/$DD$3)*$DE$3,2)</f>
        <v>80</v>
      </c>
      <c r="DY28" s="523"/>
      <c r="DZ28" s="524">
        <f>IF(DY28="",DX28,
IF(AND($DW$10&gt;=VLOOKUP(DY28,$DV$5:$DZ$9,2,0),$DW$10&lt;=VLOOKUP(DY28,$DV$5:$DZ$9,3,0)),
(DX28*(1-VLOOKUP(DY28,$DV$5:$DZ$9,4,0))),
DX28))</f>
        <v>80</v>
      </c>
      <c r="EB28" s="108" t="s">
        <v>997</v>
      </c>
      <c r="EC28" s="164">
        <v>170</v>
      </c>
      <c r="ED28" s="531">
        <f t="shared" si="17"/>
        <v>170</v>
      </c>
      <c r="EE28" s="526"/>
      <c r="EF28" s="527">
        <f t="shared" si="18"/>
        <v>170</v>
      </c>
      <c r="EG28" s="165"/>
      <c r="EH28" s="538"/>
      <c r="EI28" s="539"/>
      <c r="EJ28" s="650"/>
      <c r="EK28" s="651"/>
      <c r="EL28" s="652"/>
    </row>
    <row r="29" spans="2:142" ht="10.8" thickBot="1">
      <c r="B29" s="30"/>
      <c r="C29" s="410" t="s">
        <v>2725</v>
      </c>
      <c r="D29" s="733" t="s">
        <v>728</v>
      </c>
      <c r="E29" s="29"/>
      <c r="G29" s="21"/>
      <c r="H29" s="21"/>
      <c r="I29" s="21"/>
      <c r="J29" s="21"/>
      <c r="K29" s="21"/>
      <c r="L29" s="143" t="s">
        <v>2350</v>
      </c>
      <c r="M29" s="817" t="s">
        <v>2346</v>
      </c>
      <c r="N29" s="100" t="s">
        <v>2091</v>
      </c>
      <c r="O29" s="818" t="s">
        <v>728</v>
      </c>
      <c r="P29" s="21"/>
      <c r="Q29" s="143" t="s">
        <v>2350</v>
      </c>
      <c r="R29" s="101" t="s">
        <v>194</v>
      </c>
      <c r="S29" s="100" t="s">
        <v>138</v>
      </c>
      <c r="T29" s="21"/>
      <c r="U29" s="752" t="s">
        <v>3204</v>
      </c>
      <c r="V29" s="151" t="s">
        <v>239</v>
      </c>
      <c r="W29" s="159" t="s">
        <v>2201</v>
      </c>
      <c r="X29" s="21"/>
      <c r="Y29" s="143" t="s">
        <v>1891</v>
      </c>
      <c r="Z29" s="493">
        <v>152</v>
      </c>
      <c r="AA29" s="159" t="s">
        <v>2243</v>
      </c>
      <c r="AB29" s="21"/>
      <c r="AF29" s="21"/>
      <c r="AG29" s="49"/>
      <c r="AH29" s="98"/>
      <c r="AI29" s="94"/>
      <c r="AJ29" s="21"/>
      <c r="AK29" s="777" t="s">
        <v>6089</v>
      </c>
      <c r="AL29" s="478" t="s">
        <v>6449</v>
      </c>
      <c r="AM29" s="584" t="s">
        <v>6097</v>
      </c>
      <c r="AN29" s="21"/>
      <c r="AO29" s="778" t="s">
        <v>6174</v>
      </c>
      <c r="AP29" s="152" t="s">
        <v>177</v>
      </c>
      <c r="AQ29" s="586" t="s">
        <v>2324</v>
      </c>
      <c r="AU29" s="136" t="s">
        <v>2346</v>
      </c>
      <c r="AV29" s="148" t="s">
        <v>187</v>
      </c>
      <c r="AW29" s="138" t="str">
        <f t="shared" si="28"/>
        <v>ДП Геометрія.4/0</v>
      </c>
      <c r="AY29" s="224" t="s">
        <v>565</v>
      </c>
      <c r="AZ29" s="62" t="s">
        <v>1720</v>
      </c>
      <c r="BA29" s="139" t="str">
        <f t="shared" si="1"/>
        <v>ДП СТАНДАРТ.3/1.купе</v>
      </c>
      <c r="BC29" s="40"/>
      <c r="BD29" s="41"/>
      <c r="BE29" s="70"/>
      <c r="BF29" s="121"/>
      <c r="BG29" s="146" t="s">
        <v>3186</v>
      </c>
      <c r="BH29" s="137" t="s">
        <v>323</v>
      </c>
      <c r="BI29" s="138" t="str">
        <f t="shared" si="32"/>
        <v>неробоча..80</v>
      </c>
      <c r="BK29" s="231" t="s">
        <v>1385</v>
      </c>
      <c r="BL29" s="134" t="s">
        <v>409</v>
      </c>
      <c r="BM29" s="135" t="str">
        <f t="shared" ref="BM29:BM76" si="40">CONCATENATE(BK29,".",BL29)</f>
        <v>ДП ЛАДА A.Verto-Cell</v>
      </c>
      <c r="BO29" s="146" t="s">
        <v>409</v>
      </c>
      <c r="BP29" s="255" t="s">
        <v>6471</v>
      </c>
      <c r="BQ29" s="138" t="str">
        <f>CONCATENATE(BO29,".",BP29)</f>
        <v>Verto-Cell.127 Горіх крем</v>
      </c>
      <c r="BS29" s="44" t="s">
        <v>568</v>
      </c>
      <c r="BT29" s="254" t="s">
        <v>316</v>
      </c>
      <c r="BU29" s="139" t="str">
        <f t="shared" si="4"/>
        <v>ДП СТАНДАРТ.4/2.ДСП тр.</v>
      </c>
      <c r="BW29" s="162" t="s">
        <v>565</v>
      </c>
      <c r="BX29" s="246" t="s">
        <v>459</v>
      </c>
      <c r="BY29" s="135" t="str">
        <f t="shared" si="5"/>
        <v>ДП СТАНДАРТ.3/1.Кризет</v>
      </c>
      <c r="CA29" s="742" t="s">
        <v>3175</v>
      </c>
      <c r="CB29" s="137" t="s">
        <v>4297</v>
      </c>
      <c r="CC29" s="138" t="str">
        <f>CONCATENATE(CA29,".",CB29)</f>
        <v>ДП СТАНДАРТ.фальц.робоча.Soft ст +2завіс</v>
      </c>
      <c r="CE29" s="147" t="s">
        <v>3198</v>
      </c>
      <c r="CF29" s="62" t="s">
        <v>739</v>
      </c>
      <c r="CG29" s="139" t="str">
        <f t="shared" si="34"/>
        <v>ДП КУПАВА.б/з фальц.робоча.ВП</v>
      </c>
      <c r="CI29" s="146" t="s">
        <v>6205</v>
      </c>
      <c r="CJ29" s="137" t="s">
        <v>4827</v>
      </c>
      <c r="CK29" s="138" t="str">
        <f t="shared" si="24"/>
        <v>Magnet ст (чор.) +2завіс.Ліва</v>
      </c>
      <c r="CM29" s="742" t="s">
        <v>3203</v>
      </c>
      <c r="CN29" s="137" t="s">
        <v>840</v>
      </c>
      <c r="CO29" s="138" t="str">
        <f t="shared" si="39"/>
        <v>ДП РУТА.фальц.робоча.Standard</v>
      </c>
      <c r="CQ29" s="143" t="s">
        <v>371</v>
      </c>
      <c r="CR29" s="157" t="s">
        <v>473</v>
      </c>
      <c r="CS29" s="138" t="str">
        <f t="shared" si="35"/>
        <v>Verto-FIT Plus.E</v>
      </c>
      <c r="CU29" s="750" t="s">
        <v>4106</v>
      </c>
      <c r="CV29" s="781" t="s">
        <v>4106</v>
      </c>
      <c r="CW29" s="139" t="str">
        <f t="shared" si="36"/>
        <v>(ні).(ні)</v>
      </c>
      <c r="CY29" s="231" t="s">
        <v>1720</v>
      </c>
      <c r="CZ29" s="134" t="s">
        <v>4887</v>
      </c>
      <c r="DA29" s="238" t="s">
        <v>856</v>
      </c>
      <c r="DD29" s="108" t="s">
        <v>1903</v>
      </c>
      <c r="DE29" s="166">
        <v>5720</v>
      </c>
      <c r="DF29" s="522">
        <f t="shared" si="38"/>
        <v>5720</v>
      </c>
      <c r="DG29" s="526"/>
      <c r="DH29" s="524">
        <f t="shared" si="33"/>
        <v>5720</v>
      </c>
      <c r="DJ29" s="736" t="s">
        <v>4087</v>
      </c>
      <c r="DK29" s="105">
        <v>0</v>
      </c>
      <c r="DL29" s="403">
        <f t="shared" ref="DL29:DL44" si="41">ROUND(((DK29-(DK29/6))/$DD$3)*$DE$3,2)</f>
        <v>0</v>
      </c>
      <c r="DM29" s="514"/>
      <c r="DN29" s="511">
        <f>IF(DM29="",DL29,
IF(AND($DK$10&gt;=VLOOKUP(DM29,$DJ$5:$DN$9,2,0),$DK$10&lt;=VLOOKUP(DM29,$DJ$5:$DN$9,3,0)),
(DL29*(1-VLOOKUP(DM29,$DJ$5:$DN$9,4,0))),
DL29))</f>
        <v>0</v>
      </c>
      <c r="DP29" s="162" t="s">
        <v>639</v>
      </c>
      <c r="DQ29" s="163">
        <v>0</v>
      </c>
      <c r="DR29" s="528">
        <f t="shared" si="13"/>
        <v>0</v>
      </c>
      <c r="DS29" s="529"/>
      <c r="DT29" s="530">
        <f t="shared" si="14"/>
        <v>0</v>
      </c>
      <c r="DU29" s="166"/>
      <c r="DV29" s="738" t="s">
        <v>5776</v>
      </c>
      <c r="DW29" s="166">
        <v>80</v>
      </c>
      <c r="DX29" s="522">
        <f t="shared" si="15"/>
        <v>80</v>
      </c>
      <c r="DY29" s="523"/>
      <c r="DZ29" s="524">
        <f t="shared" si="16"/>
        <v>80</v>
      </c>
      <c r="EB29" s="165" t="s">
        <v>2412</v>
      </c>
      <c r="EC29" s="166">
        <v>0</v>
      </c>
      <c r="ED29" s="522">
        <f t="shared" si="17"/>
        <v>0</v>
      </c>
      <c r="EE29" s="523"/>
      <c r="EF29" s="530">
        <f t="shared" si="18"/>
        <v>0</v>
      </c>
      <c r="EG29" s="165"/>
      <c r="EH29" s="737" t="s">
        <v>4918</v>
      </c>
      <c r="EI29" s="163">
        <v>0</v>
      </c>
      <c r="EJ29" s="537">
        <f t="shared" si="19"/>
        <v>0</v>
      </c>
      <c r="EK29" s="529"/>
      <c r="EL29" s="530">
        <f t="shared" si="31"/>
        <v>0</v>
      </c>
    </row>
    <row r="30" spans="2:142">
      <c r="B30" s="30"/>
      <c r="C30" s="745" t="s">
        <v>2868</v>
      </c>
      <c r="D30" s="733" t="s">
        <v>728</v>
      </c>
      <c r="E30" s="29"/>
      <c r="G30" s="21"/>
      <c r="H30" s="21"/>
      <c r="I30" s="21"/>
      <c r="J30" s="21"/>
      <c r="K30" s="21"/>
      <c r="L30" s="143" t="s">
        <v>2351</v>
      </c>
      <c r="M30" s="21" t="s">
        <v>2346</v>
      </c>
      <c r="N30" s="159" t="s">
        <v>2091</v>
      </c>
      <c r="O30" s="819" t="s">
        <v>728</v>
      </c>
      <c r="P30" s="21"/>
      <c r="Q30" s="143" t="s">
        <v>2351</v>
      </c>
      <c r="R30" s="151" t="s">
        <v>195</v>
      </c>
      <c r="S30" s="159" t="s">
        <v>139</v>
      </c>
      <c r="T30" s="21"/>
      <c r="U30" s="752" t="s">
        <v>3205</v>
      </c>
      <c r="V30" s="151" t="s">
        <v>240</v>
      </c>
      <c r="W30" s="159" t="s">
        <v>2202</v>
      </c>
      <c r="X30" s="21"/>
      <c r="Y30" s="752" t="s">
        <v>3856</v>
      </c>
      <c r="Z30" s="493">
        <v>153</v>
      </c>
      <c r="AA30" s="159" t="s">
        <v>2244</v>
      </c>
      <c r="AB30" s="21"/>
      <c r="AF30" s="21"/>
      <c r="AG30" s="49"/>
      <c r="AH30" s="98"/>
      <c r="AI30" s="94"/>
      <c r="AJ30" s="21"/>
      <c r="AK30" s="591"/>
      <c r="AL30" s="475"/>
      <c r="AM30" s="592"/>
      <c r="AN30" s="21"/>
      <c r="AO30" s="777" t="s">
        <v>4831</v>
      </c>
      <c r="AP30" s="151" t="s">
        <v>5495</v>
      </c>
      <c r="AQ30" s="584" t="s">
        <v>2321</v>
      </c>
      <c r="AU30" s="136" t="s">
        <v>2346</v>
      </c>
      <c r="AV30" s="148" t="s">
        <v>202</v>
      </c>
      <c r="AW30" s="138" t="str">
        <f t="shared" si="28"/>
        <v>ДП Геометрія.4/4</v>
      </c>
      <c r="AY30" s="234" t="s">
        <v>566</v>
      </c>
      <c r="AZ30" s="137" t="s">
        <v>1719</v>
      </c>
      <c r="BA30" s="138" t="str">
        <f t="shared" si="1"/>
        <v>ДП СТАНДАРТ.4/0.фальц</v>
      </c>
      <c r="BC30" s="560"/>
      <c r="BD30" s="561"/>
      <c r="BE30" s="562"/>
      <c r="BF30" s="121"/>
      <c r="BG30" s="146" t="s">
        <v>3186</v>
      </c>
      <c r="BH30" s="137" t="s">
        <v>324</v>
      </c>
      <c r="BI30" s="138" t="str">
        <f t="shared" si="32"/>
        <v>неробоча..90</v>
      </c>
      <c r="BK30" s="234" t="s">
        <v>1385</v>
      </c>
      <c r="BL30" s="137"/>
      <c r="BM30" s="138" t="str">
        <f t="shared" si="40"/>
        <v>ДП ЛАДА A.</v>
      </c>
      <c r="BO30" s="145" t="s">
        <v>1893</v>
      </c>
      <c r="BP30" s="101" t="s">
        <v>3850</v>
      </c>
      <c r="BQ30" s="135" t="str">
        <f t="shared" si="37"/>
        <v>Uni-Mat.151 Біанко</v>
      </c>
      <c r="BS30" s="426"/>
      <c r="BT30" s="427"/>
      <c r="BU30" s="428"/>
      <c r="BW30" s="165" t="s">
        <v>565</v>
      </c>
      <c r="BX30" s="247" t="s">
        <v>458</v>
      </c>
      <c r="BY30" s="138" t="str">
        <f>CONCATENATE(BW30,".",BX30)</f>
        <v>ДП СТАНДАРТ.3/1.Сатин</v>
      </c>
      <c r="CA30" s="742" t="s">
        <v>3175</v>
      </c>
      <c r="CB30" s="21"/>
      <c r="CC30" s="21"/>
      <c r="CE30" s="424" t="s">
        <v>3200</v>
      </c>
      <c r="CF30" s="62"/>
      <c r="CG30" s="139" t="str">
        <f t="shared" si="34"/>
        <v>ДП КУПАВА.купе.робоча.</v>
      </c>
      <c r="CI30" s="147" t="s">
        <v>6205</v>
      </c>
      <c r="CJ30" s="62" t="s">
        <v>4857</v>
      </c>
      <c r="CK30" s="139" t="str">
        <f t="shared" si="24"/>
        <v>Magnet ст (чор.) +2завіс.Права</v>
      </c>
      <c r="CM30" s="742" t="s">
        <v>3203</v>
      </c>
      <c r="CN30" s="137" t="s">
        <v>841</v>
      </c>
      <c r="CO30" s="138" t="str">
        <f t="shared" si="39"/>
        <v>ДП РУТА.фальц.робоча.Verto-FIT</v>
      </c>
      <c r="CQ30" s="143" t="s">
        <v>371</v>
      </c>
      <c r="CR30" s="157" t="s">
        <v>474</v>
      </c>
      <c r="CS30" s="138" t="str">
        <f t="shared" si="35"/>
        <v>Verto-FIT Plus.F</v>
      </c>
      <c r="CU30" s="56"/>
      <c r="CV30" s="56"/>
      <c r="CW30" s="70"/>
      <c r="CY30" s="224" t="s">
        <v>1724</v>
      </c>
      <c r="CZ30" s="62" t="s">
        <v>4887</v>
      </c>
      <c r="DA30" s="240" t="s">
        <v>856</v>
      </c>
      <c r="DD30" s="405" t="s">
        <v>2062</v>
      </c>
      <c r="DE30" s="406">
        <v>5310</v>
      </c>
      <c r="DF30" s="519">
        <f t="shared" si="38"/>
        <v>5310</v>
      </c>
      <c r="DG30" s="520"/>
      <c r="DH30" s="521">
        <f t="shared" si="33"/>
        <v>5310</v>
      </c>
      <c r="DJ30" s="736" t="s">
        <v>4088</v>
      </c>
      <c r="DK30" s="105">
        <v>0</v>
      </c>
      <c r="DL30" s="403">
        <f t="shared" si="41"/>
        <v>0</v>
      </c>
      <c r="DM30" s="514"/>
      <c r="DN30" s="511">
        <f>IF(DM30="",DL30,
IF(AND($DK$10&gt;=VLOOKUP(DM30,$DJ$5:$DN$9,2,0),$DK$10&lt;=VLOOKUP(DM30,$DJ$5:$DN$9,3,0)),
(DL30*(1-VLOOKUP(DM30,$DJ$5:$DN$9,4,0))),
DL30))</f>
        <v>0</v>
      </c>
      <c r="DP30" s="165" t="s">
        <v>640</v>
      </c>
      <c r="DQ30" s="166">
        <v>420</v>
      </c>
      <c r="DR30" s="522">
        <f>ROUND(((DQ30-(DQ30/6))/$DD$3)*$DE$3,2)</f>
        <v>420</v>
      </c>
      <c r="DS30" s="523"/>
      <c r="DT30" s="524">
        <f>IF(DS30="",DR30,
IF(AND($DQ$10&gt;=VLOOKUP(DS30,$DP$5:$DT$9,2,0),$DQ$10&lt;=VLOOKUP(DS30,$DP$5:$DT$9,3,0)),
(DR30*(1-VLOOKUP(DS30,$DP$5:$DT$9,4,0))),
DR30))</f>
        <v>420</v>
      </c>
      <c r="DU30" s="166"/>
      <c r="DV30" s="738" t="s">
        <v>5777</v>
      </c>
      <c r="DW30" s="166">
        <v>80</v>
      </c>
      <c r="DX30" s="522">
        <f>ROUND(((DW30-(DW30/6))/$DD$3)*$DE$3,2)</f>
        <v>80</v>
      </c>
      <c r="DY30" s="523"/>
      <c r="DZ30" s="524">
        <f>IF(DY30="",DX30,
IF(AND($DW$10&gt;=VLOOKUP(DY30,$DV$5:$DZ$9,2,0),$DW$10&lt;=VLOOKUP(DY30,$DV$5:$DZ$9,3,0)),
(DX30*(1-VLOOKUP(DY30,$DV$5:$DZ$9,4,0))),
DX30))</f>
        <v>80</v>
      </c>
      <c r="EB30" s="738" t="s">
        <v>4268</v>
      </c>
      <c r="EC30" s="166">
        <v>250</v>
      </c>
      <c r="ED30" s="522">
        <f t="shared" si="17"/>
        <v>250</v>
      </c>
      <c r="EE30" s="523"/>
      <c r="EF30" s="524">
        <f t="shared" si="18"/>
        <v>250</v>
      </c>
      <c r="EG30" s="165"/>
      <c r="EH30" s="739" t="s">
        <v>4919</v>
      </c>
      <c r="EI30" s="164">
        <v>860</v>
      </c>
      <c r="EJ30" s="531">
        <f t="shared" si="19"/>
        <v>860</v>
      </c>
      <c r="EK30" s="526"/>
      <c r="EL30" s="527">
        <f t="shared" si="31"/>
        <v>860</v>
      </c>
    </row>
    <row r="31" spans="2:142">
      <c r="B31" s="30"/>
      <c r="C31" s="410" t="s">
        <v>2794</v>
      </c>
      <c r="D31" s="733" t="s">
        <v>728</v>
      </c>
      <c r="E31" s="29"/>
      <c r="G31" s="21"/>
      <c r="H31" s="21"/>
      <c r="I31" s="21"/>
      <c r="J31" s="21"/>
      <c r="K31" s="21"/>
      <c r="L31" s="143" t="s">
        <v>2352</v>
      </c>
      <c r="M31" s="21" t="s">
        <v>2346</v>
      </c>
      <c r="N31" s="159" t="s">
        <v>2091</v>
      </c>
      <c r="O31" s="819" t="s">
        <v>728</v>
      </c>
      <c r="P31" s="21"/>
      <c r="Q31" s="143" t="s">
        <v>2352</v>
      </c>
      <c r="R31" s="151" t="s">
        <v>185</v>
      </c>
      <c r="S31" s="159" t="s">
        <v>143</v>
      </c>
      <c r="T31" s="21"/>
      <c r="U31" s="752" t="s">
        <v>3206</v>
      </c>
      <c r="V31" s="151" t="s">
        <v>241</v>
      </c>
      <c r="W31" s="159" t="s">
        <v>2203</v>
      </c>
      <c r="X31" s="21"/>
      <c r="Y31" s="143" t="s">
        <v>1892</v>
      </c>
      <c r="Z31" s="493">
        <v>154</v>
      </c>
      <c r="AA31" s="159" t="s">
        <v>2245</v>
      </c>
      <c r="AB31" s="21"/>
      <c r="AF31" s="21"/>
      <c r="AG31" s="565"/>
      <c r="AH31" s="579"/>
      <c r="AI31" s="554"/>
      <c r="AJ31" s="21"/>
      <c r="AK31" s="789" t="s">
        <v>5652</v>
      </c>
      <c r="AL31" s="477" t="s">
        <v>1752</v>
      </c>
      <c r="AM31" s="589" t="s">
        <v>5657</v>
      </c>
      <c r="AN31" s="21"/>
      <c r="AO31" s="778" t="s">
        <v>4861</v>
      </c>
      <c r="AP31" s="152" t="s">
        <v>177</v>
      </c>
      <c r="AQ31" s="586" t="s">
        <v>2324</v>
      </c>
      <c r="AS31" s="21"/>
      <c r="AU31" s="136" t="s">
        <v>2346</v>
      </c>
      <c r="AV31" s="148" t="s">
        <v>190</v>
      </c>
      <c r="AW31" s="138" t="str">
        <f t="shared" si="28"/>
        <v>ДП Геометрія.5/0</v>
      </c>
      <c r="AY31" s="234" t="s">
        <v>566</v>
      </c>
      <c r="AZ31" s="137" t="s">
        <v>1721</v>
      </c>
      <c r="BA31" s="138" t="str">
        <f t="shared" si="1"/>
        <v>ДП СТАНДАРТ.4/0.б/з фальц</v>
      </c>
      <c r="BC31" s="40"/>
      <c r="BD31" s="41"/>
      <c r="BE31" s="70"/>
      <c r="BF31" s="121"/>
      <c r="BG31" s="147" t="s">
        <v>3186</v>
      </c>
      <c r="BH31" s="62" t="s">
        <v>325</v>
      </c>
      <c r="BI31" s="139" t="str">
        <f t="shared" si="32"/>
        <v>неробоча..100</v>
      </c>
      <c r="BK31" s="234" t="s">
        <v>1385</v>
      </c>
      <c r="BL31" s="137" t="s">
        <v>1894</v>
      </c>
      <c r="BM31" s="138" t="str">
        <f>CONCATENATE(BK31,".",BL31)</f>
        <v>ДП ЛАДА A.Uni-Mat.</v>
      </c>
      <c r="BO31" s="146" t="s">
        <v>1893</v>
      </c>
      <c r="BP31" s="21" t="s">
        <v>1891</v>
      </c>
      <c r="BQ31" s="138" t="str">
        <f t="shared" si="37"/>
        <v>Uni-Mat.152 Капучино</v>
      </c>
      <c r="BS31" s="133" t="s">
        <v>569</v>
      </c>
      <c r="BT31" s="101" t="s">
        <v>4066</v>
      </c>
      <c r="BU31" s="135" t="str">
        <f t="shared" ref="BU31:BU46" si="42">CONCATENATE(BS31,".",BT31)</f>
        <v>ДП КУПАВА.1/0.Сотове</v>
      </c>
      <c r="BW31" s="165" t="s">
        <v>565</v>
      </c>
      <c r="BX31" s="770" t="s">
        <v>3851</v>
      </c>
      <c r="BY31" s="138" t="str">
        <f t="shared" si="5"/>
        <v>ДП СТАНДАРТ.3/1.Графіт</v>
      </c>
      <c r="CA31" s="742" t="s">
        <v>3175</v>
      </c>
      <c r="CB31" s="137" t="s">
        <v>4304</v>
      </c>
      <c r="CC31" s="138" t="str">
        <f>CONCATENATE(CA31,".",CB31)</f>
        <v>ДП СТАНДАРТ.фальц.робоча.Soft цл +3завіс</v>
      </c>
      <c r="CE31" s="228"/>
      <c r="CF31" s="222"/>
      <c r="CG31" s="223"/>
      <c r="CI31" s="228"/>
      <c r="CJ31" s="222"/>
      <c r="CK31" s="223"/>
      <c r="CM31" s="424" t="s">
        <v>3203</v>
      </c>
      <c r="CN31" s="62" t="s">
        <v>371</v>
      </c>
      <c r="CO31" s="139" t="str">
        <f t="shared" si="39"/>
        <v>ДП РУТА.фальц.робоча.Verto-FIT Plus</v>
      </c>
      <c r="CQ31" s="143" t="s">
        <v>371</v>
      </c>
      <c r="CR31" s="157" t="s">
        <v>475</v>
      </c>
      <c r="CS31" s="138" t="str">
        <f t="shared" si="35"/>
        <v>Verto-FIT Plus.G</v>
      </c>
      <c r="CU31" s="56"/>
      <c r="CV31" s="56"/>
      <c r="CW31" s="70"/>
      <c r="CY31" s="227"/>
      <c r="CZ31" s="222"/>
      <c r="DA31" s="223"/>
      <c r="DD31" s="165" t="s">
        <v>2063</v>
      </c>
      <c r="DE31" s="166">
        <v>5620.0000000000009</v>
      </c>
      <c r="DF31" s="522">
        <f t="shared" si="38"/>
        <v>5620</v>
      </c>
      <c r="DG31" s="523"/>
      <c r="DH31" s="524">
        <f t="shared" si="33"/>
        <v>5620</v>
      </c>
      <c r="DJ31" s="736" t="s">
        <v>4089</v>
      </c>
      <c r="DK31" s="105">
        <v>0</v>
      </c>
      <c r="DL31" s="403">
        <f t="shared" si="41"/>
        <v>0</v>
      </c>
      <c r="DM31" s="514"/>
      <c r="DN31" s="511">
        <f>IF(DM31="",DL31,
IF(AND($DK$10&gt;=VLOOKUP(DM31,$DJ$5:$DN$9,2,0),$DK$10&lt;=VLOOKUP(DM31,$DJ$5:$DN$9,3,0)),
(DL31*(1-VLOOKUP(DM31,$DJ$5:$DN$9,4,0))),
DL31))</f>
        <v>0</v>
      </c>
      <c r="DP31" s="738" t="s">
        <v>3857</v>
      </c>
      <c r="DQ31" s="166">
        <v>550</v>
      </c>
      <c r="DR31" s="522">
        <f t="shared" si="13"/>
        <v>550</v>
      </c>
      <c r="DS31" s="523"/>
      <c r="DT31" s="524">
        <f t="shared" si="14"/>
        <v>550</v>
      </c>
      <c r="DU31" s="166"/>
      <c r="DV31" s="738" t="s">
        <v>4301</v>
      </c>
      <c r="DW31" s="166">
        <v>550</v>
      </c>
      <c r="DX31" s="522">
        <f t="shared" si="15"/>
        <v>550</v>
      </c>
      <c r="DY31" s="523"/>
      <c r="DZ31" s="524">
        <f t="shared" si="16"/>
        <v>550</v>
      </c>
      <c r="EB31" s="108" t="s">
        <v>2413</v>
      </c>
      <c r="EC31" s="164">
        <v>170</v>
      </c>
      <c r="ED31" s="531">
        <f t="shared" si="17"/>
        <v>170</v>
      </c>
      <c r="EE31" s="526"/>
      <c r="EF31" s="527">
        <f t="shared" si="18"/>
        <v>170</v>
      </c>
      <c r="EG31" s="165"/>
      <c r="EH31" s="738" t="s">
        <v>3347</v>
      </c>
      <c r="EI31" s="166">
        <v>0</v>
      </c>
      <c r="EJ31" s="522">
        <f t="shared" si="19"/>
        <v>0</v>
      </c>
      <c r="EK31" s="523"/>
      <c r="EL31" s="524">
        <f t="shared" si="31"/>
        <v>0</v>
      </c>
    </row>
    <row r="32" spans="2:142">
      <c r="B32" s="30"/>
      <c r="C32" s="410" t="s">
        <v>1150</v>
      </c>
      <c r="D32" s="733" t="s">
        <v>728</v>
      </c>
      <c r="E32" s="29"/>
      <c r="G32" s="21"/>
      <c r="H32" s="21"/>
      <c r="I32" s="21"/>
      <c r="J32" s="21"/>
      <c r="K32" s="21"/>
      <c r="L32" s="143" t="s">
        <v>2353</v>
      </c>
      <c r="M32" s="21" t="s">
        <v>2346</v>
      </c>
      <c r="N32" s="159" t="s">
        <v>2091</v>
      </c>
      <c r="O32" s="819" t="s">
        <v>728</v>
      </c>
      <c r="P32" s="21"/>
      <c r="Q32" s="143" t="s">
        <v>2353</v>
      </c>
      <c r="R32" s="151" t="s">
        <v>200</v>
      </c>
      <c r="S32" s="159" t="s">
        <v>146</v>
      </c>
      <c r="T32" s="21"/>
      <c r="U32" s="752" t="s">
        <v>3207</v>
      </c>
      <c r="V32" s="151" t="s">
        <v>242</v>
      </c>
      <c r="W32" s="159" t="s">
        <v>2204</v>
      </c>
      <c r="X32" s="21"/>
      <c r="Y32" s="751" t="s">
        <v>3838</v>
      </c>
      <c r="Z32" s="495">
        <v>201</v>
      </c>
      <c r="AA32" s="766" t="s">
        <v>3839</v>
      </c>
      <c r="AB32" s="21"/>
      <c r="AF32" s="21"/>
      <c r="AJ32" s="21"/>
      <c r="AK32" s="777" t="s">
        <v>5653</v>
      </c>
      <c r="AL32" s="478" t="s">
        <v>5654</v>
      </c>
      <c r="AM32" s="584" t="s">
        <v>5655</v>
      </c>
      <c r="AN32" s="21"/>
      <c r="AO32" s="777" t="s">
        <v>6175</v>
      </c>
      <c r="AP32" s="151" t="s">
        <v>5495</v>
      </c>
      <c r="AQ32" s="584" t="s">
        <v>2321</v>
      </c>
      <c r="AS32" s="21"/>
      <c r="AU32" s="136" t="s">
        <v>2346</v>
      </c>
      <c r="AV32" s="148" t="s">
        <v>204</v>
      </c>
      <c r="AW32" s="138" t="str">
        <f t="shared" si="28"/>
        <v>ДП Геометрія.5/5</v>
      </c>
      <c r="AY32" s="224" t="s">
        <v>566</v>
      </c>
      <c r="AZ32" s="62" t="s">
        <v>1720</v>
      </c>
      <c r="BA32" s="139" t="str">
        <f t="shared" si="1"/>
        <v>ДП СТАНДАРТ.4/0.купе</v>
      </c>
      <c r="BC32" s="231" t="s">
        <v>95</v>
      </c>
      <c r="BD32" s="134" t="s">
        <v>3348</v>
      </c>
      <c r="BE32" s="135" t="str">
        <f>CONCATENATE(BC32,".",BD32)</f>
        <v>стандарт.1-стулк</v>
      </c>
      <c r="BF32" s="121"/>
      <c r="BG32" s="426"/>
      <c r="BH32" s="427"/>
      <c r="BI32" s="428"/>
      <c r="BK32" s="234" t="s">
        <v>1385</v>
      </c>
      <c r="BL32" s="137" t="s">
        <v>557</v>
      </c>
      <c r="BM32" s="138" t="str">
        <f t="shared" si="40"/>
        <v>ДП ЛАДА A.Резист</v>
      </c>
      <c r="BO32" s="146" t="s">
        <v>1893</v>
      </c>
      <c r="BP32" s="151" t="s">
        <v>3856</v>
      </c>
      <c r="BQ32" s="138" t="str">
        <f t="shared" si="37"/>
        <v>Uni-Mat.153 Графіт</v>
      </c>
      <c r="BS32" s="44" t="s">
        <v>569</v>
      </c>
      <c r="BT32" s="254" t="s">
        <v>316</v>
      </c>
      <c r="BU32" s="139" t="str">
        <f t="shared" si="42"/>
        <v>ДП КУПАВА.1/0.ДСП тр.</v>
      </c>
      <c r="BW32" s="108" t="s">
        <v>565</v>
      </c>
      <c r="BX32" s="248" t="s">
        <v>832</v>
      </c>
      <c r="BY32" s="139" t="str">
        <f t="shared" si="5"/>
        <v>ДП СТАНДАРТ.3/1.Бронза</v>
      </c>
      <c r="CA32" s="742" t="s">
        <v>3175</v>
      </c>
      <c r="CB32" s="137" t="s">
        <v>4307</v>
      </c>
      <c r="CC32" s="138" t="str">
        <f>CONCATENATE(CA32,".",CB32)</f>
        <v>ДП СТАНДАРТ.фальц.робоча.Soft ст +3завіс</v>
      </c>
      <c r="CE32" s="742" t="s">
        <v>3208</v>
      </c>
      <c r="CF32" s="137"/>
      <c r="CG32" s="138" t="str">
        <f t="shared" ref="CG32:CG42" si="43">CONCATENATE(CE32,".",CF32)</f>
        <v>ДП Геометрія.фальц.робоча.</v>
      </c>
      <c r="CI32" s="145" t="s">
        <v>5754</v>
      </c>
      <c r="CJ32" s="134" t="s">
        <v>4827</v>
      </c>
      <c r="CK32" s="135" t="str">
        <f t="shared" ref="CK32:CK37" si="44">CONCATENATE(CI32,".",CJ32)</f>
        <v>Stand цл Лів +3завіс.Ліва</v>
      </c>
      <c r="CM32" s="424" t="s">
        <v>3209</v>
      </c>
      <c r="CN32" s="62" t="s">
        <v>4106</v>
      </c>
      <c r="CO32" s="70" t="str">
        <f t="shared" si="39"/>
        <v>ДП РУТА.фальц.неробоча.(ні)</v>
      </c>
      <c r="CQ32" s="143" t="s">
        <v>371</v>
      </c>
      <c r="CR32" s="157" t="s">
        <v>476</v>
      </c>
      <c r="CS32" s="138" t="str">
        <f t="shared" si="35"/>
        <v>Verto-FIT Plus.H</v>
      </c>
      <c r="CU32" s="56"/>
      <c r="CV32" s="56"/>
      <c r="CW32" s="70"/>
      <c r="CY32" s="57" t="s">
        <v>756</v>
      </c>
      <c r="CZ32" s="56"/>
      <c r="DA32" s="70" t="s">
        <v>857</v>
      </c>
      <c r="DD32" s="165" t="s">
        <v>2064</v>
      </c>
      <c r="DE32" s="166">
        <v>5310</v>
      </c>
      <c r="DF32" s="522">
        <f t="shared" si="38"/>
        <v>5310</v>
      </c>
      <c r="DG32" s="523"/>
      <c r="DH32" s="524">
        <f t="shared" si="33"/>
        <v>5310</v>
      </c>
      <c r="DJ32" s="736" t="s">
        <v>4090</v>
      </c>
      <c r="DK32" s="105">
        <v>0</v>
      </c>
      <c r="DL32" s="403">
        <f t="shared" si="41"/>
        <v>0</v>
      </c>
      <c r="DM32" s="514"/>
      <c r="DN32" s="511">
        <f>IF(DM32="",DL32,
IF(AND($DK$10&gt;=VLOOKUP(DM32,$DJ$5:$DN$9,2,0),$DK$10&lt;=VLOOKUP(DM32,$DJ$5:$DN$9,3,0)),
(DL32*(1-VLOOKUP(DM32,$DJ$5:$DN$9,4,0))),
DL32))</f>
        <v>0</v>
      </c>
      <c r="DP32" s="108" t="s">
        <v>1815</v>
      </c>
      <c r="DQ32" s="164">
        <v>550</v>
      </c>
      <c r="DR32" s="525">
        <f t="shared" si="13"/>
        <v>550</v>
      </c>
      <c r="DS32" s="526"/>
      <c r="DT32" s="527">
        <f t="shared" si="14"/>
        <v>550</v>
      </c>
      <c r="DU32" s="166"/>
      <c r="DV32" s="738" t="s">
        <v>4303</v>
      </c>
      <c r="DW32" s="166">
        <v>680</v>
      </c>
      <c r="DX32" s="522">
        <f t="shared" si="15"/>
        <v>680</v>
      </c>
      <c r="DY32" s="523"/>
      <c r="DZ32" s="524">
        <f t="shared" si="16"/>
        <v>680</v>
      </c>
      <c r="EB32" s="165" t="s">
        <v>2414</v>
      </c>
      <c r="EC32" s="166">
        <v>0</v>
      </c>
      <c r="ED32" s="522">
        <f>ROUND(((EC32-(EC32/6))/$DD$3)*$DE$3,2)</f>
        <v>0</v>
      </c>
      <c r="EE32" s="523"/>
      <c r="EF32" s="530">
        <f>IF(EE32="",ED32,
IF(AND($EC$10&gt;=VLOOKUP(EE32,$EB$5:$EF$9,2,0),$EC$10&lt;=VLOOKUP(EE32,$EB$5:$EF$9,3,0)),
(ED32*(1-VLOOKUP(EE32,$EB$5:$EF$9,4,0))),
ED32))</f>
        <v>0</v>
      </c>
      <c r="EG32" s="165"/>
      <c r="EH32" s="739" t="s">
        <v>3349</v>
      </c>
      <c r="EI32" s="164">
        <v>860</v>
      </c>
      <c r="EJ32" s="531">
        <f t="shared" si="19"/>
        <v>860</v>
      </c>
      <c r="EK32" s="526"/>
      <c r="EL32" s="527">
        <f t="shared" si="31"/>
        <v>860</v>
      </c>
    </row>
    <row r="33" spans="2:142">
      <c r="B33" s="30"/>
      <c r="C33" s="410" t="s">
        <v>1151</v>
      </c>
      <c r="D33" s="733" t="s">
        <v>728</v>
      </c>
      <c r="E33" s="29"/>
      <c r="G33" s="21"/>
      <c r="H33" s="21"/>
      <c r="I33" s="21"/>
      <c r="J33" s="21"/>
      <c r="K33" s="21"/>
      <c r="L33" s="143" t="s">
        <v>2354</v>
      </c>
      <c r="M33" s="21" t="s">
        <v>2346</v>
      </c>
      <c r="N33" s="159" t="s">
        <v>2091</v>
      </c>
      <c r="O33" s="819" t="s">
        <v>728</v>
      </c>
      <c r="P33" s="21"/>
      <c r="Q33" s="143" t="s">
        <v>2354</v>
      </c>
      <c r="R33" s="151" t="s">
        <v>187</v>
      </c>
      <c r="S33" s="159" t="s">
        <v>147</v>
      </c>
      <c r="T33" s="21"/>
      <c r="U33" s="750" t="s">
        <v>3210</v>
      </c>
      <c r="V33" s="152" t="s">
        <v>243</v>
      </c>
      <c r="W33" s="160" t="s">
        <v>2213</v>
      </c>
      <c r="X33" s="21"/>
      <c r="Y33" s="752" t="s">
        <v>4059</v>
      </c>
      <c r="Z33" s="493">
        <v>202</v>
      </c>
      <c r="AA33" s="159" t="s">
        <v>2246</v>
      </c>
      <c r="AB33" s="21"/>
      <c r="AF33" s="21"/>
      <c r="AJ33" s="21"/>
      <c r="AK33" s="777" t="s">
        <v>5667</v>
      </c>
      <c r="AL33" s="478" t="s">
        <v>1753</v>
      </c>
      <c r="AM33" s="584" t="s">
        <v>5668</v>
      </c>
      <c r="AN33" s="21"/>
      <c r="AO33" s="778" t="s">
        <v>6176</v>
      </c>
      <c r="AP33" s="152" t="s">
        <v>177</v>
      </c>
      <c r="AQ33" s="586" t="s">
        <v>2324</v>
      </c>
      <c r="AS33" s="21"/>
      <c r="AU33" s="136" t="s">
        <v>2346</v>
      </c>
      <c r="AV33" s="148" t="s">
        <v>205</v>
      </c>
      <c r="AW33" s="138" t="str">
        <f t="shared" si="28"/>
        <v>ДП Геометрія.6/0</v>
      </c>
      <c r="AY33" s="234" t="s">
        <v>567</v>
      </c>
      <c r="AZ33" s="137" t="s">
        <v>1719</v>
      </c>
      <c r="BA33" s="138" t="str">
        <f t="shared" si="1"/>
        <v>ДП СТАНДАРТ.4/1.фальц</v>
      </c>
      <c r="BC33" s="224" t="s">
        <v>95</v>
      </c>
      <c r="BD33" s="62" t="s">
        <v>3350</v>
      </c>
      <c r="BE33" s="139" t="str">
        <f>CONCATENATE(BC33,".",BD33)</f>
        <v>стандарт.2-стулк</v>
      </c>
      <c r="BF33" s="121"/>
      <c r="BG33" s="146" t="s">
        <v>3194</v>
      </c>
      <c r="BH33" s="137" t="s">
        <v>321</v>
      </c>
      <c r="BI33" s="138" t="str">
        <f>CONCATENATE(BG33,".",BH33)</f>
        <v>неробоча,.60</v>
      </c>
      <c r="BK33" s="234" t="s">
        <v>1385</v>
      </c>
      <c r="BL33" s="137" t="s">
        <v>62</v>
      </c>
      <c r="BM33" s="138" t="str">
        <f t="shared" si="40"/>
        <v>ДП ЛАДА A.LINE-3D</v>
      </c>
      <c r="BO33" s="146" t="s">
        <v>1893</v>
      </c>
      <c r="BP33" s="21" t="s">
        <v>1892</v>
      </c>
      <c r="BQ33" s="138" t="str">
        <f t="shared" si="37"/>
        <v>Uni-Mat.154 Антрацит</v>
      </c>
      <c r="BS33" s="133" t="s">
        <v>570</v>
      </c>
      <c r="BT33" s="101" t="s">
        <v>4066</v>
      </c>
      <c r="BU33" s="135" t="str">
        <f t="shared" si="42"/>
        <v>ДП КУПАВА.1/1.Сотове</v>
      </c>
      <c r="BW33" s="60" t="s">
        <v>566</v>
      </c>
      <c r="BX33" s="780" t="s">
        <v>4106</v>
      </c>
      <c r="BY33" s="70" t="str">
        <f t="shared" si="5"/>
        <v>ДП СТАНДАРТ.4/0.(ні)</v>
      </c>
      <c r="CA33" s="742" t="s">
        <v>3175</v>
      </c>
      <c r="CB33" s="137"/>
      <c r="CC33" s="138"/>
      <c r="CE33" s="742" t="s">
        <v>3208</v>
      </c>
      <c r="CF33" s="137" t="s">
        <v>4261</v>
      </c>
      <c r="CG33" s="138" t="str">
        <f t="shared" si="43"/>
        <v>ДП Геометрія.фальц.робоча.ВВ</v>
      </c>
      <c r="CI33" s="147" t="s">
        <v>5755</v>
      </c>
      <c r="CJ33" s="62" t="s">
        <v>4857</v>
      </c>
      <c r="CK33" s="139" t="str">
        <f t="shared" si="44"/>
        <v>Stand цл Пр +3завіс.Права</v>
      </c>
      <c r="CM33" s="86" t="s">
        <v>3211</v>
      </c>
      <c r="CN33" s="56" t="s">
        <v>941</v>
      </c>
      <c r="CO33" s="70" t="str">
        <f t="shared" si="39"/>
        <v>ДП РУТА.б/з фальц.робоча.Verto-FIT Comfort</v>
      </c>
      <c r="CQ33" s="144" t="s">
        <v>371</v>
      </c>
      <c r="CR33" s="158" t="s">
        <v>477</v>
      </c>
      <c r="CS33" s="139" t="str">
        <f t="shared" si="35"/>
        <v>Verto-FIT Plus.I</v>
      </c>
      <c r="CU33" s="56"/>
      <c r="CV33" s="56"/>
      <c r="CW33" s="70"/>
      <c r="CY33" s="231" t="s">
        <v>321</v>
      </c>
      <c r="CZ33" s="134" t="s">
        <v>321</v>
      </c>
      <c r="DA33" s="135" t="s">
        <v>857</v>
      </c>
      <c r="DD33" s="165" t="s">
        <v>2065</v>
      </c>
      <c r="DE33" s="166">
        <v>5620.0000000000009</v>
      </c>
      <c r="DF33" s="522">
        <f t="shared" si="38"/>
        <v>5620</v>
      </c>
      <c r="DG33" s="523"/>
      <c r="DH33" s="524">
        <f t="shared" si="33"/>
        <v>5620</v>
      </c>
      <c r="DJ33" s="736" t="s">
        <v>4091</v>
      </c>
      <c r="DK33" s="105">
        <v>0</v>
      </c>
      <c r="DL33" s="403">
        <f t="shared" si="41"/>
        <v>0</v>
      </c>
      <c r="DM33" s="514"/>
      <c r="DN33" s="511">
        <f t="shared" ref="DN33:DN44" si="45">IF(DM33="",DL33,
IF(AND($DK$10&gt;=VLOOKUP(DM33,$DJ$5:$DN$9,2,0),$DK$10&lt;=VLOOKUP(DM33,$DJ$5:$DN$9,3,0)),
(DL33*(1-VLOOKUP(DM33,$DJ$5:$DN$9,4,0))),
DL33))</f>
        <v>0</v>
      </c>
      <c r="DP33" s="736" t="s">
        <v>4112</v>
      </c>
      <c r="DQ33" s="105">
        <v>0</v>
      </c>
      <c r="DR33" s="403">
        <f t="shared" si="13"/>
        <v>0</v>
      </c>
      <c r="DS33" s="514"/>
      <c r="DT33" s="511">
        <f t="shared" si="14"/>
        <v>0</v>
      </c>
      <c r="DU33" s="166"/>
      <c r="DV33" s="738" t="s">
        <v>4306</v>
      </c>
      <c r="DW33" s="166">
        <v>800</v>
      </c>
      <c r="DX33" s="522">
        <f>ROUND(((DW33-(DW33/6))/$DD$3)*$DE$3,2)</f>
        <v>800</v>
      </c>
      <c r="DY33" s="523"/>
      <c r="DZ33" s="524">
        <f>IF(DY33="",DX33,
IF(AND($DW$10&gt;=VLOOKUP(DY33,$DV$5:$DZ$9,2,0),$DW$10&lt;=VLOOKUP(DY33,$DV$5:$DZ$9,3,0)),
(DX33*(1-VLOOKUP(DY33,$DV$5:$DZ$9,4,0))),
DX33))</f>
        <v>800</v>
      </c>
      <c r="EB33" s="738" t="s">
        <v>4269</v>
      </c>
      <c r="EC33" s="166">
        <v>250</v>
      </c>
      <c r="ED33" s="522">
        <f>ROUND(((EC33-(EC33/6))/$DD$3)*$DE$3,2)</f>
        <v>250</v>
      </c>
      <c r="EE33" s="523"/>
      <c r="EF33" s="524">
        <f>IF(EE33="",ED33,
IF(AND($EC$10&gt;=VLOOKUP(EE33,$EB$5:$EF$9,2,0),$EC$10&lt;=VLOOKUP(EE33,$EB$5:$EF$9,3,0)),
(ED33*(1-VLOOKUP(EE33,$EB$5:$EF$9,4,0))),
ED33))</f>
        <v>250</v>
      </c>
      <c r="EG33" s="165"/>
      <c r="EH33" s="738" t="s">
        <v>3351</v>
      </c>
      <c r="EI33" s="166">
        <v>0</v>
      </c>
      <c r="EJ33" s="522">
        <f>ROUND(((EI33-(EI33/6))/$DD$3)*$DE$3,2)</f>
        <v>0</v>
      </c>
      <c r="EK33" s="523"/>
      <c r="EL33" s="524">
        <f>IF(EK33="",EJ33,
IF(AND($EI$10&gt;=VLOOKUP(EK33,$EH$5:$EL$9,2,0),$EI$10&lt;=VLOOKUP(EK33,$EH$5:$EL$9,3,0)),
(EJ33*(1-VLOOKUP(EK33,$EH$5:$EL$9,4,0))),
EJ33))</f>
        <v>0</v>
      </c>
    </row>
    <row r="34" spans="2:142">
      <c r="B34" s="30"/>
      <c r="C34" s="410" t="s">
        <v>61</v>
      </c>
      <c r="D34" s="733" t="s">
        <v>728</v>
      </c>
      <c r="E34" s="29"/>
      <c r="G34" s="21"/>
      <c r="H34" s="21"/>
      <c r="I34" s="21"/>
      <c r="J34" s="21"/>
      <c r="K34" s="21"/>
      <c r="L34" s="143" t="s">
        <v>2355</v>
      </c>
      <c r="M34" s="21" t="s">
        <v>2346</v>
      </c>
      <c r="N34" s="159" t="s">
        <v>2091</v>
      </c>
      <c r="O34" s="819" t="s">
        <v>728</v>
      </c>
      <c r="P34" s="21"/>
      <c r="Q34" s="143" t="s">
        <v>2355</v>
      </c>
      <c r="R34" s="151" t="s">
        <v>202</v>
      </c>
      <c r="S34" s="159" t="s">
        <v>150</v>
      </c>
      <c r="T34" s="21"/>
      <c r="U34" s="751" t="s">
        <v>3212</v>
      </c>
      <c r="V34" s="101" t="s">
        <v>1739</v>
      </c>
      <c r="W34" s="100" t="s">
        <v>2214</v>
      </c>
      <c r="X34" s="21"/>
      <c r="Y34" s="20" t="s">
        <v>6468</v>
      </c>
      <c r="Z34" s="20">
        <v>203</v>
      </c>
      <c r="AA34" s="159" t="s">
        <v>6469</v>
      </c>
      <c r="AB34" s="21"/>
      <c r="AF34" s="21"/>
      <c r="AJ34" s="21"/>
      <c r="AK34" s="777" t="s">
        <v>5669</v>
      </c>
      <c r="AL34" s="478" t="s">
        <v>5670</v>
      </c>
      <c r="AM34" s="584" t="s">
        <v>5671</v>
      </c>
      <c r="AN34" s="21"/>
      <c r="AO34" s="591"/>
      <c r="AP34" s="475"/>
      <c r="AQ34" s="592"/>
      <c r="AS34" s="21"/>
      <c r="AU34" s="136" t="s">
        <v>2346</v>
      </c>
      <c r="AV34" s="148" t="s">
        <v>208</v>
      </c>
      <c r="AW34" s="138" t="str">
        <f t="shared" si="28"/>
        <v>ДП Геометрія.6/6</v>
      </c>
      <c r="AY34" s="234" t="s">
        <v>567</v>
      </c>
      <c r="AZ34" s="137" t="s">
        <v>1721</v>
      </c>
      <c r="BA34" s="138" t="str">
        <f t="shared" si="1"/>
        <v>ДП СТАНДАРТ.4/1.б/з фальц</v>
      </c>
      <c r="BC34" s="145" t="s">
        <v>4887</v>
      </c>
      <c r="BD34" s="134" t="s">
        <v>3348</v>
      </c>
      <c r="BE34" s="135" t="str">
        <f>CONCATENATE(BC34,".",BD34)</f>
        <v>тунель.1-стулк</v>
      </c>
      <c r="BF34" s="121"/>
      <c r="BG34" s="146" t="s">
        <v>3194</v>
      </c>
      <c r="BH34" s="137" t="s">
        <v>322</v>
      </c>
      <c r="BI34" s="138" t="str">
        <f>CONCATENATE(BG34,".",BH34)</f>
        <v>неробоча,.70</v>
      </c>
      <c r="BK34" s="224" t="s">
        <v>1385</v>
      </c>
      <c r="BL34" s="62" t="s">
        <v>5071</v>
      </c>
      <c r="BM34" s="139" t="str">
        <f t="shared" si="40"/>
        <v>ДП ЛАДА A.Е-шпон</v>
      </c>
      <c r="BO34" s="719" t="s">
        <v>1894</v>
      </c>
      <c r="BP34" s="769" t="s">
        <v>3850</v>
      </c>
      <c r="BQ34" s="720" t="str">
        <f>CONCATENATE(BO34,".",BP34)</f>
        <v>Uni-Mat..151 Біанко</v>
      </c>
      <c r="BS34" s="44" t="s">
        <v>570</v>
      </c>
      <c r="BT34" s="254" t="s">
        <v>316</v>
      </c>
      <c r="BU34" s="139" t="str">
        <f t="shared" si="42"/>
        <v>ДП КУПАВА.1/1.ДСП тр.</v>
      </c>
      <c r="BW34" s="162" t="s">
        <v>567</v>
      </c>
      <c r="BX34" s="246" t="s">
        <v>459</v>
      </c>
      <c r="BY34" s="135" t="str">
        <f t="shared" si="5"/>
        <v>ДП СТАНДАРТ.4/1.Кризет</v>
      </c>
      <c r="CA34" s="742" t="s">
        <v>3175</v>
      </c>
      <c r="CB34" s="137" t="s">
        <v>4300</v>
      </c>
      <c r="CC34" s="138" t="str">
        <f>CONCATENATE(CA34,".",CB34)</f>
        <v>ДП СТАНДАРТ.фальц.робоча.Magnet цл +2завіс</v>
      </c>
      <c r="CE34" s="424" t="s">
        <v>3208</v>
      </c>
      <c r="CF34" s="62" t="s">
        <v>739</v>
      </c>
      <c r="CG34" s="139" t="str">
        <f t="shared" si="43"/>
        <v>ДП Геометрія.фальц.робоча.ВП</v>
      </c>
      <c r="CI34" s="146" t="s">
        <v>5756</v>
      </c>
      <c r="CJ34" s="137" t="s">
        <v>4827</v>
      </c>
      <c r="CK34" s="138" t="str">
        <f t="shared" si="44"/>
        <v>Stand кл Лів +3завіс.Ліва</v>
      </c>
      <c r="CM34" s="86" t="s">
        <v>3213</v>
      </c>
      <c r="CN34" s="56" t="s">
        <v>841</v>
      </c>
      <c r="CO34" s="70" t="str">
        <f t="shared" si="39"/>
        <v>ДП РУТА.купе.робоча.Verto-FIT</v>
      </c>
      <c r="CQ34" s="142" t="s">
        <v>941</v>
      </c>
      <c r="CR34" s="156" t="s">
        <v>469</v>
      </c>
      <c r="CS34" s="135" t="str">
        <f t="shared" ref="CS34:CS43" si="46">CONCATENATE(CQ34,".",CR34)</f>
        <v>Verto-FIT Comfort.A</v>
      </c>
      <c r="CU34" s="561"/>
      <c r="CV34" s="561"/>
      <c r="CW34" s="562"/>
      <c r="CY34" s="146" t="s">
        <v>322</v>
      </c>
      <c r="CZ34" s="137" t="s">
        <v>322</v>
      </c>
      <c r="DA34" s="138" t="s">
        <v>857</v>
      </c>
      <c r="DD34" s="165" t="s">
        <v>2066</v>
      </c>
      <c r="DE34" s="166">
        <v>4990</v>
      </c>
      <c r="DF34" s="522">
        <f t="shared" si="38"/>
        <v>4990</v>
      </c>
      <c r="DG34" s="523"/>
      <c r="DH34" s="524">
        <f t="shared" si="33"/>
        <v>4990</v>
      </c>
      <c r="DJ34" s="736" t="s">
        <v>4092</v>
      </c>
      <c r="DK34" s="105">
        <v>0</v>
      </c>
      <c r="DL34" s="403">
        <f t="shared" si="41"/>
        <v>0</v>
      </c>
      <c r="DM34" s="514"/>
      <c r="DN34" s="511">
        <f t="shared" si="45"/>
        <v>0</v>
      </c>
      <c r="DP34" s="162" t="s">
        <v>641</v>
      </c>
      <c r="DQ34" s="163">
        <v>0</v>
      </c>
      <c r="DR34" s="528">
        <f t="shared" si="13"/>
        <v>0</v>
      </c>
      <c r="DS34" s="529"/>
      <c r="DT34" s="530">
        <f t="shared" si="14"/>
        <v>0</v>
      </c>
      <c r="DU34" s="166"/>
      <c r="DV34" s="739" t="s">
        <v>4308</v>
      </c>
      <c r="DW34" s="164">
        <v>800</v>
      </c>
      <c r="DX34" s="525">
        <f>ROUND(((DW34-(DW34/6))/$DD$3)*$DE$3,2)</f>
        <v>800</v>
      </c>
      <c r="DY34" s="526"/>
      <c r="DZ34" s="527">
        <f>IF(DY34="",DX34,
IF(AND($DW$10&gt;=VLOOKUP(DY34,$DV$5:$DZ$9,2,0),$DW$10&lt;=VLOOKUP(DY34,$DV$5:$DZ$9,3,0)),
(DX34*(1-VLOOKUP(DY34,$DV$5:$DZ$9,4,0))),
DX34))</f>
        <v>800</v>
      </c>
      <c r="EB34" s="108" t="s">
        <v>2415</v>
      </c>
      <c r="EC34" s="164">
        <v>170</v>
      </c>
      <c r="ED34" s="531">
        <f>ROUND(((EC34-(EC34/6))/$DD$3)*$DE$3,2)</f>
        <v>170</v>
      </c>
      <c r="EE34" s="526"/>
      <c r="EF34" s="527">
        <f>IF(EE34="",ED34,
IF(AND($EC$10&gt;=VLOOKUP(EE34,$EB$5:$EF$9,2,0),$EC$10&lt;=VLOOKUP(EE34,$EB$5:$EF$9,3,0)),
(ED34*(1-VLOOKUP(EE34,$EB$5:$EF$9,4,0))),
ED34))</f>
        <v>170</v>
      </c>
      <c r="EG34" s="165"/>
      <c r="EH34" s="739" t="s">
        <v>3352</v>
      </c>
      <c r="EI34" s="164">
        <v>860</v>
      </c>
      <c r="EJ34" s="531">
        <f>ROUND(((EI34-(EI34/6))/$DD$3)*$DE$3,2)</f>
        <v>860</v>
      </c>
      <c r="EK34" s="526"/>
      <c r="EL34" s="527">
        <f>IF(EK34="",EJ34,
IF(AND($EI$10&gt;=VLOOKUP(EK34,$EH$5:$EL$9,2,0),$EI$10&lt;=VLOOKUP(EK34,$EH$5:$EL$9,3,0)),
(EJ34*(1-VLOOKUP(EK34,$EH$5:$EL$9,4,0))),
EJ34))</f>
        <v>860</v>
      </c>
    </row>
    <row r="35" spans="2:142">
      <c r="B35" s="30"/>
      <c r="C35" s="410"/>
      <c r="D35" s="733"/>
      <c r="E35" s="29"/>
      <c r="G35" s="21"/>
      <c r="H35" s="21"/>
      <c r="I35" s="21"/>
      <c r="J35" s="21"/>
      <c r="K35" s="21"/>
      <c r="L35" s="143" t="s">
        <v>2356</v>
      </c>
      <c r="M35" s="21" t="s">
        <v>2346</v>
      </c>
      <c r="N35" s="159" t="s">
        <v>2091</v>
      </c>
      <c r="O35" s="819" t="s">
        <v>728</v>
      </c>
      <c r="P35" s="21"/>
      <c r="Q35" s="143" t="s">
        <v>2356</v>
      </c>
      <c r="R35" s="151" t="s">
        <v>190</v>
      </c>
      <c r="S35" s="159" t="s">
        <v>151</v>
      </c>
      <c r="T35" s="21"/>
      <c r="U35" s="752" t="s">
        <v>3214</v>
      </c>
      <c r="V35" s="151" t="s">
        <v>1729</v>
      </c>
      <c r="W35" s="159" t="s">
        <v>2205</v>
      </c>
      <c r="X35" s="21"/>
      <c r="Y35" s="752" t="s">
        <v>3847</v>
      </c>
      <c r="Z35" s="493">
        <v>204</v>
      </c>
      <c r="AA35" s="159" t="s">
        <v>2247</v>
      </c>
      <c r="AB35" s="21"/>
      <c r="AF35" s="21"/>
      <c r="AJ35" s="21"/>
      <c r="AK35" s="778" t="s">
        <v>5682</v>
      </c>
      <c r="AL35" s="590" t="s">
        <v>1754</v>
      </c>
      <c r="AM35" s="586" t="s">
        <v>5683</v>
      </c>
      <c r="AN35" s="21"/>
      <c r="AO35" s="789" t="s">
        <v>5742</v>
      </c>
      <c r="AP35" s="101" t="s">
        <v>5495</v>
      </c>
      <c r="AQ35" s="589" t="s">
        <v>2321</v>
      </c>
      <c r="AS35" s="21"/>
      <c r="AU35" s="133" t="s">
        <v>2407</v>
      </c>
      <c r="AV35" s="150" t="s">
        <v>528</v>
      </c>
      <c r="AW35" s="135" t="str">
        <f t="shared" ref="AW35:AW83" si="47">CONCATENATE(AU35,".",AV35)</f>
        <v>ДП Ідея.1</v>
      </c>
      <c r="AY35" s="224" t="s">
        <v>567</v>
      </c>
      <c r="AZ35" s="62" t="s">
        <v>1720</v>
      </c>
      <c r="BA35" s="139" t="str">
        <f t="shared" si="1"/>
        <v>ДП СТАНДАРТ.4/1.купе</v>
      </c>
      <c r="BC35" s="147" t="s">
        <v>4887</v>
      </c>
      <c r="BD35" s="62" t="s">
        <v>3350</v>
      </c>
      <c r="BE35" s="139" t="str">
        <f>CONCATENATE(BC35,".",BD35)</f>
        <v>тунель.2-стулк</v>
      </c>
      <c r="BF35" s="121"/>
      <c r="BG35" s="146" t="s">
        <v>3194</v>
      </c>
      <c r="BH35" s="137" t="s">
        <v>323</v>
      </c>
      <c r="BI35" s="138" t="str">
        <f>CONCATENATE(BG35,".",BH35)</f>
        <v>неробоча,.80</v>
      </c>
      <c r="BK35" s="234" t="s">
        <v>1384</v>
      </c>
      <c r="BL35" s="134" t="s">
        <v>409</v>
      </c>
      <c r="BM35" s="135" t="str">
        <f t="shared" si="40"/>
        <v>ДП ЛАДА B.Verto-Cell</v>
      </c>
      <c r="BO35" s="721" t="s">
        <v>1894</v>
      </c>
      <c r="BP35" s="722" t="s">
        <v>1891</v>
      </c>
      <c r="BQ35" s="723" t="str">
        <f>CONCATENATE(BO35,".",BP35)</f>
        <v>Uni-Mat..152 Капучино</v>
      </c>
      <c r="BS35" s="133" t="s">
        <v>571</v>
      </c>
      <c r="BT35" s="101" t="s">
        <v>4066</v>
      </c>
      <c r="BU35" s="135" t="str">
        <f t="shared" si="42"/>
        <v>ДП КУПАВА.2/0.Сотове</v>
      </c>
      <c r="BW35" s="165" t="s">
        <v>567</v>
      </c>
      <c r="BX35" s="247" t="s">
        <v>458</v>
      </c>
      <c r="BY35" s="138" t="str">
        <f>CONCATENATE(BW35,".",BX35)</f>
        <v>ДП СТАНДАРТ.4/1.Сатин</v>
      </c>
      <c r="CA35" s="742" t="s">
        <v>3175</v>
      </c>
      <c r="CB35" s="137" t="s">
        <v>4305</v>
      </c>
      <c r="CC35" s="138" t="str">
        <f>CONCATENATE(CA35,".",CB35)</f>
        <v>ДП СТАНДАРТ.фальц.робоча.Magnet ст +2завіс</v>
      </c>
      <c r="CE35" s="742" t="s">
        <v>3215</v>
      </c>
      <c r="CF35" s="137"/>
      <c r="CG35" s="138" t="str">
        <f t="shared" si="43"/>
        <v>ДП Геометрія.фальц.неробоча.</v>
      </c>
      <c r="CI35" s="147" t="s">
        <v>5757</v>
      </c>
      <c r="CJ35" s="62" t="s">
        <v>4857</v>
      </c>
      <c r="CK35" s="139" t="str">
        <f t="shared" si="44"/>
        <v>Stand кл Пр +3завіс.Права</v>
      </c>
      <c r="CM35" s="432"/>
      <c r="CN35" s="222"/>
      <c r="CO35" s="223"/>
      <c r="CQ35" s="143" t="s">
        <v>941</v>
      </c>
      <c r="CR35" s="157" t="s">
        <v>470</v>
      </c>
      <c r="CS35" s="138" t="str">
        <f t="shared" si="46"/>
        <v>Verto-FIT Comfort.B</v>
      </c>
      <c r="CY35" s="146" t="s">
        <v>323</v>
      </c>
      <c r="CZ35" s="137" t="s">
        <v>323</v>
      </c>
      <c r="DA35" s="138" t="s">
        <v>857</v>
      </c>
      <c r="DD35" s="165" t="s">
        <v>2067</v>
      </c>
      <c r="DE35" s="166">
        <v>4990</v>
      </c>
      <c r="DF35" s="522">
        <f t="shared" si="38"/>
        <v>4990</v>
      </c>
      <c r="DG35" s="523"/>
      <c r="DH35" s="524">
        <f t="shared" si="33"/>
        <v>4990</v>
      </c>
      <c r="DJ35" s="736" t="s">
        <v>4093</v>
      </c>
      <c r="DK35" s="105">
        <v>0</v>
      </c>
      <c r="DL35" s="403">
        <f t="shared" si="41"/>
        <v>0</v>
      </c>
      <c r="DM35" s="514"/>
      <c r="DN35" s="511">
        <f t="shared" si="45"/>
        <v>0</v>
      </c>
      <c r="DP35" s="165" t="s">
        <v>642</v>
      </c>
      <c r="DQ35" s="166">
        <v>420</v>
      </c>
      <c r="DR35" s="522">
        <f>ROUND(((DQ35-(DQ35/6))/$DD$3)*$DE$3,2)</f>
        <v>420</v>
      </c>
      <c r="DS35" s="523"/>
      <c r="DT35" s="524">
        <f>IF(DS35="",DR35,
IF(AND($DQ$10&gt;=VLOOKUP(DS35,$DP$5:$DT$9,2,0),$DQ$10&lt;=VLOOKUP(DS35,$DP$5:$DT$9,3,0)),
(DR35*(1-VLOOKUP(DS35,$DP$5:$DT$9,4,0))),
DR35))</f>
        <v>420</v>
      </c>
      <c r="DU35" s="166"/>
      <c r="DV35" s="738" t="s">
        <v>6221</v>
      </c>
      <c r="DW35" s="166">
        <v>1</v>
      </c>
      <c r="DX35" s="522">
        <f t="shared" si="15"/>
        <v>1</v>
      </c>
      <c r="DY35" s="523"/>
      <c r="DZ35" s="524">
        <f t="shared" si="16"/>
        <v>1</v>
      </c>
      <c r="EB35" s="256"/>
      <c r="EC35" s="257"/>
      <c r="ED35" s="258"/>
      <c r="EE35" s="257"/>
      <c r="EF35" s="259"/>
      <c r="EG35" s="165"/>
      <c r="EH35" s="738" t="s">
        <v>3353</v>
      </c>
      <c r="EI35" s="166">
        <v>0</v>
      </c>
      <c r="EJ35" s="522">
        <f>ROUND(((EI35-(EI35/6))/$DD$3)*$DE$3,2)</f>
        <v>0</v>
      </c>
      <c r="EK35" s="523"/>
      <c r="EL35" s="524">
        <f>IF(EK35="",EJ35,
IF(AND($EI$10&gt;=VLOOKUP(EK35,$EH$5:$EL$9,2,0),$EI$10&lt;=VLOOKUP(EK35,$EH$5:$EL$9,3,0)),
(EJ35*(1-VLOOKUP(EK35,$EH$5:$EL$9,4,0))),
EJ35))</f>
        <v>0</v>
      </c>
    </row>
    <row r="36" spans="2:142">
      <c r="B36" s="30"/>
      <c r="C36" s="745" t="s">
        <v>2935</v>
      </c>
      <c r="D36" s="733" t="s">
        <v>728</v>
      </c>
      <c r="E36" s="29"/>
      <c r="G36" s="21"/>
      <c r="H36" s="21"/>
      <c r="I36" s="21"/>
      <c r="J36" s="21"/>
      <c r="K36" s="21"/>
      <c r="L36" s="143" t="s">
        <v>2357</v>
      </c>
      <c r="M36" s="21" t="s">
        <v>2346</v>
      </c>
      <c r="N36" s="159" t="s">
        <v>2091</v>
      </c>
      <c r="O36" s="819" t="s">
        <v>728</v>
      </c>
      <c r="P36" s="21"/>
      <c r="Q36" s="143" t="s">
        <v>2357</v>
      </c>
      <c r="R36" s="151" t="s">
        <v>204</v>
      </c>
      <c r="S36" s="159" t="s">
        <v>744</v>
      </c>
      <c r="T36" s="21"/>
      <c r="U36" s="752" t="s">
        <v>3216</v>
      </c>
      <c r="V36" s="151" t="s">
        <v>1730</v>
      </c>
      <c r="W36" s="159" t="s">
        <v>2206</v>
      </c>
      <c r="X36" s="21"/>
      <c r="Y36" s="143" t="s">
        <v>558</v>
      </c>
      <c r="Z36" s="493">
        <v>205</v>
      </c>
      <c r="AA36" s="159" t="s">
        <v>2248</v>
      </c>
      <c r="AB36" s="21"/>
      <c r="AF36" s="21"/>
      <c r="AJ36" s="21"/>
      <c r="AK36" s="777" t="s">
        <v>5684</v>
      </c>
      <c r="AL36" s="478" t="s">
        <v>5685</v>
      </c>
      <c r="AM36" s="584" t="s">
        <v>5686</v>
      </c>
      <c r="AN36" s="21"/>
      <c r="AO36" s="778" t="s">
        <v>5743</v>
      </c>
      <c r="AP36" s="152" t="s">
        <v>177</v>
      </c>
      <c r="AQ36" s="586" t="s">
        <v>2324</v>
      </c>
      <c r="AS36" s="21"/>
      <c r="AU36" s="136" t="s">
        <v>2407</v>
      </c>
      <c r="AV36" s="148" t="s">
        <v>185</v>
      </c>
      <c r="AW36" s="138" t="str">
        <f t="shared" si="47"/>
        <v>ДП Ідея.3/0</v>
      </c>
      <c r="AY36" s="234" t="s">
        <v>568</v>
      </c>
      <c r="AZ36" s="137" t="s">
        <v>1719</v>
      </c>
      <c r="BA36" s="138" t="str">
        <f t="shared" si="1"/>
        <v>ДП СТАНДАРТ.4/2.фальц</v>
      </c>
      <c r="BC36" s="432"/>
      <c r="BD36" s="222"/>
      <c r="BE36" s="223"/>
      <c r="BF36" s="121"/>
      <c r="BG36" s="146" t="s">
        <v>3194</v>
      </c>
      <c r="BH36" s="137" t="s">
        <v>324</v>
      </c>
      <c r="BI36" s="138" t="str">
        <f>CONCATENATE(BG36,".",BH36)</f>
        <v>неробоча,.90</v>
      </c>
      <c r="BK36" s="234" t="s">
        <v>1384</v>
      </c>
      <c r="BL36" s="137"/>
      <c r="BM36" s="138" t="str">
        <f t="shared" si="40"/>
        <v>ДП ЛАДА B.</v>
      </c>
      <c r="BO36" s="721" t="s">
        <v>1894</v>
      </c>
      <c r="BP36" s="771" t="s">
        <v>3856</v>
      </c>
      <c r="BQ36" s="723" t="str">
        <f>CONCATENATE(BO36,".",BP36)</f>
        <v>Uni-Mat..153 Графіт</v>
      </c>
      <c r="BS36" s="44" t="s">
        <v>571</v>
      </c>
      <c r="BT36" s="254" t="s">
        <v>316</v>
      </c>
      <c r="BU36" s="139" t="str">
        <f t="shared" si="42"/>
        <v>ДП КУПАВА.2/0.ДСП тр.</v>
      </c>
      <c r="BW36" s="165" t="s">
        <v>567</v>
      </c>
      <c r="BX36" s="770" t="s">
        <v>3851</v>
      </c>
      <c r="BY36" s="138" t="str">
        <f t="shared" si="5"/>
        <v>ДП СТАНДАРТ.4/1.Графіт</v>
      </c>
      <c r="CA36" s="742" t="s">
        <v>3175</v>
      </c>
      <c r="CB36" s="137"/>
      <c r="CC36" s="138"/>
      <c r="CE36" s="742" t="s">
        <v>3215</v>
      </c>
      <c r="CF36" s="137" t="s">
        <v>4261</v>
      </c>
      <c r="CG36" s="138" t="str">
        <f t="shared" si="43"/>
        <v>ДП Геометрія.фальц.неробоча.ВВ</v>
      </c>
      <c r="CI36" s="146" t="s">
        <v>5758</v>
      </c>
      <c r="CJ36" s="137" t="s">
        <v>4827</v>
      </c>
      <c r="CK36" s="138" t="str">
        <f t="shared" si="44"/>
        <v>Stand ст Лів +3завіс.Ліва</v>
      </c>
      <c r="CM36" s="742" t="s">
        <v>3217</v>
      </c>
      <c r="CN36" s="137" t="s">
        <v>975</v>
      </c>
      <c r="CO36" s="138" t="str">
        <f t="shared" ref="CO36:CO42" si="48">CONCATENATE(CM36,".",CN36)</f>
        <v>ДП РУТА-FUSION.фальц.робоча.Standard-MDF</v>
      </c>
      <c r="CQ36" s="143" t="s">
        <v>941</v>
      </c>
      <c r="CR36" s="542" t="s">
        <v>1184</v>
      </c>
      <c r="CS36" s="138" t="str">
        <f>CONCATENATE(CQ36,".",CR36)</f>
        <v>Verto-FIT Comfort.B+</v>
      </c>
      <c r="CY36" s="146" t="s">
        <v>324</v>
      </c>
      <c r="CZ36" s="137" t="s">
        <v>324</v>
      </c>
      <c r="DA36" s="138" t="s">
        <v>857</v>
      </c>
      <c r="DD36" s="165" t="s">
        <v>2068</v>
      </c>
      <c r="DE36" s="166">
        <v>4990</v>
      </c>
      <c r="DF36" s="522">
        <f t="shared" si="38"/>
        <v>4990</v>
      </c>
      <c r="DG36" s="523"/>
      <c r="DH36" s="524">
        <f t="shared" si="33"/>
        <v>4990</v>
      </c>
      <c r="DJ36" s="736" t="s">
        <v>4094</v>
      </c>
      <c r="DK36" s="105">
        <v>0</v>
      </c>
      <c r="DL36" s="403">
        <f t="shared" si="41"/>
        <v>0</v>
      </c>
      <c r="DM36" s="514"/>
      <c r="DN36" s="511">
        <f t="shared" si="45"/>
        <v>0</v>
      </c>
      <c r="DP36" s="738" t="s">
        <v>3858</v>
      </c>
      <c r="DQ36" s="166">
        <v>550</v>
      </c>
      <c r="DR36" s="522">
        <f t="shared" si="13"/>
        <v>550</v>
      </c>
      <c r="DS36" s="523"/>
      <c r="DT36" s="524">
        <f t="shared" si="14"/>
        <v>550</v>
      </c>
      <c r="DU36" s="166"/>
      <c r="DV36" s="739" t="s">
        <v>6222</v>
      </c>
      <c r="DW36" s="164">
        <v>1</v>
      </c>
      <c r="DX36" s="525">
        <f t="shared" si="15"/>
        <v>1</v>
      </c>
      <c r="DY36" s="526"/>
      <c r="DZ36" s="527">
        <f t="shared" si="16"/>
        <v>1</v>
      </c>
      <c r="EB36" s="165" t="s">
        <v>1684</v>
      </c>
      <c r="EC36" s="166">
        <v>0</v>
      </c>
      <c r="ED36" s="522">
        <f t="shared" ref="ED36:ED58" si="49">ROUND(((EC36-(EC36/6))/$DD$3)*$DE$3,2)</f>
        <v>0</v>
      </c>
      <c r="EE36" s="523"/>
      <c r="EF36" s="530">
        <f t="shared" ref="EF36:EF71" si="50">IF(EE36="",ED36,
IF(AND($EC$10&gt;=VLOOKUP(EE36,$EB$5:$EF$9,2,0),$EC$10&lt;=VLOOKUP(EE36,$EB$5:$EF$9,3,0)),
(ED36*(1-VLOOKUP(EE36,$EB$5:$EF$9,4,0))),
ED36))</f>
        <v>0</v>
      </c>
      <c r="EG36" s="165"/>
      <c r="EH36" s="739" t="s">
        <v>3354</v>
      </c>
      <c r="EI36" s="164">
        <v>1010</v>
      </c>
      <c r="EJ36" s="531">
        <f>ROUND(((EI36-(EI36/6))/$DD$3)*$DE$3,2)</f>
        <v>1010</v>
      </c>
      <c r="EK36" s="526"/>
      <c r="EL36" s="527">
        <f>IF(EK36="",EJ36,
IF(AND($EI$10&gt;=VLOOKUP(EK36,$EH$5:$EL$9,2,0),$EI$10&lt;=VLOOKUP(EK36,$EH$5:$EL$9,3,0)),
(EJ36*(1-VLOOKUP(EK36,$EH$5:$EL$9,4,0))),
EJ36))</f>
        <v>1010</v>
      </c>
    </row>
    <row r="37" spans="2:142">
      <c r="B37" s="30"/>
      <c r="C37" s="410" t="s">
        <v>404</v>
      </c>
      <c r="D37" s="733" t="s">
        <v>728</v>
      </c>
      <c r="E37" s="29"/>
      <c r="G37" s="21"/>
      <c r="H37" s="21"/>
      <c r="I37" s="21"/>
      <c r="J37" s="21"/>
      <c r="K37" s="21"/>
      <c r="L37" s="143" t="s">
        <v>2358</v>
      </c>
      <c r="M37" s="21" t="s">
        <v>2346</v>
      </c>
      <c r="N37" s="159" t="s">
        <v>2091</v>
      </c>
      <c r="O37" s="819" t="s">
        <v>728</v>
      </c>
      <c r="P37" s="21"/>
      <c r="Q37" s="143" t="s">
        <v>2358</v>
      </c>
      <c r="R37" s="151" t="s">
        <v>205</v>
      </c>
      <c r="S37" s="159" t="s">
        <v>1004</v>
      </c>
      <c r="T37" s="21"/>
      <c r="U37" s="752" t="s">
        <v>3218</v>
      </c>
      <c r="V37" s="151" t="s">
        <v>1731</v>
      </c>
      <c r="W37" s="159" t="s">
        <v>2207</v>
      </c>
      <c r="X37" s="21"/>
      <c r="Y37" s="750" t="s">
        <v>4060</v>
      </c>
      <c r="Z37" s="494">
        <v>207</v>
      </c>
      <c r="AA37" s="160" t="s">
        <v>2249</v>
      </c>
      <c r="AB37" s="21"/>
      <c r="AF37" s="21"/>
      <c r="AJ37" s="21"/>
      <c r="AK37" s="777" t="s">
        <v>4311</v>
      </c>
      <c r="AL37" s="478" t="s">
        <v>1755</v>
      </c>
      <c r="AM37" s="584" t="s">
        <v>2277</v>
      </c>
      <c r="AN37" s="21"/>
      <c r="AO37" s="777" t="s">
        <v>5744</v>
      </c>
      <c r="AP37" s="151" t="s">
        <v>5495</v>
      </c>
      <c r="AQ37" s="584" t="s">
        <v>2321</v>
      </c>
      <c r="AS37" s="21"/>
      <c r="AU37" s="136" t="s">
        <v>2407</v>
      </c>
      <c r="AV37" s="148" t="s">
        <v>186</v>
      </c>
      <c r="AW37" s="138" t="str">
        <f t="shared" si="47"/>
        <v>ДП Ідея.3/1</v>
      </c>
      <c r="AY37" s="234" t="s">
        <v>568</v>
      </c>
      <c r="AZ37" s="137" t="s">
        <v>1721</v>
      </c>
      <c r="BA37" s="138" t="str">
        <f t="shared" si="1"/>
        <v>ДП СТАНДАРТ.4/2.б/з фальц</v>
      </c>
      <c r="BC37" s="40" t="s">
        <v>680</v>
      </c>
      <c r="BD37" s="134" t="s">
        <v>3348</v>
      </c>
      <c r="BE37" s="135" t="str">
        <f>CONCATENATE(BC37,".",BD37)</f>
        <v>стандарт..1-стулк</v>
      </c>
      <c r="BF37" s="121"/>
      <c r="BG37" s="147" t="s">
        <v>3194</v>
      </c>
      <c r="BH37" s="62" t="s">
        <v>325</v>
      </c>
      <c r="BI37" s="139" t="str">
        <f>CONCATENATE(BG37,".",BH37)</f>
        <v>неробоча,.100</v>
      </c>
      <c r="BK37" s="234" t="s">
        <v>1384</v>
      </c>
      <c r="BL37" s="137" t="s">
        <v>1894</v>
      </c>
      <c r="BM37" s="138" t="str">
        <f>CONCATENATE(BK37,".",BL37)</f>
        <v>ДП ЛАДА B.Uni-Mat.</v>
      </c>
      <c r="BO37" s="721" t="s">
        <v>1894</v>
      </c>
      <c r="BP37" s="722" t="s">
        <v>1892</v>
      </c>
      <c r="BQ37" s="723" t="str">
        <f>CONCATENATE(BO37,".",BP37)</f>
        <v>Uni-Mat..154 Антрацит</v>
      </c>
      <c r="BS37" s="133" t="s">
        <v>722</v>
      </c>
      <c r="BT37" s="101" t="s">
        <v>4066</v>
      </c>
      <c r="BU37" s="135" t="str">
        <f t="shared" si="42"/>
        <v>ДП КУПАВА.2/1.Сотове</v>
      </c>
      <c r="BW37" s="108" t="s">
        <v>567</v>
      </c>
      <c r="BX37" s="248" t="s">
        <v>832</v>
      </c>
      <c r="BY37" s="139" t="str">
        <f t="shared" si="5"/>
        <v>ДП СТАНДАРТ.4/1.Бронза</v>
      </c>
      <c r="CA37" s="742" t="s">
        <v>3175</v>
      </c>
      <c r="CB37" s="137" t="s">
        <v>4316</v>
      </c>
      <c r="CC37" s="138" t="str">
        <f>CONCATENATE(CA37,".",CB37)</f>
        <v>ДП СТАНДАРТ.фальц.робоча.Magnet цл +3завіс</v>
      </c>
      <c r="CE37" s="424" t="s">
        <v>3215</v>
      </c>
      <c r="CF37" s="62" t="s">
        <v>739</v>
      </c>
      <c r="CG37" s="139" t="str">
        <f t="shared" si="43"/>
        <v>ДП Геометрія.фальц.неробоча.ВП</v>
      </c>
      <c r="CI37" s="147" t="s">
        <v>5759</v>
      </c>
      <c r="CJ37" s="62" t="s">
        <v>4857</v>
      </c>
      <c r="CK37" s="139" t="str">
        <f t="shared" si="44"/>
        <v>Stand ст Пр +3завіс.Права</v>
      </c>
      <c r="CM37" s="742" t="s">
        <v>3217</v>
      </c>
      <c r="CN37" s="137" t="s">
        <v>840</v>
      </c>
      <c r="CO37" s="138" t="str">
        <f t="shared" si="48"/>
        <v>ДП РУТА-FUSION.фальц.робоча.Standard</v>
      </c>
      <c r="CQ37" s="143" t="s">
        <v>941</v>
      </c>
      <c r="CR37" s="157" t="s">
        <v>471</v>
      </c>
      <c r="CS37" s="138" t="str">
        <f t="shared" si="46"/>
        <v>Verto-FIT Comfort.C</v>
      </c>
      <c r="CY37" s="224" t="s">
        <v>325</v>
      </c>
      <c r="CZ37" s="62" t="s">
        <v>325</v>
      </c>
      <c r="DA37" s="139" t="s">
        <v>857</v>
      </c>
      <c r="DD37" s="165" t="s">
        <v>2069</v>
      </c>
      <c r="DE37" s="166">
        <v>4990</v>
      </c>
      <c r="DF37" s="522">
        <f t="shared" si="38"/>
        <v>4990</v>
      </c>
      <c r="DG37" s="523"/>
      <c r="DH37" s="524">
        <f>IF(DG37="",DF37,
IF(AND($DE$10&gt;=VLOOKUP(DG37,$DD$5:$DH$9,2,0),$DE$10&lt;=VLOOKUP(DG37,$DD$5:$DH$9,3,0)),
(DF37*(1-VLOOKUP(DG37,$DD$5:$DH$9,4,0))),
DF37))</f>
        <v>4990</v>
      </c>
      <c r="DJ37" s="736" t="s">
        <v>4095</v>
      </c>
      <c r="DK37" s="105">
        <v>0</v>
      </c>
      <c r="DL37" s="403">
        <f t="shared" si="41"/>
        <v>0</v>
      </c>
      <c r="DM37" s="514"/>
      <c r="DN37" s="511">
        <f t="shared" si="45"/>
        <v>0</v>
      </c>
      <c r="DP37" s="108" t="s">
        <v>1816</v>
      </c>
      <c r="DQ37" s="164">
        <v>550</v>
      </c>
      <c r="DR37" s="525">
        <f t="shared" si="13"/>
        <v>550</v>
      </c>
      <c r="DS37" s="526"/>
      <c r="DT37" s="527">
        <f t="shared" si="14"/>
        <v>550</v>
      </c>
      <c r="DU37" s="166"/>
      <c r="DV37" s="737" t="s">
        <v>4309</v>
      </c>
      <c r="DW37" s="163">
        <v>0</v>
      </c>
      <c r="DX37" s="528">
        <f t="shared" si="15"/>
        <v>0</v>
      </c>
      <c r="DY37" s="529"/>
      <c r="DZ37" s="530">
        <f t="shared" si="16"/>
        <v>0</v>
      </c>
      <c r="EB37" s="738" t="s">
        <v>4270</v>
      </c>
      <c r="EC37" s="166">
        <v>250</v>
      </c>
      <c r="ED37" s="522">
        <f>ROUND(((EC37-(EC37/6))/$DD$3)*$DE$3,2)</f>
        <v>250</v>
      </c>
      <c r="EE37" s="523"/>
      <c r="EF37" s="524">
        <f>IF(EE37="",ED37,
IF(AND($EC$10&gt;=VLOOKUP(EE37,$EB$5:$EF$9,2,0),$EC$10&lt;=VLOOKUP(EE37,$EB$5:$EF$9,3,0)),
(ED37*(1-VLOOKUP(EE37,$EB$5:$EF$9,4,0))),
ED37))</f>
        <v>250</v>
      </c>
      <c r="EG37" s="165"/>
      <c r="EH37" s="738" t="s">
        <v>3355</v>
      </c>
      <c r="EI37" s="166">
        <v>0</v>
      </c>
      <c r="EJ37" s="522">
        <f t="shared" si="19"/>
        <v>0</v>
      </c>
      <c r="EK37" s="523"/>
      <c r="EL37" s="524">
        <f t="shared" si="31"/>
        <v>0</v>
      </c>
    </row>
    <row r="38" spans="2:142">
      <c r="B38" s="30"/>
      <c r="C38" s="745" t="s">
        <v>2957</v>
      </c>
      <c r="D38" s="733" t="s">
        <v>728</v>
      </c>
      <c r="E38" s="29"/>
      <c r="G38" s="21"/>
      <c r="H38" s="21"/>
      <c r="I38" s="21"/>
      <c r="J38" s="21"/>
      <c r="K38" s="21"/>
      <c r="L38" s="155" t="s">
        <v>2359</v>
      </c>
      <c r="M38" s="254" t="s">
        <v>2346</v>
      </c>
      <c r="N38" s="160" t="s">
        <v>2091</v>
      </c>
      <c r="O38" s="422" t="s">
        <v>728</v>
      </c>
      <c r="P38" s="21"/>
      <c r="Q38" s="155" t="s">
        <v>2359</v>
      </c>
      <c r="R38" s="152" t="s">
        <v>208</v>
      </c>
      <c r="S38" s="160" t="s">
        <v>1007</v>
      </c>
      <c r="T38" s="21"/>
      <c r="U38" s="752" t="s">
        <v>3219</v>
      </c>
      <c r="V38" s="151" t="s">
        <v>1732</v>
      </c>
      <c r="W38" s="159" t="s">
        <v>2208</v>
      </c>
      <c r="X38" s="21"/>
      <c r="Y38" s="751" t="s">
        <v>4061</v>
      </c>
      <c r="Z38" s="495">
        <v>301</v>
      </c>
      <c r="AA38" s="100" t="s">
        <v>2250</v>
      </c>
      <c r="AB38" s="21"/>
      <c r="AF38" s="21"/>
      <c r="AJ38" s="21"/>
      <c r="AK38" s="778" t="s">
        <v>4313</v>
      </c>
      <c r="AL38" s="590" t="s">
        <v>1756</v>
      </c>
      <c r="AM38" s="586" t="s">
        <v>2278</v>
      </c>
      <c r="AN38" s="21"/>
      <c r="AO38" s="778" t="s">
        <v>5745</v>
      </c>
      <c r="AP38" s="152" t="s">
        <v>177</v>
      </c>
      <c r="AQ38" s="586" t="s">
        <v>2324</v>
      </c>
      <c r="AS38" s="21"/>
      <c r="AU38" s="136" t="s">
        <v>2407</v>
      </c>
      <c r="AV38" s="148" t="s">
        <v>199</v>
      </c>
      <c r="AW38" s="138" t="str">
        <f t="shared" si="47"/>
        <v>ДП Ідея.3/2</v>
      </c>
      <c r="AY38" s="224" t="s">
        <v>568</v>
      </c>
      <c r="AZ38" s="62" t="s">
        <v>1720</v>
      </c>
      <c r="BA38" s="139" t="str">
        <f t="shared" si="1"/>
        <v>ДП СТАНДАРТ.4/2.купе</v>
      </c>
      <c r="BC38" s="432"/>
      <c r="BD38" s="222"/>
      <c r="BE38" s="223"/>
      <c r="BF38" s="121"/>
      <c r="BG38" s="426"/>
      <c r="BH38" s="427"/>
      <c r="BI38" s="428"/>
      <c r="BK38" s="234" t="s">
        <v>1384</v>
      </c>
      <c r="BL38" s="137" t="s">
        <v>557</v>
      </c>
      <c r="BM38" s="138" t="str">
        <f t="shared" si="40"/>
        <v>ДП ЛАДА B.Резист</v>
      </c>
      <c r="BO38" s="145" t="s">
        <v>557</v>
      </c>
      <c r="BP38" s="101" t="s">
        <v>3838</v>
      </c>
      <c r="BQ38" s="135" t="str">
        <f t="shared" ref="BQ38:BQ45" si="51">CONCATENATE(BO38,".",BP38)</f>
        <v>Резист.201 Білий</v>
      </c>
      <c r="BS38" s="44" t="s">
        <v>722</v>
      </c>
      <c r="BT38" s="254" t="s">
        <v>316</v>
      </c>
      <c r="BU38" s="139" t="str">
        <f t="shared" si="42"/>
        <v>ДП КУПАВА.2/1.ДСП тр.</v>
      </c>
      <c r="BW38" s="162" t="s">
        <v>568</v>
      </c>
      <c r="BX38" s="246" t="s">
        <v>459</v>
      </c>
      <c r="BY38" s="135" t="str">
        <f t="shared" si="5"/>
        <v>ДП СТАНДАРТ.4/2.Кризет</v>
      </c>
      <c r="CA38" s="424" t="s">
        <v>3175</v>
      </c>
      <c r="CB38" s="62" t="s">
        <v>4319</v>
      </c>
      <c r="CC38" s="139" t="str">
        <f>CONCATENATE(CA38,".",CB38)</f>
        <v>ДП СТАНДАРТ.фальц.робоча.Magnet ст +3завіс</v>
      </c>
      <c r="CE38" s="146" t="s">
        <v>3220</v>
      </c>
      <c r="CF38" s="137"/>
      <c r="CG38" s="138" t="str">
        <f t="shared" si="43"/>
        <v>ДП Геометрія.б/з фальц.робоча.</v>
      </c>
      <c r="CI38" s="146" t="s">
        <v>4304</v>
      </c>
      <c r="CJ38" s="137" t="s">
        <v>4827</v>
      </c>
      <c r="CK38" s="138" t="str">
        <f t="shared" ref="CK38:CK49" si="52">CONCATENATE(CI38,".",CJ38)</f>
        <v>Soft цл +3завіс.Ліва</v>
      </c>
      <c r="CM38" s="742" t="s">
        <v>3217</v>
      </c>
      <c r="CN38" s="137" t="s">
        <v>841</v>
      </c>
      <c r="CO38" s="138" t="str">
        <f t="shared" si="48"/>
        <v>ДП РУТА-FUSION.фальц.робоча.Verto-FIT</v>
      </c>
      <c r="CQ38" s="143" t="s">
        <v>941</v>
      </c>
      <c r="CR38" s="157" t="s">
        <v>472</v>
      </c>
      <c r="CS38" s="138" t="str">
        <f t="shared" si="46"/>
        <v>Verto-FIT Comfort.D</v>
      </c>
      <c r="CY38" s="146" t="s">
        <v>976</v>
      </c>
      <c r="CZ38" s="137" t="s">
        <v>325</v>
      </c>
      <c r="DA38" s="138" t="s">
        <v>860</v>
      </c>
      <c r="DD38" s="108" t="s">
        <v>2070</v>
      </c>
      <c r="DE38" s="166">
        <v>4990</v>
      </c>
      <c r="DF38" s="531">
        <f t="shared" si="38"/>
        <v>4990</v>
      </c>
      <c r="DG38" s="526"/>
      <c r="DH38" s="527">
        <f>IF(DG38="",DF38,
IF(AND($DE$10&gt;=VLOOKUP(DG38,$DD$5:$DH$9,2,0),$DE$10&lt;=VLOOKUP(DG38,$DD$5:$DH$9,3,0)),
(DF38*(1-VLOOKUP(DG38,$DD$5:$DH$9,4,0))),
DF38))</f>
        <v>4990</v>
      </c>
      <c r="DJ38" s="736" t="s">
        <v>4096</v>
      </c>
      <c r="DK38" s="105">
        <v>0</v>
      </c>
      <c r="DL38" s="403">
        <f t="shared" si="41"/>
        <v>0</v>
      </c>
      <c r="DM38" s="514"/>
      <c r="DN38" s="511">
        <f t="shared" si="45"/>
        <v>0</v>
      </c>
      <c r="DP38" s="162" t="s">
        <v>253</v>
      </c>
      <c r="DQ38" s="163">
        <v>0</v>
      </c>
      <c r="DR38" s="528">
        <f t="shared" si="13"/>
        <v>0</v>
      </c>
      <c r="DS38" s="529"/>
      <c r="DT38" s="530">
        <f t="shared" si="14"/>
        <v>0</v>
      </c>
      <c r="DU38" s="166"/>
      <c r="DV38" s="738" t="s">
        <v>4310</v>
      </c>
      <c r="DW38" s="166">
        <v>0</v>
      </c>
      <c r="DX38" s="522">
        <f t="shared" si="15"/>
        <v>0</v>
      </c>
      <c r="DY38" s="523"/>
      <c r="DZ38" s="524">
        <f t="shared" si="16"/>
        <v>0</v>
      </c>
      <c r="EB38" s="108" t="s">
        <v>1685</v>
      </c>
      <c r="EC38" s="164">
        <v>170</v>
      </c>
      <c r="ED38" s="531">
        <f t="shared" si="49"/>
        <v>170</v>
      </c>
      <c r="EE38" s="526"/>
      <c r="EF38" s="527">
        <f t="shared" si="50"/>
        <v>170</v>
      </c>
      <c r="EG38" s="165"/>
      <c r="EH38" s="739" t="s">
        <v>3356</v>
      </c>
      <c r="EI38" s="164">
        <v>1070</v>
      </c>
      <c r="EJ38" s="531">
        <f t="shared" si="19"/>
        <v>1070</v>
      </c>
      <c r="EK38" s="526"/>
      <c r="EL38" s="527">
        <f t="shared" si="31"/>
        <v>1070</v>
      </c>
    </row>
    <row r="39" spans="2:142">
      <c r="B39" s="30"/>
      <c r="C39" s="410" t="s">
        <v>405</v>
      </c>
      <c r="D39" s="733" t="s">
        <v>728</v>
      </c>
      <c r="E39" s="29"/>
      <c r="G39" s="21"/>
      <c r="H39" s="21"/>
      <c r="I39" s="21"/>
      <c r="J39" s="21"/>
      <c r="K39" s="21"/>
      <c r="L39" s="153" t="s">
        <v>804</v>
      </c>
      <c r="M39" s="817" t="s">
        <v>252</v>
      </c>
      <c r="N39" s="100" t="s">
        <v>2081</v>
      </c>
      <c r="O39" s="818" t="s">
        <v>728</v>
      </c>
      <c r="P39" s="21"/>
      <c r="Q39" s="153" t="s">
        <v>804</v>
      </c>
      <c r="R39" s="101" t="s">
        <v>194</v>
      </c>
      <c r="S39" s="100" t="s">
        <v>138</v>
      </c>
      <c r="T39" s="21"/>
      <c r="U39" s="750" t="s">
        <v>3221</v>
      </c>
      <c r="V39" s="152" t="s">
        <v>1737</v>
      </c>
      <c r="W39" s="160" t="s">
        <v>2215</v>
      </c>
      <c r="X39" s="21"/>
      <c r="Y39" s="752" t="s">
        <v>5419</v>
      </c>
      <c r="Z39" s="493">
        <v>302</v>
      </c>
      <c r="AA39" s="159" t="s">
        <v>2251</v>
      </c>
      <c r="AB39" s="21"/>
      <c r="AF39" s="21"/>
      <c r="AJ39" s="21"/>
      <c r="AK39" s="777" t="s">
        <v>4315</v>
      </c>
      <c r="AL39" s="478" t="s">
        <v>1757</v>
      </c>
      <c r="AM39" s="584" t="s">
        <v>2279</v>
      </c>
      <c r="AN39" s="21"/>
      <c r="AO39" s="777" t="s">
        <v>5746</v>
      </c>
      <c r="AP39" s="151" t="s">
        <v>5495</v>
      </c>
      <c r="AQ39" s="584" t="s">
        <v>2321</v>
      </c>
      <c r="AS39" s="21"/>
      <c r="AU39" s="136" t="s">
        <v>2407</v>
      </c>
      <c r="AV39" s="148" t="s">
        <v>200</v>
      </c>
      <c r="AW39" s="138" t="str">
        <f t="shared" si="47"/>
        <v>ДП Ідея.3/3</v>
      </c>
      <c r="AY39" s="432"/>
      <c r="AZ39" s="222"/>
      <c r="BA39" s="223"/>
      <c r="BC39" s="40" t="s">
        <v>337</v>
      </c>
      <c r="BD39" s="134" t="s">
        <v>3357</v>
      </c>
      <c r="BE39" s="135" t="str">
        <f>CONCATENATE(BC39,".",BD39)</f>
        <v>стандарт,.1-стулк.</v>
      </c>
      <c r="BF39" s="121"/>
      <c r="BG39" s="145" t="s">
        <v>3202</v>
      </c>
      <c r="BH39" s="134" t="s">
        <v>756</v>
      </c>
      <c r="BI39" s="135" t="str">
        <f>CONCATENATE(BG39,".",BH39)</f>
        <v>неробоча...40</v>
      </c>
      <c r="BK39" s="234" t="s">
        <v>1384</v>
      </c>
      <c r="BL39" s="137" t="s">
        <v>62</v>
      </c>
      <c r="BM39" s="138" t="str">
        <f t="shared" si="40"/>
        <v>ДП ЛАДА B.LINE-3D</v>
      </c>
      <c r="BO39" s="146" t="s">
        <v>557</v>
      </c>
      <c r="BP39" s="151" t="s">
        <v>4059</v>
      </c>
      <c r="BQ39" s="138" t="str">
        <f t="shared" si="51"/>
        <v>Резист.202 Ясен</v>
      </c>
      <c r="BS39" s="133" t="s">
        <v>723</v>
      </c>
      <c r="BT39" s="101" t="s">
        <v>4066</v>
      </c>
      <c r="BU39" s="135" t="str">
        <f t="shared" si="42"/>
        <v>ДП КУПАВА.3/0.Сотове</v>
      </c>
      <c r="BW39" s="165" t="s">
        <v>568</v>
      </c>
      <c r="BX39" s="247" t="s">
        <v>458</v>
      </c>
      <c r="BY39" s="138" t="str">
        <f>CONCATENATE(BW39,".",BX39)</f>
        <v>ДП СТАНДАРТ.4/2.Сатин</v>
      </c>
      <c r="CA39" s="742" t="s">
        <v>3180</v>
      </c>
      <c r="CB39" s="137" t="s">
        <v>4106</v>
      </c>
      <c r="CC39" s="138" t="str">
        <f>CONCATENATE(CA39,".",CB39)</f>
        <v>ДП СТАНДАРТ.фальц.неробоча.(ні)</v>
      </c>
      <c r="CE39" s="146" t="s">
        <v>3220</v>
      </c>
      <c r="CF39" s="137" t="s">
        <v>4261</v>
      </c>
      <c r="CG39" s="138" t="str">
        <f t="shared" si="43"/>
        <v>ДП Геометрія.б/з фальц.робоча.ВВ</v>
      </c>
      <c r="CI39" s="147" t="s">
        <v>4304</v>
      </c>
      <c r="CJ39" s="62" t="s">
        <v>4857</v>
      </c>
      <c r="CK39" s="139" t="str">
        <f t="shared" si="52"/>
        <v>Soft цл +3завіс.Права</v>
      </c>
      <c r="CM39" s="424" t="s">
        <v>3217</v>
      </c>
      <c r="CN39" s="62" t="s">
        <v>371</v>
      </c>
      <c r="CO39" s="139" t="str">
        <f t="shared" si="48"/>
        <v>ДП РУТА-FUSION.фальц.робоча.Verto-FIT Plus</v>
      </c>
      <c r="CQ39" s="143" t="s">
        <v>941</v>
      </c>
      <c r="CR39" s="157" t="s">
        <v>473</v>
      </c>
      <c r="CS39" s="138" t="str">
        <f t="shared" si="46"/>
        <v>Verto-FIT Comfort.E</v>
      </c>
      <c r="CY39" s="146" t="s">
        <v>977</v>
      </c>
      <c r="CZ39" s="137" t="s">
        <v>325</v>
      </c>
      <c r="DA39" s="138" t="s">
        <v>860</v>
      </c>
      <c r="DD39" s="636"/>
      <c r="DE39" s="637"/>
      <c r="DF39" s="638"/>
      <c r="DG39" s="639"/>
      <c r="DH39" s="640"/>
      <c r="DJ39" s="736" t="s">
        <v>4097</v>
      </c>
      <c r="DK39" s="105">
        <v>0</v>
      </c>
      <c r="DL39" s="403">
        <f t="shared" si="41"/>
        <v>0</v>
      </c>
      <c r="DM39" s="514"/>
      <c r="DN39" s="511">
        <f t="shared" si="45"/>
        <v>0</v>
      </c>
      <c r="DP39" s="165" t="s">
        <v>254</v>
      </c>
      <c r="DQ39" s="166">
        <v>420</v>
      </c>
      <c r="DR39" s="522">
        <f>ROUND(((DQ39-(DQ39/6))/$DD$3)*$DE$3,2)</f>
        <v>420</v>
      </c>
      <c r="DS39" s="523"/>
      <c r="DT39" s="524">
        <f>IF(DS39="",DR39,
IF(AND($DQ$10&gt;=VLOOKUP(DS39,$DP$5:$DT$9,2,0),$DQ$10&lt;=VLOOKUP(DS39,$DP$5:$DT$9,3,0)),
(DR39*(1-VLOOKUP(DS39,$DP$5:$DT$9,4,0))),
DR39))</f>
        <v>420</v>
      </c>
      <c r="DU39" s="166"/>
      <c r="DV39" s="739" t="s">
        <v>4312</v>
      </c>
      <c r="DW39" s="164">
        <v>0</v>
      </c>
      <c r="DX39" s="531">
        <f>ROUND(((DW39-(DW39/6))/$DD$3)*$DE$3,2)</f>
        <v>0</v>
      </c>
      <c r="DY39" s="526"/>
      <c r="DZ39" s="527">
        <f>IF(DY39="",DX39,
IF(AND($DW$10&gt;=VLOOKUP(DY39,$DV$5:$DZ$9,2,0),$DW$10&lt;=VLOOKUP(DY39,$DV$5:$DZ$9,3,0)),
(DX39*(1-VLOOKUP(DY39,$DV$5:$DZ$9,4,0))),
DX39))</f>
        <v>0</v>
      </c>
      <c r="EB39" s="165" t="s">
        <v>1686</v>
      </c>
      <c r="EC39" s="166">
        <v>0</v>
      </c>
      <c r="ED39" s="522">
        <f t="shared" si="49"/>
        <v>0</v>
      </c>
      <c r="EE39" s="523"/>
      <c r="EF39" s="530">
        <f t="shared" si="50"/>
        <v>0</v>
      </c>
      <c r="EG39" s="165"/>
      <c r="EH39" s="738" t="s">
        <v>3358</v>
      </c>
      <c r="EI39" s="166">
        <v>0</v>
      </c>
      <c r="EJ39" s="522">
        <f t="shared" si="19"/>
        <v>0</v>
      </c>
      <c r="EK39" s="523"/>
      <c r="EL39" s="524">
        <f t="shared" si="31"/>
        <v>0</v>
      </c>
    </row>
    <row r="40" spans="2:142">
      <c r="B40" s="30"/>
      <c r="C40" s="410"/>
      <c r="D40" s="733"/>
      <c r="E40" s="29"/>
      <c r="G40" s="21"/>
      <c r="H40" s="21"/>
      <c r="I40" s="21"/>
      <c r="J40" s="21"/>
      <c r="K40" s="21"/>
      <c r="L40" s="154" t="s">
        <v>805</v>
      </c>
      <c r="M40" s="21" t="s">
        <v>252</v>
      </c>
      <c r="N40" s="159" t="s">
        <v>2081</v>
      </c>
      <c r="O40" s="819" t="s">
        <v>728</v>
      </c>
      <c r="P40" s="21"/>
      <c r="Q40" s="154" t="s">
        <v>805</v>
      </c>
      <c r="R40" s="151" t="s">
        <v>195</v>
      </c>
      <c r="S40" s="159" t="s">
        <v>139</v>
      </c>
      <c r="T40" s="21"/>
      <c r="U40" s="751" t="s">
        <v>3222</v>
      </c>
      <c r="V40" s="101" t="s">
        <v>1733</v>
      </c>
      <c r="W40" s="100" t="s">
        <v>2209</v>
      </c>
      <c r="X40" s="21"/>
      <c r="Y40" s="143" t="s">
        <v>644</v>
      </c>
      <c r="Z40" s="493">
        <v>304</v>
      </c>
      <c r="AA40" s="159" t="s">
        <v>2252</v>
      </c>
      <c r="AB40" s="21"/>
      <c r="AF40" s="21"/>
      <c r="AJ40" s="21"/>
      <c r="AK40" s="777" t="s">
        <v>4318</v>
      </c>
      <c r="AL40" s="478" t="s">
        <v>1758</v>
      </c>
      <c r="AM40" s="584" t="s">
        <v>2283</v>
      </c>
      <c r="AN40" s="21"/>
      <c r="AO40" s="778" t="s">
        <v>5747</v>
      </c>
      <c r="AP40" s="152" t="s">
        <v>177</v>
      </c>
      <c r="AQ40" s="586" t="s">
        <v>2324</v>
      </c>
      <c r="AS40" s="21"/>
      <c r="AU40" s="136" t="s">
        <v>2407</v>
      </c>
      <c r="AV40" s="148" t="s">
        <v>187</v>
      </c>
      <c r="AW40" s="138" t="str">
        <f t="shared" si="47"/>
        <v>ДП Ідея.4/0</v>
      </c>
      <c r="AY40" s="234" t="s">
        <v>723</v>
      </c>
      <c r="AZ40" s="137" t="s">
        <v>1719</v>
      </c>
      <c r="BA40" s="138" t="str">
        <f t="shared" ref="BA40:BA51" si="53">CONCATENATE(AY40,".",AZ40)</f>
        <v>ДП КУПАВА.3/0.фальц</v>
      </c>
      <c r="BC40" s="432"/>
      <c r="BD40" s="222"/>
      <c r="BE40" s="223"/>
      <c r="BF40" s="121"/>
      <c r="BG40" s="426"/>
      <c r="BH40" s="427"/>
      <c r="BI40" s="428"/>
      <c r="BK40" s="224" t="s">
        <v>1384</v>
      </c>
      <c r="BL40" s="62" t="s">
        <v>5071</v>
      </c>
      <c r="BM40" s="139" t="str">
        <f t="shared" si="40"/>
        <v>ДП ЛАДА B.Е-шпон</v>
      </c>
      <c r="BO40" s="146" t="s">
        <v>557</v>
      </c>
      <c r="BP40" s="151" t="s">
        <v>6468</v>
      </c>
      <c r="BQ40" s="138" t="str">
        <f>CONCATENATE(BO40,".",BP40)</f>
        <v>Резист.203 Маренго</v>
      </c>
      <c r="BS40" s="44" t="s">
        <v>723</v>
      </c>
      <c r="BT40" s="254" t="s">
        <v>316</v>
      </c>
      <c r="BU40" s="139" t="str">
        <f t="shared" si="42"/>
        <v>ДП КУПАВА.3/0.ДСП тр.</v>
      </c>
      <c r="BW40" s="165" t="s">
        <v>568</v>
      </c>
      <c r="BX40" s="770" t="s">
        <v>3851</v>
      </c>
      <c r="BY40" s="138" t="str">
        <f t="shared" si="5"/>
        <v>ДП СТАНДАРТ.4/2.Графіт</v>
      </c>
      <c r="CA40" s="742" t="s">
        <v>3180</v>
      </c>
      <c r="CB40" s="137"/>
      <c r="CC40" s="21"/>
      <c r="CE40" s="147" t="s">
        <v>3220</v>
      </c>
      <c r="CF40" s="62" t="s">
        <v>739</v>
      </c>
      <c r="CG40" s="139" t="str">
        <f t="shared" si="43"/>
        <v>ДП Геометрія.б/з фальц.робоча.ВП</v>
      </c>
      <c r="CI40" s="146" t="s">
        <v>4307</v>
      </c>
      <c r="CJ40" s="137" t="s">
        <v>4827</v>
      </c>
      <c r="CK40" s="138" t="str">
        <f t="shared" si="52"/>
        <v>Soft ст +3завіс.Ліва</v>
      </c>
      <c r="CM40" s="424" t="s">
        <v>3223</v>
      </c>
      <c r="CN40" s="62" t="s">
        <v>4106</v>
      </c>
      <c r="CO40" s="70" t="str">
        <f t="shared" si="48"/>
        <v>ДП РУТА-FUSION.фальц.неробоча.(ні)</v>
      </c>
      <c r="CQ40" s="143" t="s">
        <v>941</v>
      </c>
      <c r="CR40" s="157" t="s">
        <v>474</v>
      </c>
      <c r="CS40" s="138" t="str">
        <f t="shared" si="46"/>
        <v>Verto-FIT Comfort.F</v>
      </c>
      <c r="CY40" s="146" t="s">
        <v>978</v>
      </c>
      <c r="CZ40" s="137" t="s">
        <v>325</v>
      </c>
      <c r="DA40" s="138" t="s">
        <v>860</v>
      </c>
      <c r="DD40" s="738" t="s">
        <v>4920</v>
      </c>
      <c r="DE40" s="729">
        <v>3570</v>
      </c>
      <c r="DF40" s="528">
        <f t="shared" ref="DF40:DF51" si="54">ROUND(((DE40-(DE40/6))/$DD$3)*$DE$3,2)</f>
        <v>3570</v>
      </c>
      <c r="DG40" s="523"/>
      <c r="DH40" s="530">
        <f t="shared" ref="DH40:DH51" si="55">IF(DG40="",DF40,
IF(AND($DE$10&gt;=VLOOKUP(DG40,$DD$5:$DH$9,2,0),$DE$10&lt;=VLOOKUP(DG40,$DD$5:$DH$9,3,0)),
(DF40*(1-VLOOKUP(DG40,$DD$5:$DH$9,4,0))),
DF40))</f>
        <v>3570</v>
      </c>
      <c r="DJ40" s="736" t="s">
        <v>4098</v>
      </c>
      <c r="DK40" s="105">
        <v>0</v>
      </c>
      <c r="DL40" s="403">
        <f t="shared" si="41"/>
        <v>0</v>
      </c>
      <c r="DM40" s="514"/>
      <c r="DN40" s="511">
        <f t="shared" si="45"/>
        <v>0</v>
      </c>
      <c r="DP40" s="738" t="s">
        <v>3859</v>
      </c>
      <c r="DQ40" s="166">
        <v>550</v>
      </c>
      <c r="DR40" s="522">
        <f t="shared" si="13"/>
        <v>550</v>
      </c>
      <c r="DS40" s="523"/>
      <c r="DT40" s="524">
        <f t="shared" si="14"/>
        <v>550</v>
      </c>
      <c r="DU40" s="166"/>
      <c r="DV40" s="739" t="s">
        <v>6223</v>
      </c>
      <c r="DW40" s="164">
        <v>0</v>
      </c>
      <c r="DX40" s="531">
        <f t="shared" si="15"/>
        <v>0</v>
      </c>
      <c r="DY40" s="526"/>
      <c r="DZ40" s="527">
        <f t="shared" si="16"/>
        <v>0</v>
      </c>
      <c r="EB40" s="738" t="s">
        <v>4271</v>
      </c>
      <c r="EC40" s="166">
        <v>250</v>
      </c>
      <c r="ED40" s="522">
        <f>ROUND(((EC40-(EC40/6))/$DD$3)*$DE$3,2)</f>
        <v>250</v>
      </c>
      <c r="EE40" s="523"/>
      <c r="EF40" s="524">
        <f>IF(EE40="",ED40,
IF(AND($EC$10&gt;=VLOOKUP(EE40,$EB$5:$EF$9,2,0),$EC$10&lt;=VLOOKUP(EE40,$EB$5:$EF$9,3,0)),
(ED40*(1-VLOOKUP(EE40,$EB$5:$EF$9,4,0))),
ED40))</f>
        <v>250</v>
      </c>
      <c r="EG40" s="165"/>
      <c r="EH40" s="739" t="s">
        <v>3359</v>
      </c>
      <c r="EI40" s="164">
        <v>1170</v>
      </c>
      <c r="EJ40" s="531">
        <f t="shared" si="19"/>
        <v>1170</v>
      </c>
      <c r="EK40" s="526"/>
      <c r="EL40" s="527">
        <f t="shared" si="31"/>
        <v>1170</v>
      </c>
    </row>
    <row r="41" spans="2:142">
      <c r="B41" s="30"/>
      <c r="C41" s="745" t="s">
        <v>3009</v>
      </c>
      <c r="D41" s="733" t="s">
        <v>728</v>
      </c>
      <c r="E41" s="29"/>
      <c r="G41" s="21"/>
      <c r="H41" s="21"/>
      <c r="I41" s="21"/>
      <c r="J41" s="21"/>
      <c r="K41" s="21"/>
      <c r="L41" s="154" t="s">
        <v>119</v>
      </c>
      <c r="M41" s="21" t="s">
        <v>252</v>
      </c>
      <c r="N41" s="159" t="s">
        <v>2081</v>
      </c>
      <c r="O41" s="819" t="s">
        <v>728</v>
      </c>
      <c r="P41" s="21"/>
      <c r="Q41" s="154" t="s">
        <v>119</v>
      </c>
      <c r="R41" s="151" t="s">
        <v>196</v>
      </c>
      <c r="S41" s="159" t="s">
        <v>140</v>
      </c>
      <c r="T41" s="21"/>
      <c r="U41" s="752" t="s">
        <v>3224</v>
      </c>
      <c r="V41" s="151" t="s">
        <v>1734</v>
      </c>
      <c r="W41" s="159" t="s">
        <v>2210</v>
      </c>
      <c r="X41" s="21"/>
      <c r="Y41" s="143" t="s">
        <v>645</v>
      </c>
      <c r="Z41" s="493">
        <v>305</v>
      </c>
      <c r="AA41" s="159" t="s">
        <v>2253</v>
      </c>
      <c r="AB41" s="21"/>
      <c r="AF41" s="21"/>
      <c r="AJ41" s="21"/>
      <c r="AK41" s="777" t="s">
        <v>6093</v>
      </c>
      <c r="AL41" s="478" t="s">
        <v>6450</v>
      </c>
      <c r="AM41" s="584" t="s">
        <v>6095</v>
      </c>
      <c r="AN41" s="21"/>
      <c r="AO41" s="777" t="s">
        <v>4832</v>
      </c>
      <c r="AP41" s="151" t="s">
        <v>5495</v>
      </c>
      <c r="AQ41" s="584" t="s">
        <v>2321</v>
      </c>
      <c r="AS41" s="21"/>
      <c r="AU41" s="136" t="s">
        <v>2407</v>
      </c>
      <c r="AV41" s="148" t="s">
        <v>188</v>
      </c>
      <c r="AW41" s="138" t="str">
        <f t="shared" si="47"/>
        <v>ДП Ідея.4/1</v>
      </c>
      <c r="AY41" s="234" t="s">
        <v>723</v>
      </c>
      <c r="AZ41" s="137" t="s">
        <v>1721</v>
      </c>
      <c r="BA41" s="138" t="str">
        <f t="shared" si="53"/>
        <v>ДП КУПАВА.3/0.б/з фальц</v>
      </c>
      <c r="BC41" s="40"/>
      <c r="BD41" s="41"/>
      <c r="BE41" s="70"/>
      <c r="BG41" s="234"/>
      <c r="BH41" s="137"/>
      <c r="BI41" s="138"/>
      <c r="BK41" s="234" t="s">
        <v>1387</v>
      </c>
      <c r="BL41" s="134" t="s">
        <v>409</v>
      </c>
      <c r="BM41" s="135" t="str">
        <f t="shared" si="40"/>
        <v>ДП ЛАДА C.Verto-Cell</v>
      </c>
      <c r="BO41" s="146" t="s">
        <v>557</v>
      </c>
      <c r="BP41" s="151" t="s">
        <v>3847</v>
      </c>
      <c r="BQ41" s="138" t="str">
        <f t="shared" si="51"/>
        <v>Резист.204 Горіх</v>
      </c>
      <c r="BS41" s="133" t="s">
        <v>724</v>
      </c>
      <c r="BT41" s="101" t="s">
        <v>4066</v>
      </c>
      <c r="BU41" s="135" t="str">
        <f t="shared" si="42"/>
        <v>ДП КУПАВА.3/1.Сотове</v>
      </c>
      <c r="BW41" s="108" t="s">
        <v>568</v>
      </c>
      <c r="BX41" s="248" t="s">
        <v>832</v>
      </c>
      <c r="BY41" s="139" t="str">
        <f t="shared" si="5"/>
        <v>ДП СТАНДАРТ.4/2.Бронза</v>
      </c>
      <c r="CA41" s="742" t="s">
        <v>3180</v>
      </c>
      <c r="CB41" s="137" t="s">
        <v>4323</v>
      </c>
      <c r="CC41" s="138" t="str">
        <f>CONCATENATE(CA41,".",CB41)</f>
        <v>ДП СТАНДАРТ.фальц.неробоча.Пл Stand +2завіс</v>
      </c>
      <c r="CE41" s="742" t="s">
        <v>3225</v>
      </c>
      <c r="CF41" s="137"/>
      <c r="CG41" s="138" t="str">
        <f t="shared" si="43"/>
        <v>ДП Геометрія.купе.робоча.</v>
      </c>
      <c r="CI41" s="147" t="s">
        <v>4307</v>
      </c>
      <c r="CJ41" s="62" t="s">
        <v>4857</v>
      </c>
      <c r="CK41" s="139" t="str">
        <f t="shared" si="52"/>
        <v>Soft ст +3завіс.Права</v>
      </c>
      <c r="CM41" s="86" t="s">
        <v>3226</v>
      </c>
      <c r="CN41" s="56" t="s">
        <v>941</v>
      </c>
      <c r="CO41" s="70" t="str">
        <f t="shared" si="48"/>
        <v>ДП РУТА-FUSION.б/з фальц.робоча.Verto-FIT Comfort</v>
      </c>
      <c r="CQ41" s="143" t="s">
        <v>941</v>
      </c>
      <c r="CR41" s="157" t="s">
        <v>475</v>
      </c>
      <c r="CS41" s="138" t="str">
        <f t="shared" si="46"/>
        <v>Verto-FIT Comfort.G</v>
      </c>
      <c r="CY41" s="146" t="s">
        <v>406</v>
      </c>
      <c r="CZ41" s="137" t="s">
        <v>325</v>
      </c>
      <c r="DA41" s="138" t="s">
        <v>860</v>
      </c>
      <c r="DD41" s="738" t="s">
        <v>4921</v>
      </c>
      <c r="DE41" s="729">
        <v>3570</v>
      </c>
      <c r="DF41" s="528">
        <f t="shared" si="54"/>
        <v>3570</v>
      </c>
      <c r="DG41" s="523"/>
      <c r="DH41" s="530">
        <f t="shared" si="55"/>
        <v>3570</v>
      </c>
      <c r="DJ41" s="736" t="s">
        <v>4099</v>
      </c>
      <c r="DK41" s="105">
        <v>0</v>
      </c>
      <c r="DL41" s="403">
        <f t="shared" si="41"/>
        <v>0</v>
      </c>
      <c r="DM41" s="514"/>
      <c r="DN41" s="511">
        <f t="shared" si="45"/>
        <v>0</v>
      </c>
      <c r="DP41" s="108" t="s">
        <v>1817</v>
      </c>
      <c r="DQ41" s="164">
        <v>550</v>
      </c>
      <c r="DR41" s="525">
        <f t="shared" si="13"/>
        <v>550</v>
      </c>
      <c r="DS41" s="526"/>
      <c r="DT41" s="527">
        <f t="shared" si="14"/>
        <v>550</v>
      </c>
      <c r="DU41" s="166"/>
      <c r="DV41" s="738" t="s">
        <v>4314</v>
      </c>
      <c r="DW41" s="166">
        <v>80</v>
      </c>
      <c r="DX41" s="522">
        <f t="shared" si="15"/>
        <v>80</v>
      </c>
      <c r="DY41" s="523"/>
      <c r="DZ41" s="524">
        <f t="shared" si="16"/>
        <v>80</v>
      </c>
      <c r="EB41" s="108" t="s">
        <v>1687</v>
      </c>
      <c r="EC41" s="164">
        <v>170</v>
      </c>
      <c r="ED41" s="531">
        <f t="shared" si="49"/>
        <v>170</v>
      </c>
      <c r="EE41" s="526"/>
      <c r="EF41" s="527">
        <f t="shared" si="50"/>
        <v>170</v>
      </c>
      <c r="EG41" s="165"/>
      <c r="EH41" s="738" t="s">
        <v>5072</v>
      </c>
      <c r="EI41" s="166">
        <v>0</v>
      </c>
      <c r="EJ41" s="522">
        <f>ROUND(((EI41-(EI41/6))/$DD$3)*$DE$3,2)</f>
        <v>0</v>
      </c>
      <c r="EK41" s="523"/>
      <c r="EL41" s="524">
        <f>IF(EK41="",EJ41,
IF(AND($EI$10&gt;=VLOOKUP(EK41,$EH$5:$EL$9,2,0),$EI$10&lt;=VLOOKUP(EK41,$EH$5:$EL$9,3,0)),
(EJ41*(1-VLOOKUP(EK41,$EH$5:$EL$9,4,0))),
EJ41))</f>
        <v>0</v>
      </c>
    </row>
    <row r="42" spans="2:142" ht="10.8" thickBot="1">
      <c r="B42" s="30"/>
      <c r="C42" s="748" t="s">
        <v>3010</v>
      </c>
      <c r="D42" s="734" t="s">
        <v>728</v>
      </c>
      <c r="E42" s="29"/>
      <c r="G42" s="21"/>
      <c r="H42" s="21"/>
      <c r="I42" s="21"/>
      <c r="J42" s="21"/>
      <c r="K42" s="21"/>
      <c r="L42" s="824" t="s">
        <v>120</v>
      </c>
      <c r="M42" s="21" t="s">
        <v>252</v>
      </c>
      <c r="N42" s="159" t="s">
        <v>2081</v>
      </c>
      <c r="O42" s="819" t="s">
        <v>728</v>
      </c>
      <c r="P42" s="21"/>
      <c r="Q42" s="824" t="s">
        <v>120</v>
      </c>
      <c r="R42" s="151" t="s">
        <v>197</v>
      </c>
      <c r="S42" s="159" t="s">
        <v>141</v>
      </c>
      <c r="T42" s="21"/>
      <c r="U42" s="752" t="s">
        <v>3227</v>
      </c>
      <c r="V42" s="151" t="s">
        <v>1735</v>
      </c>
      <c r="W42" s="159" t="s">
        <v>2211</v>
      </c>
      <c r="X42" s="21"/>
      <c r="Y42" s="144" t="s">
        <v>49</v>
      </c>
      <c r="Z42" s="494">
        <v>306</v>
      </c>
      <c r="AA42" s="160" t="s">
        <v>2259</v>
      </c>
      <c r="AB42" s="21"/>
      <c r="AF42" s="21"/>
      <c r="AJ42" s="21"/>
      <c r="AK42" s="777" t="s">
        <v>6094</v>
      </c>
      <c r="AL42" s="478" t="s">
        <v>6451</v>
      </c>
      <c r="AM42" s="584" t="s">
        <v>6099</v>
      </c>
      <c r="AN42" s="21"/>
      <c r="AO42" s="778" t="s">
        <v>4862</v>
      </c>
      <c r="AP42" s="152" t="s">
        <v>177</v>
      </c>
      <c r="AQ42" s="586" t="s">
        <v>2324</v>
      </c>
      <c r="AS42" s="21"/>
      <c r="AU42" s="136" t="s">
        <v>2407</v>
      </c>
      <c r="AV42" s="148" t="s">
        <v>189</v>
      </c>
      <c r="AW42" s="138" t="str">
        <f t="shared" si="47"/>
        <v>ДП Ідея.4/2</v>
      </c>
      <c r="AY42" s="224" t="s">
        <v>723</v>
      </c>
      <c r="AZ42" s="62" t="s">
        <v>1720</v>
      </c>
      <c r="BA42" s="139" t="str">
        <f t="shared" si="53"/>
        <v>ДП КУПАВА.3/0.купе</v>
      </c>
      <c r="BC42" s="560"/>
      <c r="BD42" s="561"/>
      <c r="BE42" s="562"/>
      <c r="BG42" s="557"/>
      <c r="BH42" s="558"/>
      <c r="BI42" s="559"/>
      <c r="BK42" s="234" t="s">
        <v>1387</v>
      </c>
      <c r="BL42" s="137"/>
      <c r="BM42" s="138" t="str">
        <f t="shared" si="40"/>
        <v>ДП ЛАДА C.</v>
      </c>
      <c r="BO42" s="147" t="s">
        <v>557</v>
      </c>
      <c r="BP42" s="152" t="s">
        <v>4060</v>
      </c>
      <c r="BQ42" s="139" t="str">
        <f>CONCATENATE(BO42,".",BP42)</f>
        <v>Резист.207 Дуб мілано</v>
      </c>
      <c r="BS42" s="44" t="s">
        <v>724</v>
      </c>
      <c r="BT42" s="254" t="s">
        <v>316</v>
      </c>
      <c r="BU42" s="139" t="str">
        <f t="shared" si="42"/>
        <v>ДП КУПАВА.3/1.ДСП тр.</v>
      </c>
      <c r="BW42" s="426"/>
      <c r="BX42" s="426"/>
      <c r="BY42" s="426"/>
      <c r="CA42" s="742" t="s">
        <v>3180</v>
      </c>
      <c r="CB42" s="137" t="s">
        <v>4325</v>
      </c>
      <c r="CC42" s="138" t="str">
        <f>CONCATENATE(CA42,".",CB42)</f>
        <v>ДП СТАНДАРТ.фальц.неробоча.Пл Stand +3завіс</v>
      </c>
      <c r="CE42" s="424" t="s">
        <v>3225</v>
      </c>
      <c r="CF42" s="62" t="s">
        <v>4261</v>
      </c>
      <c r="CG42" s="139" t="str">
        <f t="shared" si="43"/>
        <v>ДП Геометрія.купе.робоча.ВВ</v>
      </c>
      <c r="CI42" s="146" t="s">
        <v>4316</v>
      </c>
      <c r="CJ42" s="137" t="s">
        <v>4827</v>
      </c>
      <c r="CK42" s="138" t="str">
        <f>CONCATENATE(CI42,".",CJ42)</f>
        <v>Magnet цл +3завіс.Ліва</v>
      </c>
      <c r="CM42" s="86" t="s">
        <v>3228</v>
      </c>
      <c r="CN42" s="56" t="s">
        <v>841</v>
      </c>
      <c r="CO42" s="70" t="str">
        <f t="shared" si="48"/>
        <v>ДП РУТА-FUSION.купе.робоча.Verto-FIT</v>
      </c>
      <c r="CQ42" s="143" t="s">
        <v>941</v>
      </c>
      <c r="CR42" s="157" t="s">
        <v>476</v>
      </c>
      <c r="CS42" s="138" t="str">
        <f t="shared" si="46"/>
        <v>Verto-FIT Comfort.H</v>
      </c>
      <c r="CY42" s="147" t="s">
        <v>407</v>
      </c>
      <c r="CZ42" s="62" t="s">
        <v>342</v>
      </c>
      <c r="DA42" s="139" t="s">
        <v>860</v>
      </c>
      <c r="DD42" s="738" t="s">
        <v>4922</v>
      </c>
      <c r="DE42" s="166">
        <v>4060</v>
      </c>
      <c r="DF42" s="528">
        <f t="shared" si="54"/>
        <v>4060</v>
      </c>
      <c r="DG42" s="523"/>
      <c r="DH42" s="530">
        <f t="shared" si="55"/>
        <v>4060</v>
      </c>
      <c r="DJ42" s="736" t="s">
        <v>4100</v>
      </c>
      <c r="DK42" s="105">
        <v>0</v>
      </c>
      <c r="DL42" s="403">
        <f t="shared" si="41"/>
        <v>0</v>
      </c>
      <c r="DM42" s="514"/>
      <c r="DN42" s="511">
        <f t="shared" si="45"/>
        <v>0</v>
      </c>
      <c r="DP42" s="256"/>
      <c r="DQ42" s="257"/>
      <c r="DR42" s="517"/>
      <c r="DS42" s="532"/>
      <c r="DT42" s="259"/>
      <c r="DU42" s="166"/>
      <c r="DV42" s="738" t="s">
        <v>4317</v>
      </c>
      <c r="DW42" s="166">
        <v>80</v>
      </c>
      <c r="DX42" s="522">
        <f t="shared" si="15"/>
        <v>80</v>
      </c>
      <c r="DY42" s="523"/>
      <c r="DZ42" s="524">
        <f t="shared" si="16"/>
        <v>80</v>
      </c>
      <c r="EB42" s="165" t="s">
        <v>1688</v>
      </c>
      <c r="EC42" s="166">
        <v>0</v>
      </c>
      <c r="ED42" s="522">
        <f t="shared" si="49"/>
        <v>0</v>
      </c>
      <c r="EE42" s="523"/>
      <c r="EF42" s="530">
        <f t="shared" si="50"/>
        <v>0</v>
      </c>
      <c r="EG42" s="165"/>
      <c r="EH42" s="739" t="s">
        <v>5073</v>
      </c>
      <c r="EI42" s="164">
        <v>1290</v>
      </c>
      <c r="EJ42" s="531">
        <f>ROUND(((EI42-(EI42/6))/$DD$3)*$DE$3,2)</f>
        <v>1290</v>
      </c>
      <c r="EK42" s="526"/>
      <c r="EL42" s="527">
        <f>IF(EK42="",EJ42,
IF(AND($EI$10&gt;=VLOOKUP(EK42,$EH$5:$EL$9,2,0),$EI$10&lt;=VLOOKUP(EK42,$EH$5:$EL$9,3,0)),
(EJ42*(1-VLOOKUP(EK42,$EH$5:$EL$9,4,0))),
EJ42))</f>
        <v>1290</v>
      </c>
    </row>
    <row r="43" spans="2:142">
      <c r="B43" s="30"/>
      <c r="D43" s="732"/>
      <c r="E43" s="29"/>
      <c r="G43" s="21"/>
      <c r="H43" s="21"/>
      <c r="I43" s="21"/>
      <c r="J43" s="21"/>
      <c r="K43" s="21"/>
      <c r="L43" s="824" t="s">
        <v>121</v>
      </c>
      <c r="M43" s="21" t="s">
        <v>252</v>
      </c>
      <c r="N43" s="159" t="s">
        <v>2081</v>
      </c>
      <c r="O43" s="819" t="s">
        <v>728</v>
      </c>
      <c r="P43" s="21"/>
      <c r="Q43" s="824" t="s">
        <v>121</v>
      </c>
      <c r="R43" s="151" t="s">
        <v>162</v>
      </c>
      <c r="S43" s="159" t="s">
        <v>1027</v>
      </c>
      <c r="T43" s="21"/>
      <c r="U43" s="752" t="s">
        <v>3229</v>
      </c>
      <c r="V43" s="151" t="s">
        <v>1736</v>
      </c>
      <c r="W43" s="159" t="s">
        <v>2212</v>
      </c>
      <c r="X43" s="21"/>
      <c r="Y43" s="751" t="s">
        <v>4062</v>
      </c>
      <c r="Z43" s="495">
        <v>401</v>
      </c>
      <c r="AA43" s="100" t="s">
        <v>2254</v>
      </c>
      <c r="AB43" s="21"/>
      <c r="AF43" s="21"/>
      <c r="AJ43" s="21"/>
      <c r="AK43" s="591"/>
      <c r="AL43" s="475"/>
      <c r="AM43" s="592"/>
      <c r="AN43" s="21"/>
      <c r="AO43" s="777" t="s">
        <v>4833</v>
      </c>
      <c r="AP43" s="151" t="s">
        <v>5495</v>
      </c>
      <c r="AQ43" s="584" t="s">
        <v>2321</v>
      </c>
      <c r="AS43" s="21"/>
      <c r="AU43" s="136" t="s">
        <v>2407</v>
      </c>
      <c r="AV43" s="148" t="s">
        <v>201</v>
      </c>
      <c r="AW43" s="138" t="str">
        <f t="shared" si="47"/>
        <v>ДП Ідея.4/3</v>
      </c>
      <c r="AY43" s="234" t="s">
        <v>724</v>
      </c>
      <c r="AZ43" s="137" t="s">
        <v>1719</v>
      </c>
      <c r="BA43" s="138" t="str">
        <f t="shared" si="53"/>
        <v>ДП КУПАВА.3/1.фальц</v>
      </c>
      <c r="BC43" s="40"/>
      <c r="BD43" s="41"/>
      <c r="BE43" s="70"/>
      <c r="BG43" s="224"/>
      <c r="BH43" s="62"/>
      <c r="BI43" s="139"/>
      <c r="BK43" s="234" t="s">
        <v>1387</v>
      </c>
      <c r="BL43" s="137" t="s">
        <v>1894</v>
      </c>
      <c r="BM43" s="138" t="str">
        <f>CONCATENATE(BK43,".",BL43)</f>
        <v>ДП ЛАДА C.Uni-Mat.</v>
      </c>
      <c r="BS43" s="133" t="s">
        <v>725</v>
      </c>
      <c r="BT43" s="101" t="s">
        <v>4066</v>
      </c>
      <c r="BU43" s="135" t="str">
        <f t="shared" si="42"/>
        <v>ДП КУПАВА.4/0.Сотове</v>
      </c>
      <c r="BW43" s="108" t="s">
        <v>569</v>
      </c>
      <c r="BX43" s="782" t="s">
        <v>4106</v>
      </c>
      <c r="BY43" s="139" t="str">
        <f t="shared" ref="BY43:BY62" si="56">CONCATENATE(BW43,".",BX43)</f>
        <v>ДП КУПАВА.1/0.(ні)</v>
      </c>
      <c r="CA43" s="742" t="s">
        <v>3180</v>
      </c>
      <c r="CB43" s="137"/>
      <c r="CC43" s="138"/>
      <c r="CE43" s="228"/>
      <c r="CF43" s="222"/>
      <c r="CG43" s="223"/>
      <c r="CI43" s="147" t="s">
        <v>4316</v>
      </c>
      <c r="CJ43" s="62" t="s">
        <v>4857</v>
      </c>
      <c r="CK43" s="139" t="str">
        <f>CONCATENATE(CI43,".",CJ43)</f>
        <v>Magnet цл +3завіс.Права</v>
      </c>
      <c r="CM43" s="432"/>
      <c r="CN43" s="222"/>
      <c r="CO43" s="223"/>
      <c r="CQ43" s="144" t="s">
        <v>941</v>
      </c>
      <c r="CR43" s="158" t="s">
        <v>477</v>
      </c>
      <c r="CS43" s="139" t="str">
        <f t="shared" si="46"/>
        <v>Verto-FIT Comfort.I</v>
      </c>
      <c r="CY43" s="146" t="s">
        <v>861</v>
      </c>
      <c r="CZ43" s="137" t="s">
        <v>325</v>
      </c>
      <c r="DA43" s="138" t="s">
        <v>860</v>
      </c>
      <c r="DD43" s="739" t="s">
        <v>4923</v>
      </c>
      <c r="DE43" s="166">
        <v>4060</v>
      </c>
      <c r="DF43" s="528">
        <f t="shared" si="54"/>
        <v>4060</v>
      </c>
      <c r="DG43" s="526"/>
      <c r="DH43" s="530">
        <f t="shared" si="55"/>
        <v>4060</v>
      </c>
      <c r="DJ43" s="736" t="s">
        <v>4101</v>
      </c>
      <c r="DK43" s="105">
        <v>0</v>
      </c>
      <c r="DL43" s="403">
        <f t="shared" si="41"/>
        <v>0</v>
      </c>
      <c r="DM43" s="514"/>
      <c r="DN43" s="511">
        <f t="shared" si="45"/>
        <v>0</v>
      </c>
      <c r="DP43" s="739" t="s">
        <v>4114</v>
      </c>
      <c r="DQ43" s="164">
        <v>0</v>
      </c>
      <c r="DR43" s="525">
        <f t="shared" si="13"/>
        <v>0</v>
      </c>
      <c r="DS43" s="526"/>
      <c r="DT43" s="527">
        <f t="shared" si="14"/>
        <v>0</v>
      </c>
      <c r="DU43" s="166"/>
      <c r="DV43" s="739" t="s">
        <v>4320</v>
      </c>
      <c r="DW43" s="164">
        <v>80</v>
      </c>
      <c r="DX43" s="531">
        <f>ROUND(((DW43-(DW43/6))/$DD$3)*$DE$3,2)</f>
        <v>80</v>
      </c>
      <c r="DY43" s="526"/>
      <c r="DZ43" s="527">
        <f>IF(DY43="",DX43,
IF(AND($DW$10&gt;=VLOOKUP(DY43,$DV$5:$DZ$9,2,0),$DW$10&lt;=VLOOKUP(DY43,$DV$5:$DZ$9,3,0)),
(DX43*(1-VLOOKUP(DY43,$DV$5:$DZ$9,4,0))),
DX43))</f>
        <v>80</v>
      </c>
      <c r="EB43" s="738" t="s">
        <v>4272</v>
      </c>
      <c r="EC43" s="166">
        <v>250</v>
      </c>
      <c r="ED43" s="522">
        <f>ROUND(((EC43-(EC43/6))/$DD$3)*$DE$3,2)</f>
        <v>250</v>
      </c>
      <c r="EE43" s="523"/>
      <c r="EF43" s="524">
        <f>IF(EE43="",ED43,
IF(AND($EC$10&gt;=VLOOKUP(EE43,$EB$5:$EF$9,2,0),$EC$10&lt;=VLOOKUP(EE43,$EB$5:$EF$9,3,0)),
(ED43*(1-VLOOKUP(EE43,$EB$5:$EF$9,4,0))),
ED43))</f>
        <v>250</v>
      </c>
      <c r="EG43" s="165"/>
      <c r="EH43" s="738" t="s">
        <v>3360</v>
      </c>
      <c r="EI43" s="166">
        <v>0</v>
      </c>
      <c r="EJ43" s="522">
        <f t="shared" si="19"/>
        <v>0</v>
      </c>
      <c r="EK43" s="523"/>
      <c r="EL43" s="524">
        <f t="shared" si="31"/>
        <v>0</v>
      </c>
    </row>
    <row r="44" spans="2:142" ht="10.8" thickBot="1">
      <c r="B44" s="30"/>
      <c r="C44" s="28" t="s">
        <v>327</v>
      </c>
      <c r="D44" s="35" t="s">
        <v>727</v>
      </c>
      <c r="E44" s="29"/>
      <c r="F44" s="21"/>
      <c r="G44" s="21"/>
      <c r="H44" s="21"/>
      <c r="I44" s="21"/>
      <c r="J44" s="21"/>
      <c r="K44" s="21"/>
      <c r="L44" s="154" t="s">
        <v>122</v>
      </c>
      <c r="M44" s="21" t="s">
        <v>252</v>
      </c>
      <c r="N44" s="159" t="s">
        <v>2081</v>
      </c>
      <c r="O44" s="819" t="s">
        <v>728</v>
      </c>
      <c r="P44" s="21"/>
      <c r="Q44" s="154" t="s">
        <v>122</v>
      </c>
      <c r="R44" s="151" t="s">
        <v>163</v>
      </c>
      <c r="S44" s="159" t="s">
        <v>1028</v>
      </c>
      <c r="T44" s="21"/>
      <c r="U44" s="750" t="s">
        <v>3230</v>
      </c>
      <c r="V44" s="152" t="s">
        <v>1738</v>
      </c>
      <c r="W44" s="160" t="s">
        <v>2216</v>
      </c>
      <c r="X44" s="21"/>
      <c r="Y44" s="752" t="s">
        <v>4063</v>
      </c>
      <c r="Z44" s="493">
        <v>402</v>
      </c>
      <c r="AA44" s="159" t="s">
        <v>2255</v>
      </c>
      <c r="AB44" s="21"/>
      <c r="AF44" s="21"/>
      <c r="AJ44" s="21"/>
      <c r="AK44" s="789" t="s">
        <v>5656</v>
      </c>
      <c r="AL44" s="477" t="s">
        <v>1759</v>
      </c>
      <c r="AM44" s="589" t="s">
        <v>5658</v>
      </c>
      <c r="AN44" s="21"/>
      <c r="AO44" s="778" t="s">
        <v>4863</v>
      </c>
      <c r="AP44" s="152" t="s">
        <v>177</v>
      </c>
      <c r="AQ44" s="586" t="s">
        <v>2324</v>
      </c>
      <c r="AS44" s="21"/>
      <c r="AU44" s="136" t="s">
        <v>2407</v>
      </c>
      <c r="AV44" s="148" t="s">
        <v>202</v>
      </c>
      <c r="AW44" s="138" t="str">
        <f t="shared" si="47"/>
        <v>ДП Ідея.4/4</v>
      </c>
      <c r="AY44" s="234" t="s">
        <v>724</v>
      </c>
      <c r="AZ44" s="137" t="s">
        <v>1721</v>
      </c>
      <c r="BA44" s="138" t="str">
        <f t="shared" si="53"/>
        <v>ДП КУПАВА.3/1.б/з фальц</v>
      </c>
      <c r="BC44" s="133" t="s">
        <v>340</v>
      </c>
      <c r="BD44" s="134" t="s">
        <v>3348</v>
      </c>
      <c r="BE44" s="135" t="str">
        <f>CONCATENATE(BC44,".",BD44)</f>
        <v>комплект.1-стулк</v>
      </c>
      <c r="BG44" s="146" t="s">
        <v>3348</v>
      </c>
      <c r="BH44" s="137" t="s">
        <v>321</v>
      </c>
      <c r="BI44" s="138" t="str">
        <f t="shared" ref="BI44:BI57" si="57">CONCATENATE(BG44,".",BH44)</f>
        <v>1-стулк.60</v>
      </c>
      <c r="BK44" s="234" t="s">
        <v>1387</v>
      </c>
      <c r="BL44" s="137" t="s">
        <v>557</v>
      </c>
      <c r="BM44" s="138" t="str">
        <f t="shared" si="40"/>
        <v>ДП ЛАДА C.Резист</v>
      </c>
      <c r="BO44" s="136" t="s">
        <v>62</v>
      </c>
      <c r="BP44" s="768" t="s">
        <v>4061</v>
      </c>
      <c r="BQ44" s="138" t="str">
        <f>CONCATENATE(BO44,".",BP44)</f>
        <v>LINE-3D.301 Кора біла</v>
      </c>
      <c r="BS44" s="44" t="s">
        <v>725</v>
      </c>
      <c r="BT44" s="254" t="s">
        <v>316</v>
      </c>
      <c r="BU44" s="139" t="str">
        <f t="shared" si="42"/>
        <v>ДП КУПАВА.4/0.ДСП тр.</v>
      </c>
      <c r="BW44" s="162" t="s">
        <v>570</v>
      </c>
      <c r="BX44" s="246" t="s">
        <v>459</v>
      </c>
      <c r="BY44" s="135" t="str">
        <f t="shared" si="56"/>
        <v>ДП КУПАВА.1/1.Кризет</v>
      </c>
      <c r="CA44" s="742" t="s">
        <v>3180</v>
      </c>
      <c r="CB44" s="137" t="s">
        <v>4330</v>
      </c>
      <c r="CC44" s="138" t="str">
        <f>CONCATENATE(CA44,".",CB44)</f>
        <v>ДП СТАНДАРТ.фальц.неробоча.Пл Soft +2завіс</v>
      </c>
      <c r="CE44" s="228"/>
      <c r="CF44" s="222"/>
      <c r="CG44" s="223"/>
      <c r="CI44" s="146" t="s">
        <v>4319</v>
      </c>
      <c r="CJ44" s="137" t="s">
        <v>4827</v>
      </c>
      <c r="CK44" s="138" t="str">
        <f>CONCATENATE(CI44,".",CJ44)</f>
        <v>Magnet ст +3завіс.Ліва</v>
      </c>
      <c r="CM44" s="742" t="s">
        <v>3208</v>
      </c>
      <c r="CN44" s="137" t="s">
        <v>975</v>
      </c>
      <c r="CO44" s="138" t="str">
        <f t="shared" ref="CO44:CO50" si="58">CONCATENATE(CM44,".",CN44)</f>
        <v>ДП Геометрія.фальц.робоча.Standard-MDF</v>
      </c>
      <c r="CQ44" s="750" t="s">
        <v>4106</v>
      </c>
      <c r="CR44" s="781" t="s">
        <v>4106</v>
      </c>
      <c r="CS44" s="139" t="str">
        <f>CONCATENATE(CQ44,".",CR44)</f>
        <v>(ні).(ні)</v>
      </c>
      <c r="CY44" s="146" t="s">
        <v>862</v>
      </c>
      <c r="CZ44" s="137" t="s">
        <v>325</v>
      </c>
      <c r="DA44" s="138" t="s">
        <v>860</v>
      </c>
      <c r="DD44" s="165" t="s">
        <v>1033</v>
      </c>
      <c r="DE44" s="729">
        <v>3570</v>
      </c>
      <c r="DF44" s="528">
        <f t="shared" si="54"/>
        <v>3570</v>
      </c>
      <c r="DG44" s="523"/>
      <c r="DH44" s="530">
        <f t="shared" si="55"/>
        <v>3570</v>
      </c>
      <c r="DJ44" s="736" t="s">
        <v>4102</v>
      </c>
      <c r="DK44" s="105">
        <v>0</v>
      </c>
      <c r="DL44" s="403">
        <f t="shared" si="41"/>
        <v>0</v>
      </c>
      <c r="DM44" s="514"/>
      <c r="DN44" s="511">
        <f t="shared" si="45"/>
        <v>0</v>
      </c>
      <c r="DP44" s="162" t="s">
        <v>244</v>
      </c>
      <c r="DQ44" s="163">
        <v>0</v>
      </c>
      <c r="DR44" s="528">
        <f t="shared" si="13"/>
        <v>0</v>
      </c>
      <c r="DS44" s="529"/>
      <c r="DT44" s="530">
        <f t="shared" si="14"/>
        <v>0</v>
      </c>
      <c r="DU44" s="166"/>
      <c r="DV44" s="739" t="s">
        <v>6224</v>
      </c>
      <c r="DW44" s="164">
        <v>80</v>
      </c>
      <c r="DX44" s="531">
        <f t="shared" si="15"/>
        <v>80</v>
      </c>
      <c r="DY44" s="526"/>
      <c r="DZ44" s="527">
        <f t="shared" si="16"/>
        <v>80</v>
      </c>
      <c r="EB44" s="108" t="s">
        <v>1689</v>
      </c>
      <c r="EC44" s="164">
        <v>170</v>
      </c>
      <c r="ED44" s="531">
        <f t="shared" si="49"/>
        <v>170</v>
      </c>
      <c r="EE44" s="526"/>
      <c r="EF44" s="527">
        <f t="shared" si="50"/>
        <v>170</v>
      </c>
      <c r="EG44" s="165"/>
      <c r="EH44" s="739" t="s">
        <v>3361</v>
      </c>
      <c r="EI44" s="164">
        <v>1290</v>
      </c>
      <c r="EJ44" s="531">
        <f t="shared" si="19"/>
        <v>1290</v>
      </c>
      <c r="EK44" s="526"/>
      <c r="EL44" s="527">
        <f t="shared" si="31"/>
        <v>1290</v>
      </c>
    </row>
    <row r="45" spans="2:142">
      <c r="B45" s="30"/>
      <c r="C45" s="409" t="s">
        <v>901</v>
      </c>
      <c r="D45" s="419" t="s">
        <v>729</v>
      </c>
      <c r="E45" s="29"/>
      <c r="F45" s="21"/>
      <c r="G45" s="21"/>
      <c r="H45" s="21"/>
      <c r="I45" s="21"/>
      <c r="J45" s="21"/>
      <c r="K45" s="21"/>
      <c r="L45" s="155" t="s">
        <v>123</v>
      </c>
      <c r="M45" s="254" t="s">
        <v>252</v>
      </c>
      <c r="N45" s="160" t="s">
        <v>2081</v>
      </c>
      <c r="O45" s="422" t="s">
        <v>728</v>
      </c>
      <c r="P45" s="21"/>
      <c r="Q45" s="155" t="s">
        <v>123</v>
      </c>
      <c r="R45" s="152" t="s">
        <v>164</v>
      </c>
      <c r="S45" s="160" t="s">
        <v>1029</v>
      </c>
      <c r="T45" s="21"/>
      <c r="U45" s="751" t="s">
        <v>3231</v>
      </c>
      <c r="V45" s="101" t="s">
        <v>1733</v>
      </c>
      <c r="W45" s="100" t="s">
        <v>2217</v>
      </c>
      <c r="X45" s="21"/>
      <c r="Y45" s="144" t="s">
        <v>60</v>
      </c>
      <c r="Z45" s="494">
        <v>403</v>
      </c>
      <c r="AA45" s="160" t="s">
        <v>2256</v>
      </c>
      <c r="AB45" s="21"/>
      <c r="AF45" s="21"/>
      <c r="AJ45" s="21"/>
      <c r="AK45" s="777" t="s">
        <v>5659</v>
      </c>
      <c r="AL45" s="478" t="s">
        <v>5660</v>
      </c>
      <c r="AM45" s="584" t="s">
        <v>5661</v>
      </c>
      <c r="AN45" s="21"/>
      <c r="AO45" s="777" t="s">
        <v>4834</v>
      </c>
      <c r="AP45" s="151" t="s">
        <v>5495</v>
      </c>
      <c r="AQ45" s="584" t="s">
        <v>2321</v>
      </c>
      <c r="AS45" s="21"/>
      <c r="AU45" s="136" t="s">
        <v>2407</v>
      </c>
      <c r="AV45" s="148" t="s">
        <v>205</v>
      </c>
      <c r="AW45" s="138" t="str">
        <f t="shared" si="47"/>
        <v>ДП Ідея.6/0</v>
      </c>
      <c r="AY45" s="224" t="s">
        <v>724</v>
      </c>
      <c r="AZ45" s="62" t="s">
        <v>1720</v>
      </c>
      <c r="BA45" s="139" t="str">
        <f t="shared" si="53"/>
        <v>ДП КУПАВА.3/1.купе</v>
      </c>
      <c r="BC45" s="44" t="s">
        <v>340</v>
      </c>
      <c r="BD45" s="62" t="s">
        <v>3350</v>
      </c>
      <c r="BE45" s="139" t="str">
        <f>CONCATENATE(BC45,".",BD45)</f>
        <v>комплект.2-стулк</v>
      </c>
      <c r="BG45" s="146" t="s">
        <v>3348</v>
      </c>
      <c r="BH45" s="137" t="s">
        <v>322</v>
      </c>
      <c r="BI45" s="138" t="str">
        <f t="shared" si="57"/>
        <v>1-стулк.70</v>
      </c>
      <c r="BK45" s="234" t="s">
        <v>1387</v>
      </c>
      <c r="BL45" s="137" t="s">
        <v>62</v>
      </c>
      <c r="BM45" s="138" t="str">
        <f t="shared" si="40"/>
        <v>ДП ЛАДА C.LINE-3D</v>
      </c>
      <c r="BO45" s="136" t="s">
        <v>62</v>
      </c>
      <c r="BP45" s="768" t="s">
        <v>5419</v>
      </c>
      <c r="BQ45" s="138" t="str">
        <f t="shared" si="51"/>
        <v>LINE-3D.302 Кора поп.</v>
      </c>
      <c r="BS45" s="133" t="s">
        <v>726</v>
      </c>
      <c r="BT45" s="101" t="s">
        <v>4066</v>
      </c>
      <c r="BU45" s="135" t="str">
        <f t="shared" si="42"/>
        <v>ДП КУПАВА.4/1.Сотове</v>
      </c>
      <c r="BW45" s="165" t="s">
        <v>570</v>
      </c>
      <c r="BX45" s="247" t="s">
        <v>458</v>
      </c>
      <c r="BY45" s="138" t="str">
        <f>CONCATENATE(BW45,".",BX45)</f>
        <v>ДП КУПАВА.1/1.Сатин</v>
      </c>
      <c r="CA45" s="742" t="s">
        <v>3180</v>
      </c>
      <c r="CB45" s="137" t="s">
        <v>4333</v>
      </c>
      <c r="CC45" s="138" t="str">
        <f>CONCATENATE(CA45,".",CB45)</f>
        <v>ДП СТАНДАРТ.фальц.неробоча.Пл Soft +3завіс</v>
      </c>
      <c r="CE45" s="742" t="s">
        <v>3232</v>
      </c>
      <c r="CF45" s="137"/>
      <c r="CG45" s="138" t="str">
        <f t="shared" ref="CG45:CG97" si="59">CONCATENATE(CE45,".",CF45)</f>
        <v>ДП Ідея.фальц.робоча.</v>
      </c>
      <c r="CI45" s="147" t="s">
        <v>4319</v>
      </c>
      <c r="CJ45" s="62" t="s">
        <v>4857</v>
      </c>
      <c r="CK45" s="139" t="str">
        <f>CONCATENATE(CI45,".",CJ45)</f>
        <v>Magnet ст +3завіс.Права</v>
      </c>
      <c r="CM45" s="742" t="s">
        <v>3208</v>
      </c>
      <c r="CN45" s="137" t="s">
        <v>840</v>
      </c>
      <c r="CO45" s="138" t="str">
        <f t="shared" si="58"/>
        <v>ДП Геометрія.фальц.робоча.Standard</v>
      </c>
      <c r="CQ45" s="56"/>
      <c r="CR45" s="56"/>
      <c r="CS45" s="70"/>
      <c r="CY45" s="146" t="s">
        <v>863</v>
      </c>
      <c r="CZ45" s="137" t="s">
        <v>325</v>
      </c>
      <c r="DA45" s="138" t="s">
        <v>860</v>
      </c>
      <c r="DD45" s="165" t="s">
        <v>1034</v>
      </c>
      <c r="DE45" s="729">
        <v>3570</v>
      </c>
      <c r="DF45" s="528">
        <f t="shared" si="54"/>
        <v>3570</v>
      </c>
      <c r="DG45" s="523"/>
      <c r="DH45" s="530">
        <f t="shared" si="55"/>
        <v>3570</v>
      </c>
      <c r="DJ45" s="538"/>
      <c r="DK45" s="538"/>
      <c r="DL45" s="538"/>
      <c r="DM45" s="538"/>
      <c r="DN45" s="538"/>
      <c r="DP45" s="165" t="s">
        <v>245</v>
      </c>
      <c r="DQ45" s="166">
        <v>340</v>
      </c>
      <c r="DR45" s="522">
        <f>ROUND(((DQ45-(DQ45/6))/$DD$3)*$DE$3,2)</f>
        <v>340</v>
      </c>
      <c r="DS45" s="523"/>
      <c r="DT45" s="524">
        <f>IF(DS45="",DR45,
IF(AND($DQ$10&gt;=VLOOKUP(DS45,$DP$5:$DT$9,2,0),$DQ$10&lt;=VLOOKUP(DS45,$DP$5:$DT$9,3,0)),
(DR45*(1-VLOOKUP(DS45,$DP$5:$DT$9,4,0))),
DR45))</f>
        <v>340</v>
      </c>
      <c r="DU45" s="166"/>
      <c r="DV45" s="738" t="s">
        <v>4321</v>
      </c>
      <c r="DW45" s="166">
        <v>800.00000000000011</v>
      </c>
      <c r="DX45" s="522">
        <f>ROUND(((DW45-(DW45/6))/$DD$3)*$DE$3,2)</f>
        <v>800</v>
      </c>
      <c r="DY45" s="523"/>
      <c r="DZ45" s="524">
        <f>IF(DY45="",DX45,
IF(AND($DW$10&gt;=VLOOKUP(DY45,$DV$5:$DZ$9,2,0),$DW$10&lt;=VLOOKUP(DY45,$DV$5:$DZ$9,3,0)),
(DX45*(1-VLOOKUP(DY45,$DV$5:$DZ$9,4,0))),
DX45))</f>
        <v>800</v>
      </c>
      <c r="EB45" s="165" t="s">
        <v>1690</v>
      </c>
      <c r="EC45" s="166">
        <v>0</v>
      </c>
      <c r="ED45" s="522">
        <f t="shared" si="49"/>
        <v>0</v>
      </c>
      <c r="EE45" s="523"/>
      <c r="EF45" s="530">
        <f t="shared" si="50"/>
        <v>0</v>
      </c>
      <c r="EG45" s="165"/>
      <c r="EH45" s="538"/>
      <c r="EI45" s="539"/>
      <c r="EJ45" s="650"/>
      <c r="EK45" s="651"/>
      <c r="EL45" s="652"/>
    </row>
    <row r="46" spans="2:142">
      <c r="B46" s="30"/>
      <c r="C46" s="410" t="s">
        <v>549</v>
      </c>
      <c r="D46" s="417" t="s">
        <v>729</v>
      </c>
      <c r="E46" s="29"/>
      <c r="F46" s="21"/>
      <c r="G46" s="21"/>
      <c r="H46" s="21"/>
      <c r="I46" s="21"/>
      <c r="J46" s="21"/>
      <c r="K46" s="21"/>
      <c r="L46" s="153" t="s">
        <v>2416</v>
      </c>
      <c r="M46" s="817" t="s">
        <v>2407</v>
      </c>
      <c r="N46" s="100" t="s">
        <v>2092</v>
      </c>
      <c r="O46" s="818" t="s">
        <v>728</v>
      </c>
      <c r="P46" s="21"/>
      <c r="Q46" s="153" t="s">
        <v>2416</v>
      </c>
      <c r="R46" s="101" t="s">
        <v>159</v>
      </c>
      <c r="S46" s="100" t="s">
        <v>1024</v>
      </c>
      <c r="T46" s="21"/>
      <c r="U46" s="752" t="s">
        <v>3233</v>
      </c>
      <c r="V46" s="151" t="s">
        <v>1734</v>
      </c>
      <c r="W46" s="159" t="s">
        <v>2218</v>
      </c>
      <c r="X46" s="21"/>
      <c r="Y46" s="143" t="s">
        <v>2060</v>
      </c>
      <c r="Z46" s="493">
        <v>404</v>
      </c>
      <c r="AA46" s="159" t="s">
        <v>2258</v>
      </c>
      <c r="AB46" s="21"/>
      <c r="AF46" s="21"/>
      <c r="AJ46" s="21"/>
      <c r="AK46" s="777" t="s">
        <v>5672</v>
      </c>
      <c r="AL46" s="478" t="s">
        <v>1760</v>
      </c>
      <c r="AM46" s="584" t="s">
        <v>5673</v>
      </c>
      <c r="AN46" s="21"/>
      <c r="AO46" s="778" t="s">
        <v>4864</v>
      </c>
      <c r="AP46" s="152" t="s">
        <v>177</v>
      </c>
      <c r="AQ46" s="586" t="s">
        <v>2324</v>
      </c>
      <c r="AS46" s="21"/>
      <c r="AU46" s="136" t="s">
        <v>2407</v>
      </c>
      <c r="AV46" s="148" t="s">
        <v>208</v>
      </c>
      <c r="AW46" s="138" t="str">
        <f t="shared" si="47"/>
        <v>ДП Ідея.6/6</v>
      </c>
      <c r="AY46" s="234" t="s">
        <v>725</v>
      </c>
      <c r="AZ46" s="137" t="s">
        <v>1719</v>
      </c>
      <c r="BA46" s="138" t="str">
        <f t="shared" si="53"/>
        <v>ДП КУПАВА.4/0.фальц</v>
      </c>
      <c r="BC46" s="432"/>
      <c r="BD46" s="222"/>
      <c r="BE46" s="223"/>
      <c r="BG46" s="146" t="s">
        <v>3348</v>
      </c>
      <c r="BH46" s="137" t="s">
        <v>323</v>
      </c>
      <c r="BI46" s="138" t="str">
        <f t="shared" si="57"/>
        <v>1-стулк.80</v>
      </c>
      <c r="BK46" s="224" t="s">
        <v>1387</v>
      </c>
      <c r="BL46" s="62" t="s">
        <v>5071</v>
      </c>
      <c r="BM46" s="139" t="str">
        <f t="shared" si="40"/>
        <v>ДП ЛАДА C.Е-шпон</v>
      </c>
      <c r="BO46" s="136" t="s">
        <v>62</v>
      </c>
      <c r="BP46" s="255" t="s">
        <v>644</v>
      </c>
      <c r="BQ46" s="138" t="str">
        <f t="shared" ref="BQ46:BQ56" si="60">CONCATENATE(BO46,".",BP46)</f>
        <v>LINE-3D.304 Кора дуб</v>
      </c>
      <c r="BS46" s="44" t="s">
        <v>726</v>
      </c>
      <c r="BT46" s="254" t="s">
        <v>316</v>
      </c>
      <c r="BU46" s="139" t="str">
        <f t="shared" si="42"/>
        <v>ДП КУПАВА.4/1.ДСП тр.</v>
      </c>
      <c r="BW46" s="165" t="s">
        <v>570</v>
      </c>
      <c r="BX46" s="770" t="s">
        <v>3851</v>
      </c>
      <c r="BY46" s="138" t="str">
        <f t="shared" si="56"/>
        <v>ДП КУПАВА.1/1.Графіт</v>
      </c>
      <c r="CA46" s="742" t="s">
        <v>3180</v>
      </c>
      <c r="CB46" s="137"/>
      <c r="CC46" s="138"/>
      <c r="CE46" s="742" t="s">
        <v>3232</v>
      </c>
      <c r="CF46" s="137" t="s">
        <v>4261</v>
      </c>
      <c r="CG46" s="138" t="str">
        <f t="shared" si="59"/>
        <v>ДП Ідея.фальц.робоча.ВВ</v>
      </c>
      <c r="CI46" s="146" t="s">
        <v>6206</v>
      </c>
      <c r="CJ46" s="137" t="s">
        <v>4827</v>
      </c>
      <c r="CK46" s="138" t="str">
        <f t="shared" si="52"/>
        <v>Magnet цл (чор.) +3завіс.Ліва</v>
      </c>
      <c r="CM46" s="742" t="s">
        <v>3208</v>
      </c>
      <c r="CN46" s="137" t="s">
        <v>841</v>
      </c>
      <c r="CO46" s="138" t="str">
        <f t="shared" si="58"/>
        <v>ДП Геометрія.фальц.робоча.Verto-FIT</v>
      </c>
      <c r="CQ46" s="56"/>
      <c r="CR46" s="56"/>
      <c r="CS46" s="70"/>
      <c r="CY46" s="146" t="s">
        <v>864</v>
      </c>
      <c r="CZ46" s="137" t="s">
        <v>325</v>
      </c>
      <c r="DA46" s="138" t="s">
        <v>860</v>
      </c>
      <c r="DD46" s="165" t="s">
        <v>1035</v>
      </c>
      <c r="DE46" s="166">
        <v>4060</v>
      </c>
      <c r="DF46" s="528">
        <f t="shared" si="54"/>
        <v>4060</v>
      </c>
      <c r="DG46" s="523"/>
      <c r="DH46" s="530">
        <f t="shared" si="55"/>
        <v>4060</v>
      </c>
      <c r="DJ46" s="737" t="s">
        <v>4075</v>
      </c>
      <c r="DK46" s="163">
        <v>0</v>
      </c>
      <c r="DL46" s="537">
        <f t="shared" ref="DL46:DL52" si="61">ROUND(((DK46-(DK46/6))/$DD$3)*$DE$3,2)</f>
        <v>0</v>
      </c>
      <c r="DM46" s="529"/>
      <c r="DN46" s="530">
        <f t="shared" ref="DN46:DN52" si="62">IF(DM46="",DL46,
IF(AND($DK$10&gt;=VLOOKUP(DM46,$DJ$5:$DN$9,2,0),$DK$10&lt;=VLOOKUP(DM46,$DJ$5:$DN$9,3,0)),
(DL46*(1-VLOOKUP(DM46,$DJ$5:$DN$9,4,0))),
DL46))</f>
        <v>0</v>
      </c>
      <c r="DP46" s="738" t="s">
        <v>3860</v>
      </c>
      <c r="DQ46" s="166">
        <v>550</v>
      </c>
      <c r="DR46" s="522">
        <f t="shared" si="13"/>
        <v>550</v>
      </c>
      <c r="DS46" s="523"/>
      <c r="DT46" s="524">
        <f t="shared" si="14"/>
        <v>550</v>
      </c>
      <c r="DU46" s="166"/>
      <c r="DV46" s="738" t="s">
        <v>4322</v>
      </c>
      <c r="DW46" s="166">
        <v>800.00000000000011</v>
      </c>
      <c r="DX46" s="522">
        <f>ROUND(((DW46-(DW46/6))/$DD$3)*$DE$3,2)</f>
        <v>800</v>
      </c>
      <c r="DY46" s="523"/>
      <c r="DZ46" s="524">
        <f>IF(DY46="",DX46,
IF(AND($DW$10&gt;=VLOOKUP(DY46,$DV$5:$DZ$9,2,0),$DW$10&lt;=VLOOKUP(DY46,$DV$5:$DZ$9,3,0)),
(DX46*(1-VLOOKUP(DY46,$DV$5:$DZ$9,4,0))),
DX46))</f>
        <v>800</v>
      </c>
      <c r="EB46" s="738" t="s">
        <v>4273</v>
      </c>
      <c r="EC46" s="166">
        <v>250</v>
      </c>
      <c r="ED46" s="522">
        <f>ROUND(((EC46-(EC46/6))/$DD$3)*$DE$3,2)</f>
        <v>250</v>
      </c>
      <c r="EE46" s="523"/>
      <c r="EF46" s="524">
        <f>IF(EE46="",ED46,
IF(AND($EC$10&gt;=VLOOKUP(EE46,$EB$5:$EF$9,2,0),$EC$10&lt;=VLOOKUP(EE46,$EB$5:$EF$9,3,0)),
(ED46*(1-VLOOKUP(EE46,$EB$5:$EF$9,4,0))),
ED46))</f>
        <v>250</v>
      </c>
      <c r="EG46" s="165"/>
      <c r="EH46" s="538"/>
      <c r="EI46" s="539"/>
      <c r="EJ46" s="650"/>
      <c r="EK46" s="651"/>
      <c r="EL46" s="652"/>
    </row>
    <row r="47" spans="2:142">
      <c r="B47" s="30"/>
      <c r="C47" s="413"/>
      <c r="D47" s="417"/>
      <c r="E47" s="29"/>
      <c r="F47" s="21"/>
      <c r="G47" s="21"/>
      <c r="H47" s="21"/>
      <c r="I47" s="21"/>
      <c r="J47" s="21"/>
      <c r="K47" s="21"/>
      <c r="L47" s="154" t="s">
        <v>2417</v>
      </c>
      <c r="M47" s="21" t="s">
        <v>2407</v>
      </c>
      <c r="N47" s="159" t="s">
        <v>2092</v>
      </c>
      <c r="O47" s="819" t="s">
        <v>728</v>
      </c>
      <c r="P47" s="21"/>
      <c r="Q47" s="154" t="s">
        <v>2417</v>
      </c>
      <c r="R47" s="151" t="s">
        <v>185</v>
      </c>
      <c r="S47" s="159" t="s">
        <v>143</v>
      </c>
      <c r="T47" s="21"/>
      <c r="U47" s="752" t="s">
        <v>3234</v>
      </c>
      <c r="V47" s="151" t="s">
        <v>1735</v>
      </c>
      <c r="W47" s="159" t="s">
        <v>2219</v>
      </c>
      <c r="X47" s="21"/>
      <c r="Y47" s="750" t="s">
        <v>4064</v>
      </c>
      <c r="Z47" s="494">
        <v>405</v>
      </c>
      <c r="AA47" s="599" t="s">
        <v>4065</v>
      </c>
      <c r="AB47" s="21"/>
      <c r="AF47" s="21"/>
      <c r="AJ47" s="21"/>
      <c r="AK47" s="777" t="s">
        <v>5674</v>
      </c>
      <c r="AL47" s="478" t="s">
        <v>5675</v>
      </c>
      <c r="AM47" s="584" t="s">
        <v>5676</v>
      </c>
      <c r="AN47" s="21"/>
      <c r="AO47" s="777" t="s">
        <v>6177</v>
      </c>
      <c r="AP47" s="151" t="s">
        <v>5495</v>
      </c>
      <c r="AQ47" s="584" t="s">
        <v>2321</v>
      </c>
      <c r="AS47" s="21"/>
      <c r="AU47" s="136" t="s">
        <v>2407</v>
      </c>
      <c r="AV47" s="148" t="s">
        <v>646</v>
      </c>
      <c r="AW47" s="138" t="str">
        <f t="shared" si="47"/>
        <v>ДП Ідея.7/0</v>
      </c>
      <c r="AY47" s="234" t="s">
        <v>725</v>
      </c>
      <c r="AZ47" s="137" t="s">
        <v>1721</v>
      </c>
      <c r="BA47" s="138" t="str">
        <f t="shared" si="53"/>
        <v>ДП КУПАВА.4/0.б/з фальц</v>
      </c>
      <c r="BC47" s="40" t="s">
        <v>341</v>
      </c>
      <c r="BD47" s="41" t="s">
        <v>3348</v>
      </c>
      <c r="BE47" s="135" t="str">
        <f>CONCATENATE(BC47,".",BD47)</f>
        <v>комплект..1-стулк</v>
      </c>
      <c r="BG47" s="146" t="s">
        <v>3348</v>
      </c>
      <c r="BH47" s="137" t="s">
        <v>324</v>
      </c>
      <c r="BI47" s="138" t="str">
        <f t="shared" si="57"/>
        <v>1-стулк.90</v>
      </c>
      <c r="BK47" s="234" t="s">
        <v>1386</v>
      </c>
      <c r="BL47" s="137" t="s">
        <v>409</v>
      </c>
      <c r="BM47" s="135" t="str">
        <f t="shared" si="40"/>
        <v>ДП ЛАДА D.Verto-Cell</v>
      </c>
      <c r="BO47" s="146" t="s">
        <v>62</v>
      </c>
      <c r="BP47" s="21" t="s">
        <v>645</v>
      </c>
      <c r="BQ47" s="138" t="str">
        <f t="shared" si="60"/>
        <v>LINE-3D.305 Кора венге</v>
      </c>
      <c r="BS47" s="426"/>
      <c r="BT47" s="427"/>
      <c r="BU47" s="428"/>
      <c r="BW47" s="108" t="s">
        <v>570</v>
      </c>
      <c r="BX47" s="248" t="s">
        <v>832</v>
      </c>
      <c r="BY47" s="139" t="str">
        <f t="shared" si="56"/>
        <v>ДП КУПАВА.1/1.Бронза</v>
      </c>
      <c r="CA47" s="742" t="s">
        <v>3180</v>
      </c>
      <c r="CB47" s="137" t="s">
        <v>4335</v>
      </c>
      <c r="CC47" s="138" t="str">
        <f>CONCATENATE(CA47,".",CB47)</f>
        <v>ДП СТАНДАРТ.фальц.неробоча.Пл Magnet +2завіс</v>
      </c>
      <c r="CE47" s="424" t="s">
        <v>3232</v>
      </c>
      <c r="CF47" s="62" t="s">
        <v>739</v>
      </c>
      <c r="CG47" s="139" t="str">
        <f t="shared" si="59"/>
        <v>ДП Ідея.фальц.робоча.ВП</v>
      </c>
      <c r="CI47" s="147" t="s">
        <v>6206</v>
      </c>
      <c r="CJ47" s="62" t="s">
        <v>4857</v>
      </c>
      <c r="CK47" s="139" t="str">
        <f t="shared" si="52"/>
        <v>Magnet цл (чор.) +3завіс.Права</v>
      </c>
      <c r="CM47" s="424" t="s">
        <v>3208</v>
      </c>
      <c r="CN47" s="62" t="s">
        <v>371</v>
      </c>
      <c r="CO47" s="139" t="str">
        <f t="shared" si="58"/>
        <v>ДП Геометрія.фальц.робоча.Verto-FIT Plus</v>
      </c>
      <c r="CQ47" s="56"/>
      <c r="CR47" s="56"/>
      <c r="CS47" s="70"/>
      <c r="CY47" s="147" t="s">
        <v>865</v>
      </c>
      <c r="CZ47" s="62" t="s">
        <v>342</v>
      </c>
      <c r="DA47" s="139" t="s">
        <v>860</v>
      </c>
      <c r="DD47" s="108" t="s">
        <v>1036</v>
      </c>
      <c r="DE47" s="166">
        <v>4060</v>
      </c>
      <c r="DF47" s="528">
        <f t="shared" si="54"/>
        <v>4060</v>
      </c>
      <c r="DG47" s="526"/>
      <c r="DH47" s="530">
        <f t="shared" si="55"/>
        <v>4060</v>
      </c>
      <c r="DJ47" s="738" t="s">
        <v>4103</v>
      </c>
      <c r="DK47" s="166">
        <v>0</v>
      </c>
      <c r="DL47" s="522">
        <f t="shared" si="61"/>
        <v>0</v>
      </c>
      <c r="DM47" s="523"/>
      <c r="DN47" s="524">
        <f t="shared" si="62"/>
        <v>0</v>
      </c>
      <c r="DP47" s="108" t="s">
        <v>1818</v>
      </c>
      <c r="DQ47" s="164">
        <v>550</v>
      </c>
      <c r="DR47" s="525">
        <f t="shared" si="13"/>
        <v>550</v>
      </c>
      <c r="DS47" s="526"/>
      <c r="DT47" s="527">
        <f t="shared" si="14"/>
        <v>550</v>
      </c>
      <c r="DU47" s="166"/>
      <c r="DV47" s="738" t="s">
        <v>6225</v>
      </c>
      <c r="DW47" s="166">
        <v>1</v>
      </c>
      <c r="DX47" s="522">
        <f t="shared" si="15"/>
        <v>1</v>
      </c>
      <c r="DY47" s="523"/>
      <c r="DZ47" s="524">
        <f t="shared" si="16"/>
        <v>1</v>
      </c>
      <c r="EB47" s="108" t="s">
        <v>1691</v>
      </c>
      <c r="EC47" s="164">
        <v>170</v>
      </c>
      <c r="ED47" s="531">
        <f t="shared" si="49"/>
        <v>170</v>
      </c>
      <c r="EE47" s="526"/>
      <c r="EF47" s="527">
        <f t="shared" si="50"/>
        <v>170</v>
      </c>
      <c r="EG47" s="165"/>
      <c r="EH47" s="737" t="s">
        <v>4924</v>
      </c>
      <c r="EI47" s="163">
        <v>0</v>
      </c>
      <c r="EJ47" s="537">
        <f t="shared" ref="EJ47:EJ79" si="63">ROUND(((EI47-(EI47/6))/$DD$3)*$DE$3,2)</f>
        <v>0</v>
      </c>
      <c r="EK47" s="529"/>
      <c r="EL47" s="530">
        <f t="shared" ref="EL47:EL79" si="64">IF(EK47="",EJ47,
IF(AND($EI$10&gt;=VLOOKUP(EK47,$EH$5:$EL$9,2,0),$EI$10&lt;=VLOOKUP(EK47,$EH$5:$EL$9,3,0)),
(EJ47*(1-VLOOKUP(EK47,$EH$5:$EL$9,4,0))),
EJ47))</f>
        <v>0</v>
      </c>
    </row>
    <row r="48" spans="2:142">
      <c r="B48" s="30"/>
      <c r="C48" s="410" t="s">
        <v>548</v>
      </c>
      <c r="D48" s="417" t="s">
        <v>729</v>
      </c>
      <c r="E48" s="29"/>
      <c r="F48" s="21"/>
      <c r="G48" s="21"/>
      <c r="H48" s="21"/>
      <c r="I48" s="21"/>
      <c r="J48" s="21"/>
      <c r="K48" s="21"/>
      <c r="L48" s="154" t="s">
        <v>2418</v>
      </c>
      <c r="M48" s="21" t="s">
        <v>2407</v>
      </c>
      <c r="N48" s="159" t="s">
        <v>2092</v>
      </c>
      <c r="O48" s="819" t="s">
        <v>728</v>
      </c>
      <c r="P48" s="21"/>
      <c r="Q48" s="154" t="s">
        <v>2418</v>
      </c>
      <c r="R48" s="151" t="s">
        <v>186</v>
      </c>
      <c r="S48" s="159" t="s">
        <v>144</v>
      </c>
      <c r="T48" s="21"/>
      <c r="U48" s="752" t="s">
        <v>3235</v>
      </c>
      <c r="V48" s="151" t="s">
        <v>1736</v>
      </c>
      <c r="W48" s="159" t="s">
        <v>2220</v>
      </c>
      <c r="X48" s="21"/>
      <c r="Y48" s="143" t="s">
        <v>1835</v>
      </c>
      <c r="Z48" s="493">
        <v>452</v>
      </c>
      <c r="AA48" s="159" t="s">
        <v>2257</v>
      </c>
      <c r="AB48" s="21"/>
      <c r="AF48" s="21"/>
      <c r="AJ48" s="21"/>
      <c r="AK48" s="778" t="s">
        <v>5691</v>
      </c>
      <c r="AL48" s="590" t="s">
        <v>1761</v>
      </c>
      <c r="AM48" s="586" t="s">
        <v>5690</v>
      </c>
      <c r="AN48" s="21"/>
      <c r="AO48" s="778" t="s">
        <v>6178</v>
      </c>
      <c r="AP48" s="152" t="s">
        <v>177</v>
      </c>
      <c r="AQ48" s="586" t="s">
        <v>2324</v>
      </c>
      <c r="AS48" s="21"/>
      <c r="AU48" s="173" t="s">
        <v>2407</v>
      </c>
      <c r="AV48" s="555" t="s">
        <v>648</v>
      </c>
      <c r="AW48" s="174" t="str">
        <f t="shared" si="47"/>
        <v>ДП Ідея.7/1</v>
      </c>
      <c r="AY48" s="224" t="s">
        <v>725</v>
      </c>
      <c r="AZ48" s="62" t="s">
        <v>1720</v>
      </c>
      <c r="BA48" s="139" t="str">
        <f t="shared" si="53"/>
        <v>ДП КУПАВА.4/0.купе</v>
      </c>
      <c r="BC48" s="432"/>
      <c r="BD48" s="222"/>
      <c r="BE48" s="223"/>
      <c r="BG48" s="147" t="s">
        <v>3348</v>
      </c>
      <c r="BH48" s="62" t="s">
        <v>325</v>
      </c>
      <c r="BI48" s="139" t="str">
        <f t="shared" si="57"/>
        <v>1-стулк.100</v>
      </c>
      <c r="BK48" s="234" t="s">
        <v>1386</v>
      </c>
      <c r="BL48" s="137"/>
      <c r="BM48" s="138" t="str">
        <f t="shared" si="40"/>
        <v>ДП ЛАДА D.</v>
      </c>
      <c r="BO48" s="146" t="s">
        <v>62</v>
      </c>
      <c r="BP48" s="21" t="s">
        <v>49</v>
      </c>
      <c r="BQ48" s="138" t="str">
        <f t="shared" si="60"/>
        <v>LINE-3D.306 Кора береза</v>
      </c>
      <c r="BS48" s="426"/>
      <c r="BT48" s="427"/>
      <c r="BU48" s="428"/>
      <c r="BW48" s="60" t="s">
        <v>571</v>
      </c>
      <c r="BX48" s="780" t="s">
        <v>4106</v>
      </c>
      <c r="BY48" s="70" t="str">
        <f t="shared" si="56"/>
        <v>ДП КУПАВА.2/0.(ні)</v>
      </c>
      <c r="CA48" s="424" t="s">
        <v>3180</v>
      </c>
      <c r="CB48" s="62" t="s">
        <v>4336</v>
      </c>
      <c r="CC48" s="139" t="str">
        <f>CONCATENATE(CA48,".",CB48)</f>
        <v>ДП СТАНДАРТ.фальц.неробоча.Пл Magnet +3завіс</v>
      </c>
      <c r="CE48" s="746" t="s">
        <v>3236</v>
      </c>
      <c r="CF48" s="137"/>
      <c r="CG48" s="138" t="str">
        <f t="shared" si="59"/>
        <v>ДП Ідея.фальц.неробоча.</v>
      </c>
      <c r="CI48" s="146" t="s">
        <v>6207</v>
      </c>
      <c r="CJ48" s="137" t="s">
        <v>4827</v>
      </c>
      <c r="CK48" s="138" t="str">
        <f t="shared" si="52"/>
        <v>Magnet ст (чор.) +3завіс.Ліва</v>
      </c>
      <c r="CM48" s="424" t="s">
        <v>3215</v>
      </c>
      <c r="CN48" s="62" t="s">
        <v>4106</v>
      </c>
      <c r="CO48" s="70" t="str">
        <f t="shared" si="58"/>
        <v>ДП Геометрія.фальц.неробоча.(ні)</v>
      </c>
      <c r="CQ48" s="56"/>
      <c r="CR48" s="56"/>
      <c r="CS48" s="70"/>
      <c r="CY48" s="146" t="s">
        <v>866</v>
      </c>
      <c r="CZ48" s="137"/>
      <c r="DA48" s="138" t="s">
        <v>860</v>
      </c>
      <c r="DD48" s="165" t="s">
        <v>1904</v>
      </c>
      <c r="DE48" s="166">
        <v>4110</v>
      </c>
      <c r="DF48" s="528">
        <f t="shared" si="54"/>
        <v>4110</v>
      </c>
      <c r="DG48" s="523"/>
      <c r="DH48" s="530">
        <f t="shared" si="55"/>
        <v>4110</v>
      </c>
      <c r="DJ48" s="739" t="s">
        <v>2936</v>
      </c>
      <c r="DK48" s="164">
        <v>930</v>
      </c>
      <c r="DL48" s="531">
        <f t="shared" si="61"/>
        <v>930</v>
      </c>
      <c r="DM48" s="526"/>
      <c r="DN48" s="527">
        <f t="shared" si="62"/>
        <v>930</v>
      </c>
      <c r="DP48" s="736" t="s">
        <v>4115</v>
      </c>
      <c r="DQ48" s="105">
        <v>0</v>
      </c>
      <c r="DR48" s="403">
        <f t="shared" si="13"/>
        <v>0</v>
      </c>
      <c r="DS48" s="514"/>
      <c r="DT48" s="511">
        <f t="shared" si="14"/>
        <v>0</v>
      </c>
      <c r="DU48" s="166"/>
      <c r="DV48" s="738" t="s">
        <v>6226</v>
      </c>
      <c r="DW48" s="166">
        <v>1</v>
      </c>
      <c r="DX48" s="522">
        <f t="shared" si="15"/>
        <v>1</v>
      </c>
      <c r="DY48" s="523"/>
      <c r="DZ48" s="524">
        <f t="shared" si="16"/>
        <v>1</v>
      </c>
      <c r="EB48" s="162" t="s">
        <v>2497</v>
      </c>
      <c r="EC48" s="163">
        <v>0</v>
      </c>
      <c r="ED48" s="537">
        <f t="shared" si="49"/>
        <v>0</v>
      </c>
      <c r="EE48" s="529"/>
      <c r="EF48" s="530">
        <f t="shared" si="50"/>
        <v>0</v>
      </c>
      <c r="EG48" s="165"/>
      <c r="EH48" s="739" t="s">
        <v>4925</v>
      </c>
      <c r="EI48" s="164">
        <v>1190</v>
      </c>
      <c r="EJ48" s="531">
        <f t="shared" si="63"/>
        <v>1190</v>
      </c>
      <c r="EK48" s="526"/>
      <c r="EL48" s="527">
        <f t="shared" si="64"/>
        <v>1190</v>
      </c>
    </row>
    <row r="49" spans="2:149" ht="13.2">
      <c r="B49" s="30"/>
      <c r="C49" s="410" t="s">
        <v>352</v>
      </c>
      <c r="D49" s="417" t="s">
        <v>729</v>
      </c>
      <c r="E49" s="29"/>
      <c r="F49" s="21"/>
      <c r="G49" s="21"/>
      <c r="H49" s="21"/>
      <c r="I49" s="21"/>
      <c r="J49" s="21"/>
      <c r="K49" s="21"/>
      <c r="L49" s="154" t="s">
        <v>2419</v>
      </c>
      <c r="M49" s="21" t="s">
        <v>2407</v>
      </c>
      <c r="N49" s="159" t="s">
        <v>2092</v>
      </c>
      <c r="O49" s="819" t="s">
        <v>728</v>
      </c>
      <c r="P49" s="21"/>
      <c r="Q49" s="154" t="s">
        <v>2419</v>
      </c>
      <c r="R49" s="151" t="s">
        <v>199</v>
      </c>
      <c r="S49" s="159" t="s">
        <v>145</v>
      </c>
      <c r="T49" s="21"/>
      <c r="U49" s="750" t="s">
        <v>3237</v>
      </c>
      <c r="V49" s="152" t="s">
        <v>1738</v>
      </c>
      <c r="W49" s="160" t="s">
        <v>2221</v>
      </c>
      <c r="X49" s="21"/>
      <c r="Y49" s="756" t="s">
        <v>4106</v>
      </c>
      <c r="Z49" s="496" t="s">
        <v>749</v>
      </c>
      <c r="AA49" s="94" t="s">
        <v>750</v>
      </c>
      <c r="AB49" s="21"/>
      <c r="AF49" s="21"/>
      <c r="AJ49" s="21"/>
      <c r="AK49" s="777" t="s">
        <v>5687</v>
      </c>
      <c r="AL49" s="478" t="s">
        <v>5688</v>
      </c>
      <c r="AM49" s="584" t="s">
        <v>5689</v>
      </c>
      <c r="AN49" s="21"/>
      <c r="AO49" s="777" t="s">
        <v>4835</v>
      </c>
      <c r="AP49" s="151" t="s">
        <v>5495</v>
      </c>
      <c r="AQ49" s="584" t="s">
        <v>2321</v>
      </c>
      <c r="AS49" s="21"/>
      <c r="AU49" s="173" t="s">
        <v>2410</v>
      </c>
      <c r="AV49" s="555" t="s">
        <v>528</v>
      </c>
      <c r="AW49" s="174" t="str">
        <f>CONCATENATE(AU49,".",AV49)</f>
        <v>ДП Ідея-ЛОФТ.1</v>
      </c>
      <c r="AY49" s="234" t="s">
        <v>726</v>
      </c>
      <c r="AZ49" s="137" t="s">
        <v>1719</v>
      </c>
      <c r="BA49" s="138" t="str">
        <f t="shared" si="53"/>
        <v>ДП КУПАВА.4/1.фальц</v>
      </c>
      <c r="BC49" s="133" t="s">
        <v>1727</v>
      </c>
      <c r="BD49" s="150" t="s">
        <v>3362</v>
      </c>
      <c r="BE49" s="135" t="str">
        <f>CONCATENATE(BC49,".",BD49)</f>
        <v>комплект,.1-стулк,</v>
      </c>
      <c r="BG49" s="146" t="s">
        <v>3350</v>
      </c>
      <c r="BH49" s="137" t="s">
        <v>328</v>
      </c>
      <c r="BI49" s="138" t="str">
        <f t="shared" si="57"/>
        <v>2-стулк.(100)</v>
      </c>
      <c r="BK49" s="234" t="s">
        <v>1386</v>
      </c>
      <c r="BL49" s="137" t="s">
        <v>1894</v>
      </c>
      <c r="BM49" s="138" t="str">
        <f>CONCATENATE(BK49,".",BL49)</f>
        <v>ДП ЛАДА D.Uni-Mat.</v>
      </c>
      <c r="BO49" s="746" t="s">
        <v>5074</v>
      </c>
      <c r="BP49" s="134" t="s">
        <v>4062</v>
      </c>
      <c r="BQ49" s="135" t="str">
        <f>CONCATENATE(BO49,".",BP49)</f>
        <v>Е-шпонА.401 Акація мед.</v>
      </c>
      <c r="BS49" s="133" t="s">
        <v>2350</v>
      </c>
      <c r="BT49" s="101" t="s">
        <v>4066</v>
      </c>
      <c r="BU49" s="135" t="str">
        <f>CONCATENATE(BS49,".",BT49)</f>
        <v>ДП Геометрія.1/0.Сотове</v>
      </c>
      <c r="BW49" s="162" t="s">
        <v>722</v>
      </c>
      <c r="BX49" s="246" t="s">
        <v>459</v>
      </c>
      <c r="BY49" s="135" t="str">
        <f t="shared" si="56"/>
        <v>ДП КУПАВА.2/1.Кризет</v>
      </c>
      <c r="CA49" s="146" t="s">
        <v>3184</v>
      </c>
      <c r="CB49" s="137" t="s">
        <v>4106</v>
      </c>
      <c r="CC49" s="239" t="str">
        <f>CONCATENATE(CA49,".",CB49)</f>
        <v>ДП СТАНДАРТ.б/з фальц.робоча.(ні)</v>
      </c>
      <c r="CE49" s="742" t="s">
        <v>3236</v>
      </c>
      <c r="CF49" s="137" t="s">
        <v>4261</v>
      </c>
      <c r="CG49" s="138" t="str">
        <f t="shared" si="59"/>
        <v>ДП Ідея.фальц.неробоча.ВВ</v>
      </c>
      <c r="CI49" s="147" t="s">
        <v>6207</v>
      </c>
      <c r="CJ49" s="62" t="s">
        <v>4857</v>
      </c>
      <c r="CK49" s="139" t="str">
        <f t="shared" si="52"/>
        <v>Magnet ст (чор.) +3завіс.Права</v>
      </c>
      <c r="CM49" s="86" t="s">
        <v>3220</v>
      </c>
      <c r="CN49" s="56" t="s">
        <v>941</v>
      </c>
      <c r="CO49" s="70" t="str">
        <f t="shared" si="58"/>
        <v>ДП Геометрія.б/з фальц.робоча.Verto-FIT Comfort</v>
      </c>
      <c r="CQ49" s="56"/>
      <c r="CR49" s="56"/>
      <c r="CS49" s="70"/>
      <c r="CY49" s="146" t="s">
        <v>867</v>
      </c>
      <c r="CZ49" s="137"/>
      <c r="DA49" s="138" t="s">
        <v>860</v>
      </c>
      <c r="DD49" s="165" t="s">
        <v>1905</v>
      </c>
      <c r="DE49" s="166">
        <v>4110</v>
      </c>
      <c r="DF49" s="528">
        <f t="shared" si="54"/>
        <v>4110</v>
      </c>
      <c r="DG49" s="523"/>
      <c r="DH49" s="530">
        <f t="shared" si="55"/>
        <v>4110</v>
      </c>
      <c r="DJ49" s="738" t="s">
        <v>4076</v>
      </c>
      <c r="DK49" s="166">
        <v>0</v>
      </c>
      <c r="DL49" s="522">
        <f t="shared" si="61"/>
        <v>0</v>
      </c>
      <c r="DM49" s="523"/>
      <c r="DN49" s="524">
        <f t="shared" si="62"/>
        <v>0</v>
      </c>
      <c r="DP49" s="162" t="s">
        <v>817</v>
      </c>
      <c r="DQ49" s="163">
        <v>0</v>
      </c>
      <c r="DR49" s="528">
        <f t="shared" si="13"/>
        <v>0</v>
      </c>
      <c r="DS49" s="529"/>
      <c r="DT49" s="530">
        <f t="shared" si="14"/>
        <v>0</v>
      </c>
      <c r="DU49" s="166"/>
      <c r="DV49" s="738" t="s">
        <v>4324</v>
      </c>
      <c r="DW49" s="166">
        <v>800.00000000000011</v>
      </c>
      <c r="DX49" s="522">
        <f>ROUND(((DW49-(DW49/6))/$DD$3)*$DE$3,2)</f>
        <v>800</v>
      </c>
      <c r="DY49" s="523"/>
      <c r="DZ49" s="524">
        <f>IF(DY49="",DX49,
IF(AND($DW$10&gt;=VLOOKUP(DY49,$DV$5:$DZ$9,2,0),$DW$10&lt;=VLOOKUP(DY49,$DV$5:$DZ$9,3,0)),
(DX49*(1-VLOOKUP(DY49,$DV$5:$DZ$9,4,0))),
DX49))</f>
        <v>800</v>
      </c>
      <c r="EB49" s="738" t="s">
        <v>4274</v>
      </c>
      <c r="EC49" s="166">
        <v>250</v>
      </c>
      <c r="ED49" s="522">
        <f t="shared" si="49"/>
        <v>250</v>
      </c>
      <c r="EE49" s="523"/>
      <c r="EF49" s="524">
        <f t="shared" si="50"/>
        <v>250</v>
      </c>
      <c r="EG49" s="165"/>
      <c r="EH49" s="738" t="s">
        <v>3363</v>
      </c>
      <c r="EI49" s="166">
        <v>0</v>
      </c>
      <c r="EJ49" s="522">
        <f t="shared" si="63"/>
        <v>0</v>
      </c>
      <c r="EK49" s="523"/>
      <c r="EL49" s="524">
        <f t="shared" si="64"/>
        <v>0</v>
      </c>
      <c r="EP49" s="129"/>
      <c r="EQ49" s="129"/>
      <c r="ER49" s="129"/>
      <c r="ES49" s="129"/>
    </row>
    <row r="50" spans="2:149">
      <c r="B50" s="30"/>
      <c r="C50" s="410" t="s">
        <v>1042</v>
      </c>
      <c r="D50" s="417" t="s">
        <v>729</v>
      </c>
      <c r="E50" s="29"/>
      <c r="F50" s="21"/>
      <c r="G50" s="21"/>
      <c r="H50" s="21"/>
      <c r="I50" s="21"/>
      <c r="J50" s="21"/>
      <c r="K50" s="21"/>
      <c r="L50" s="154" t="s">
        <v>2420</v>
      </c>
      <c r="M50" s="21" t="s">
        <v>2407</v>
      </c>
      <c r="N50" s="159" t="s">
        <v>2092</v>
      </c>
      <c r="O50" s="819" t="s">
        <v>728</v>
      </c>
      <c r="P50" s="21"/>
      <c r="Q50" s="154" t="s">
        <v>2420</v>
      </c>
      <c r="R50" s="151" t="s">
        <v>200</v>
      </c>
      <c r="S50" s="159" t="s">
        <v>146</v>
      </c>
      <c r="T50" s="21"/>
      <c r="U50" s="815"/>
      <c r="V50" s="816"/>
      <c r="W50" s="808"/>
      <c r="X50" s="21"/>
      <c r="Y50" s="756"/>
      <c r="Z50" s="496"/>
      <c r="AA50" s="94"/>
      <c r="AB50" s="21"/>
      <c r="AF50" s="21"/>
      <c r="AJ50" s="21"/>
      <c r="AK50" s="777" t="s">
        <v>4327</v>
      </c>
      <c r="AL50" s="478" t="s">
        <v>1762</v>
      </c>
      <c r="AM50" s="584" t="s">
        <v>2280</v>
      </c>
      <c r="AN50" s="21"/>
      <c r="AO50" s="778" t="s">
        <v>4865</v>
      </c>
      <c r="AP50" s="152" t="s">
        <v>177</v>
      </c>
      <c r="AQ50" s="586" t="s">
        <v>2324</v>
      </c>
      <c r="AS50" s="21"/>
      <c r="AU50" s="234" t="s">
        <v>1385</v>
      </c>
      <c r="AV50" s="148" t="s">
        <v>874</v>
      </c>
      <c r="AW50" s="138" t="str">
        <f t="shared" si="47"/>
        <v>ДП ЛАДА A.2А/0</v>
      </c>
      <c r="AY50" s="234" t="s">
        <v>726</v>
      </c>
      <c r="AZ50" s="137" t="s">
        <v>1721</v>
      </c>
      <c r="BA50" s="138" t="str">
        <f t="shared" si="53"/>
        <v>ДП КУПАВА.4/1.б/з фальц</v>
      </c>
      <c r="BC50" s="44" t="s">
        <v>1727</v>
      </c>
      <c r="BD50" s="149" t="s">
        <v>3364</v>
      </c>
      <c r="BE50" s="139" t="str">
        <f>CONCATENATE(BC50,".",BD50)</f>
        <v>комплект,.2-стулк,</v>
      </c>
      <c r="BG50" s="146" t="s">
        <v>3350</v>
      </c>
      <c r="BH50" s="148" t="s">
        <v>329</v>
      </c>
      <c r="BI50" s="138" t="str">
        <f t="shared" si="57"/>
        <v>2-стулк.(110)</v>
      </c>
      <c r="BK50" s="234" t="s">
        <v>1386</v>
      </c>
      <c r="BL50" s="137" t="s">
        <v>557</v>
      </c>
      <c r="BM50" s="138" t="str">
        <f t="shared" si="40"/>
        <v>ДП ЛАДА D.Резист</v>
      </c>
      <c r="BO50" s="746" t="s">
        <v>5074</v>
      </c>
      <c r="BP50" s="137" t="s">
        <v>4063</v>
      </c>
      <c r="BQ50" s="138" t="str">
        <f>CONCATENATE(BO50,".",BP50)</f>
        <v>Е-шпонА.402 Акація св.</v>
      </c>
      <c r="BS50" s="44" t="s">
        <v>2350</v>
      </c>
      <c r="BT50" s="254" t="s">
        <v>316</v>
      </c>
      <c r="BU50" s="139" t="str">
        <f t="shared" ref="BU50:BU68" si="65">CONCATENATE(BS50,".",BT50)</f>
        <v>ДП Геометрія.1/0.ДСП тр.</v>
      </c>
      <c r="BW50" s="165" t="s">
        <v>722</v>
      </c>
      <c r="BX50" s="247" t="s">
        <v>458</v>
      </c>
      <c r="BY50" s="138" t="str">
        <f>CONCATENATE(BW50,".",BX50)</f>
        <v>ДП КУПАВА.2/1.Сатин</v>
      </c>
      <c r="CA50" s="146" t="s">
        <v>3184</v>
      </c>
      <c r="CB50" s="97"/>
      <c r="CC50" s="97"/>
      <c r="CE50" s="424" t="s">
        <v>3236</v>
      </c>
      <c r="CF50" s="62" t="s">
        <v>739</v>
      </c>
      <c r="CG50" s="139" t="str">
        <f t="shared" si="59"/>
        <v>ДП Ідея.фальц.неробоча.ВП</v>
      </c>
      <c r="CI50" s="479"/>
      <c r="CJ50" s="427"/>
      <c r="CK50" s="428"/>
      <c r="CM50" s="86" t="s">
        <v>3225</v>
      </c>
      <c r="CN50" s="56" t="s">
        <v>841</v>
      </c>
      <c r="CO50" s="70" t="str">
        <f t="shared" si="58"/>
        <v>ДП Геометрія.купе.робоча.Verto-FIT</v>
      </c>
      <c r="CQ50" s="561"/>
      <c r="CR50" s="561"/>
      <c r="CS50" s="562"/>
      <c r="CY50" s="146" t="s">
        <v>868</v>
      </c>
      <c r="CZ50" s="137"/>
      <c r="DA50" s="138" t="s">
        <v>860</v>
      </c>
      <c r="DD50" s="165" t="s">
        <v>1906</v>
      </c>
      <c r="DE50" s="166">
        <v>4660</v>
      </c>
      <c r="DF50" s="528">
        <f t="shared" si="54"/>
        <v>4660</v>
      </c>
      <c r="DG50" s="523"/>
      <c r="DH50" s="530">
        <f t="shared" si="55"/>
        <v>4660</v>
      </c>
      <c r="DJ50" s="108" t="s">
        <v>225</v>
      </c>
      <c r="DK50" s="164">
        <v>930</v>
      </c>
      <c r="DL50" s="531">
        <f t="shared" si="61"/>
        <v>930</v>
      </c>
      <c r="DM50" s="526"/>
      <c r="DN50" s="527">
        <f t="shared" si="62"/>
        <v>930</v>
      </c>
      <c r="DP50" s="165" t="s">
        <v>818</v>
      </c>
      <c r="DQ50" s="166">
        <v>340</v>
      </c>
      <c r="DR50" s="522">
        <f>ROUND(((DQ50-(DQ50/6))/$DD$3)*$DE$3,2)</f>
        <v>340</v>
      </c>
      <c r="DS50" s="523"/>
      <c r="DT50" s="524">
        <f>IF(DS50="",DR50,
IF(AND($DQ$10&gt;=VLOOKUP(DS50,$DP$5:$DT$9,2,0),$DQ$10&lt;=VLOOKUP(DS50,$DP$5:$DT$9,3,0)),
(DR50*(1-VLOOKUP(DS50,$DP$5:$DT$9,4,0))),
DR50))</f>
        <v>340</v>
      </c>
      <c r="DU50" s="166"/>
      <c r="DV50" s="738" t="s">
        <v>4326</v>
      </c>
      <c r="DW50" s="166">
        <v>800.00000000000011</v>
      </c>
      <c r="DX50" s="522">
        <f>ROUND(((DW50-(DW50/6))/$DD$3)*$DE$3,2)</f>
        <v>800</v>
      </c>
      <c r="DY50" s="523"/>
      <c r="DZ50" s="524">
        <f>IF(DY50="",DX50,
IF(AND($DW$10&gt;=VLOOKUP(DY50,$DV$5:$DZ$9,2,0),$DW$10&lt;=VLOOKUP(DY50,$DV$5:$DZ$9,3,0)),
(DX50*(1-VLOOKUP(DY50,$DV$5:$DZ$9,4,0))),
DX50))</f>
        <v>800</v>
      </c>
      <c r="EB50" s="108" t="s">
        <v>2498</v>
      </c>
      <c r="EC50" s="164">
        <v>170</v>
      </c>
      <c r="ED50" s="531">
        <f t="shared" si="49"/>
        <v>170</v>
      </c>
      <c r="EE50" s="526"/>
      <c r="EF50" s="527">
        <f t="shared" si="50"/>
        <v>170</v>
      </c>
      <c r="EG50" s="165"/>
      <c r="EH50" s="739" t="s">
        <v>3365</v>
      </c>
      <c r="EI50" s="164">
        <v>1190</v>
      </c>
      <c r="EJ50" s="531">
        <f t="shared" si="63"/>
        <v>1190</v>
      </c>
      <c r="EK50" s="526"/>
      <c r="EL50" s="527">
        <f t="shared" si="64"/>
        <v>1190</v>
      </c>
    </row>
    <row r="51" spans="2:149">
      <c r="B51" s="30"/>
      <c r="C51" s="410"/>
      <c r="D51" s="417"/>
      <c r="E51" s="29"/>
      <c r="F51" s="21"/>
      <c r="G51" s="21"/>
      <c r="H51" s="21"/>
      <c r="I51" s="21"/>
      <c r="J51" s="21"/>
      <c r="K51" s="21"/>
      <c r="L51" s="154" t="s">
        <v>2421</v>
      </c>
      <c r="M51" s="21" t="s">
        <v>2407</v>
      </c>
      <c r="N51" s="159" t="s">
        <v>2092</v>
      </c>
      <c r="O51" s="819" t="s">
        <v>728</v>
      </c>
      <c r="P51" s="21"/>
      <c r="Q51" s="154" t="s">
        <v>2421</v>
      </c>
      <c r="R51" s="151" t="s">
        <v>187</v>
      </c>
      <c r="S51" s="159" t="s">
        <v>147</v>
      </c>
      <c r="T51" s="21"/>
      <c r="U51" s="752" t="s">
        <v>3238</v>
      </c>
      <c r="V51" s="151" t="s">
        <v>239</v>
      </c>
      <c r="W51" s="159" t="s">
        <v>2201</v>
      </c>
      <c r="X51" s="21"/>
      <c r="Y51" s="756"/>
      <c r="Z51" s="496"/>
      <c r="AA51" s="94"/>
      <c r="AB51" s="21"/>
      <c r="AF51" s="21"/>
      <c r="AJ51" s="21"/>
      <c r="AK51" s="778" t="s">
        <v>4329</v>
      </c>
      <c r="AL51" s="590" t="s">
        <v>1763</v>
      </c>
      <c r="AM51" s="586" t="s">
        <v>2281</v>
      </c>
      <c r="AN51" s="21"/>
      <c r="AO51" s="777" t="s">
        <v>6179</v>
      </c>
      <c r="AP51" s="151" t="s">
        <v>5495</v>
      </c>
      <c r="AQ51" s="584" t="s">
        <v>2321</v>
      </c>
      <c r="AS51" s="21"/>
      <c r="AU51" s="234" t="s">
        <v>1385</v>
      </c>
      <c r="AV51" s="148" t="s">
        <v>211</v>
      </c>
      <c r="AW51" s="138" t="str">
        <f t="shared" si="47"/>
        <v>ДП ЛАДА A.2А/1</v>
      </c>
      <c r="AY51" s="224" t="s">
        <v>726</v>
      </c>
      <c r="AZ51" s="62" t="s">
        <v>1720</v>
      </c>
      <c r="BA51" s="139" t="str">
        <f t="shared" si="53"/>
        <v>ДП КУПАВА.4/1.купе</v>
      </c>
      <c r="BC51" s="432"/>
      <c r="BD51" s="222"/>
      <c r="BE51" s="223"/>
      <c r="BG51" s="146" t="s">
        <v>3350</v>
      </c>
      <c r="BH51" s="148" t="s">
        <v>330</v>
      </c>
      <c r="BI51" s="138" t="str">
        <f t="shared" si="57"/>
        <v>2-стулк.(120)</v>
      </c>
      <c r="BK51" s="234" t="s">
        <v>1386</v>
      </c>
      <c r="BL51" s="137" t="s">
        <v>62</v>
      </c>
      <c r="BM51" s="138" t="str">
        <f t="shared" si="40"/>
        <v>ДП ЛАДА D.LINE-3D</v>
      </c>
      <c r="BO51" s="746" t="s">
        <v>5074</v>
      </c>
      <c r="BP51" s="62" t="s">
        <v>60</v>
      </c>
      <c r="BQ51" s="139" t="str">
        <f>CONCATENATE(BO51,".",BP51)</f>
        <v>Е-шпонА.403 Дуб карп.</v>
      </c>
      <c r="BS51" s="133" t="s">
        <v>2351</v>
      </c>
      <c r="BT51" s="101" t="s">
        <v>4066</v>
      </c>
      <c r="BU51" s="135" t="str">
        <f t="shared" si="65"/>
        <v>ДП Геометрія.1/1.Сотове</v>
      </c>
      <c r="BW51" s="165" t="s">
        <v>722</v>
      </c>
      <c r="BX51" s="770" t="s">
        <v>3851</v>
      </c>
      <c r="BY51" s="138" t="str">
        <f t="shared" si="56"/>
        <v>ДП КУПАВА.2/1.Графіт</v>
      </c>
      <c r="CA51" s="146" t="s">
        <v>3184</v>
      </c>
      <c r="CB51" s="478" t="s">
        <v>4337</v>
      </c>
      <c r="CC51" s="239" t="str">
        <f>CONCATENATE(CA51,".",CB51)</f>
        <v>ДП СТАНДАРТ.б/з фальц.робоча.Magnet цл б/з завіс.</v>
      </c>
      <c r="CE51" s="146" t="s">
        <v>3239</v>
      </c>
      <c r="CF51" s="137"/>
      <c r="CG51" s="138" t="str">
        <f t="shared" si="59"/>
        <v>ДП Ідея.б/з фальц.робоча.</v>
      </c>
      <c r="CI51" s="145" t="s">
        <v>4337</v>
      </c>
      <c r="CJ51" s="134" t="s">
        <v>4827</v>
      </c>
      <c r="CK51" s="135" t="str">
        <f t="shared" ref="CK51:CK58" si="66">CONCATENATE(CI51,".",CJ51)</f>
        <v>Magnet цл б/з завіс..Ліва</v>
      </c>
      <c r="CM51" s="432"/>
      <c r="CN51" s="222"/>
      <c r="CO51" s="223"/>
      <c r="CY51" s="146" t="s">
        <v>869</v>
      </c>
      <c r="CZ51" s="137"/>
      <c r="DA51" s="138" t="s">
        <v>860</v>
      </c>
      <c r="DD51" s="108" t="s">
        <v>1907</v>
      </c>
      <c r="DE51" s="166">
        <v>4660</v>
      </c>
      <c r="DF51" s="528">
        <f t="shared" si="54"/>
        <v>4660</v>
      </c>
      <c r="DG51" s="526"/>
      <c r="DH51" s="530">
        <f t="shared" si="55"/>
        <v>4660</v>
      </c>
      <c r="DJ51" s="739" t="s">
        <v>4104</v>
      </c>
      <c r="DK51" s="164">
        <v>0</v>
      </c>
      <c r="DL51" s="531">
        <f t="shared" si="61"/>
        <v>0</v>
      </c>
      <c r="DM51" s="526"/>
      <c r="DN51" s="527">
        <f t="shared" si="62"/>
        <v>0</v>
      </c>
      <c r="DP51" s="738" t="s">
        <v>3861</v>
      </c>
      <c r="DQ51" s="166">
        <v>550</v>
      </c>
      <c r="DR51" s="522">
        <f t="shared" si="13"/>
        <v>550</v>
      </c>
      <c r="DS51" s="523"/>
      <c r="DT51" s="524">
        <f t="shared" si="14"/>
        <v>550</v>
      </c>
      <c r="DU51" s="166"/>
      <c r="DV51" s="738" t="s">
        <v>4328</v>
      </c>
      <c r="DW51" s="166">
        <v>800.00000000000011</v>
      </c>
      <c r="DX51" s="522">
        <f>ROUND(((DW51-(DW51/6))/$DD$3)*$DE$3,2)</f>
        <v>800</v>
      </c>
      <c r="DY51" s="523"/>
      <c r="DZ51" s="524">
        <f>IF(DY51="",DX51,
IF(AND($DW$10&gt;=VLOOKUP(DY51,$DV$5:$DZ$9,2,0),$DW$10&lt;=VLOOKUP(DY51,$DV$5:$DZ$9,3,0)),
(DX51*(1-VLOOKUP(DY51,$DV$5:$DZ$9,4,0))),
DX51))</f>
        <v>800</v>
      </c>
      <c r="EB51" s="162" t="s">
        <v>2592</v>
      </c>
      <c r="EC51" s="163">
        <v>0</v>
      </c>
      <c r="ED51" s="537">
        <f t="shared" si="49"/>
        <v>0</v>
      </c>
      <c r="EE51" s="529"/>
      <c r="EF51" s="530">
        <f t="shared" si="50"/>
        <v>0</v>
      </c>
      <c r="EG51" s="165"/>
      <c r="EH51" s="738" t="s">
        <v>3366</v>
      </c>
      <c r="EI51" s="166">
        <v>0</v>
      </c>
      <c r="EJ51" s="522">
        <f>ROUND(((EI51-(EI51/6))/$DD$3)*$DE$3,2)</f>
        <v>0</v>
      </c>
      <c r="EK51" s="523"/>
      <c r="EL51" s="524">
        <f>IF(EK51="",EJ51,
IF(AND($EI$10&gt;=VLOOKUP(EK51,$EH$5:$EL$9,2,0),$EI$10&lt;=VLOOKUP(EK51,$EH$5:$EL$9,3,0)),
(EJ51*(1-VLOOKUP(EK51,$EH$5:$EL$9,4,0))),
EJ51))</f>
        <v>0</v>
      </c>
    </row>
    <row r="52" spans="2:149" ht="10.8" thickBot="1">
      <c r="B52" s="30"/>
      <c r="C52" s="412" t="s">
        <v>550</v>
      </c>
      <c r="D52" s="418" t="s">
        <v>729</v>
      </c>
      <c r="E52" s="29"/>
      <c r="F52" s="21"/>
      <c r="G52" s="21"/>
      <c r="H52" s="21"/>
      <c r="I52" s="21"/>
      <c r="J52" s="21"/>
      <c r="K52" s="21"/>
      <c r="L52" s="154" t="s">
        <v>2422</v>
      </c>
      <c r="M52" s="21" t="s">
        <v>2407</v>
      </c>
      <c r="N52" s="159" t="s">
        <v>2092</v>
      </c>
      <c r="O52" s="819" t="s">
        <v>728</v>
      </c>
      <c r="P52" s="21"/>
      <c r="Q52" s="154" t="s">
        <v>2422</v>
      </c>
      <c r="R52" s="151" t="s">
        <v>188</v>
      </c>
      <c r="S52" s="159" t="s">
        <v>137</v>
      </c>
      <c r="T52" s="21"/>
      <c r="U52" s="752" t="s">
        <v>3240</v>
      </c>
      <c r="V52" s="151" t="s">
        <v>240</v>
      </c>
      <c r="W52" s="159" t="s">
        <v>2202</v>
      </c>
      <c r="X52" s="21"/>
      <c r="Y52" s="756"/>
      <c r="Z52" s="496"/>
      <c r="AA52" s="94"/>
      <c r="AB52" s="21"/>
      <c r="AF52" s="21"/>
      <c r="AJ52" s="21"/>
      <c r="AK52" s="777" t="s">
        <v>4332</v>
      </c>
      <c r="AL52" s="478" t="s">
        <v>1764</v>
      </c>
      <c r="AM52" s="584" t="s">
        <v>2282</v>
      </c>
      <c r="AN52" s="21"/>
      <c r="AO52" s="778" t="s">
        <v>6180</v>
      </c>
      <c r="AP52" s="152" t="s">
        <v>177</v>
      </c>
      <c r="AQ52" s="586" t="s">
        <v>2324</v>
      </c>
      <c r="AS52" s="21"/>
      <c r="AU52" s="234" t="s">
        <v>1385</v>
      </c>
      <c r="AV52" s="148" t="s">
        <v>876</v>
      </c>
      <c r="AW52" s="138" t="str">
        <f t="shared" si="47"/>
        <v>ДП ЛАДА A.3А/0</v>
      </c>
      <c r="AY52" s="432"/>
      <c r="AZ52" s="222"/>
      <c r="BA52" s="223"/>
      <c r="BC52" s="58" t="s">
        <v>1310</v>
      </c>
      <c r="BD52" s="56" t="s">
        <v>1810</v>
      </c>
      <c r="BE52" s="70" t="str">
        <f>CONCATENATE(BC52,".",BD52)</f>
        <v>шт..2050 мм</v>
      </c>
      <c r="BG52" s="146" t="s">
        <v>3350</v>
      </c>
      <c r="BH52" s="148" t="s">
        <v>331</v>
      </c>
      <c r="BI52" s="138" t="str">
        <f t="shared" si="57"/>
        <v>2-стулк.(130)</v>
      </c>
      <c r="BK52" s="224" t="s">
        <v>1386</v>
      </c>
      <c r="BL52" s="62" t="s">
        <v>5071</v>
      </c>
      <c r="BM52" s="139" t="str">
        <f t="shared" si="40"/>
        <v>ДП ЛАДА D.Е-шпон</v>
      </c>
      <c r="BO52" s="746" t="s">
        <v>5074</v>
      </c>
      <c r="BP52" s="62" t="s">
        <v>2060</v>
      </c>
      <c r="BQ52" s="139" t="str">
        <f>CONCATENATE(BO52,".",BP52)</f>
        <v>Е-шпонА.404 Дуб полярн.</v>
      </c>
      <c r="BS52" s="44" t="s">
        <v>2351</v>
      </c>
      <c r="BT52" s="254" t="s">
        <v>316</v>
      </c>
      <c r="BU52" s="139" t="str">
        <f t="shared" si="65"/>
        <v>ДП Геометрія.1/1.ДСП тр.</v>
      </c>
      <c r="BW52" s="108" t="s">
        <v>722</v>
      </c>
      <c r="BX52" s="248" t="s">
        <v>832</v>
      </c>
      <c r="BY52" s="139" t="str">
        <f t="shared" si="56"/>
        <v>ДП КУПАВА.2/1.Бронза</v>
      </c>
      <c r="CA52" s="146" t="s">
        <v>3184</v>
      </c>
      <c r="CB52" s="478" t="s">
        <v>4339</v>
      </c>
      <c r="CC52" s="239" t="str">
        <f>CONCATENATE(CA52,".",CB52)</f>
        <v>ДП СТАНДАРТ.б/з фальц.робоча.Magnet ст б/з завіс.</v>
      </c>
      <c r="CE52" s="146" t="s">
        <v>3239</v>
      </c>
      <c r="CF52" s="137" t="s">
        <v>4261</v>
      </c>
      <c r="CG52" s="138" t="str">
        <f t="shared" si="59"/>
        <v>ДП Ідея.б/з фальц.робоча.ВВ</v>
      </c>
      <c r="CI52" s="147" t="s">
        <v>4337</v>
      </c>
      <c r="CJ52" s="62" t="s">
        <v>4857</v>
      </c>
      <c r="CK52" s="139" t="str">
        <f t="shared" si="66"/>
        <v>Magnet цл б/з завіс..Права</v>
      </c>
      <c r="CM52" s="742" t="s">
        <v>3241</v>
      </c>
      <c r="CN52" s="137" t="s">
        <v>975</v>
      </c>
      <c r="CO52" s="138" t="str">
        <f t="shared" ref="CO52:CO58" si="67">CONCATENATE(CM52,".",CN52)</f>
        <v>ДП ГОРДАНА.фальц.робоча.Standard-MDF</v>
      </c>
      <c r="CY52" s="147" t="s">
        <v>870</v>
      </c>
      <c r="CZ52" s="62"/>
      <c r="DA52" s="139" t="s">
        <v>860</v>
      </c>
      <c r="DD52" s="636"/>
      <c r="DE52" s="637"/>
      <c r="DF52" s="638"/>
      <c r="DG52" s="639"/>
      <c r="DH52" s="640"/>
      <c r="DJ52" s="739" t="s">
        <v>4079</v>
      </c>
      <c r="DK52" s="164">
        <v>0</v>
      </c>
      <c r="DL52" s="525">
        <f t="shared" si="61"/>
        <v>0</v>
      </c>
      <c r="DM52" s="526"/>
      <c r="DN52" s="527">
        <f t="shared" si="62"/>
        <v>0</v>
      </c>
      <c r="DP52" s="108" t="s">
        <v>1819</v>
      </c>
      <c r="DQ52" s="164">
        <v>550</v>
      </c>
      <c r="DR52" s="525">
        <f t="shared" si="13"/>
        <v>550</v>
      </c>
      <c r="DS52" s="526"/>
      <c r="DT52" s="527">
        <f t="shared" si="14"/>
        <v>550</v>
      </c>
      <c r="DU52" s="166"/>
      <c r="DV52" s="739" t="s">
        <v>4331</v>
      </c>
      <c r="DW52" s="164">
        <v>800.00000000000011</v>
      </c>
      <c r="DX52" s="525">
        <f>ROUND(((DW52-(DW52/6))/$DD$3)*$DE$3,2)</f>
        <v>800</v>
      </c>
      <c r="DY52" s="526"/>
      <c r="DZ52" s="527">
        <f>IF(DY52="",DX52,
IF(AND($DW$10&gt;=VLOOKUP(DY52,$DV$5:$DZ$9,2,0),$DW$10&lt;=VLOOKUP(DY52,$DV$5:$DZ$9,3,0)),
(DX52*(1-VLOOKUP(DY52,$DV$5:$DZ$9,4,0))),
DX52))</f>
        <v>800</v>
      </c>
      <c r="EB52" s="738" t="s">
        <v>4275</v>
      </c>
      <c r="EC52" s="166">
        <v>250</v>
      </c>
      <c r="ED52" s="522">
        <f t="shared" si="49"/>
        <v>250</v>
      </c>
      <c r="EE52" s="523"/>
      <c r="EF52" s="524">
        <f t="shared" si="50"/>
        <v>250</v>
      </c>
      <c r="EG52" s="165"/>
      <c r="EH52" s="739" t="s">
        <v>3367</v>
      </c>
      <c r="EI52" s="164">
        <v>1190</v>
      </c>
      <c r="EJ52" s="531">
        <f>ROUND(((EI52-(EI52/6))/$DD$3)*$DE$3,2)</f>
        <v>1190</v>
      </c>
      <c r="EK52" s="526"/>
      <c r="EL52" s="527">
        <f>IF(EK52="",EJ52,
IF(AND($EI$10&gt;=VLOOKUP(EK52,$EH$5:$EL$9,2,0),$EI$10&lt;=VLOOKUP(EK52,$EH$5:$EL$9,3,0)),
(EJ52*(1-VLOOKUP(EK52,$EH$5:$EL$9,4,0))),
EJ52))</f>
        <v>1190</v>
      </c>
    </row>
    <row r="53" spans="2:149">
      <c r="B53" s="30"/>
      <c r="C53" s="255"/>
      <c r="D53" s="255"/>
      <c r="E53" s="29"/>
      <c r="F53" s="21"/>
      <c r="G53" s="21"/>
      <c r="H53" s="21"/>
      <c r="I53" s="21"/>
      <c r="J53" s="21"/>
      <c r="K53" s="21"/>
      <c r="L53" s="154" t="s">
        <v>2423</v>
      </c>
      <c r="M53" s="21" t="s">
        <v>2407</v>
      </c>
      <c r="N53" s="159" t="s">
        <v>2092</v>
      </c>
      <c r="O53" s="819" t="s">
        <v>728</v>
      </c>
      <c r="P53" s="21"/>
      <c r="Q53" s="154" t="s">
        <v>2423</v>
      </c>
      <c r="R53" s="151" t="s">
        <v>189</v>
      </c>
      <c r="S53" s="159" t="s">
        <v>148</v>
      </c>
      <c r="T53" s="21"/>
      <c r="U53" s="752" t="s">
        <v>3242</v>
      </c>
      <c r="V53" s="151" t="s">
        <v>241</v>
      </c>
      <c r="W53" s="159" t="s">
        <v>2203</v>
      </c>
      <c r="X53" s="21"/>
      <c r="Y53" s="756"/>
      <c r="Z53" s="496"/>
      <c r="AA53" s="94"/>
      <c r="AB53" s="21"/>
      <c r="AF53" s="21"/>
      <c r="AJ53" s="21"/>
      <c r="AK53" s="777" t="s">
        <v>4334</v>
      </c>
      <c r="AL53" s="478" t="s">
        <v>1765</v>
      </c>
      <c r="AM53" s="584" t="s">
        <v>2283</v>
      </c>
      <c r="AN53" s="21"/>
      <c r="AO53" s="478"/>
      <c r="AP53" s="478"/>
      <c r="AQ53" s="592"/>
      <c r="AS53" s="21"/>
      <c r="AU53" s="234" t="s">
        <v>1385</v>
      </c>
      <c r="AV53" s="148" t="s">
        <v>524</v>
      </c>
      <c r="AW53" s="138" t="str">
        <f t="shared" si="47"/>
        <v>ДП ЛАДА A.3А/1</v>
      </c>
      <c r="AY53" s="234" t="s">
        <v>2350</v>
      </c>
      <c r="AZ53" s="137" t="s">
        <v>1719</v>
      </c>
      <c r="BA53" s="138" t="str">
        <f t="shared" ref="BA53:BA79" si="68">CONCATENATE(AY53,".",AZ53)</f>
        <v>ДП Геометрія.1/0.фальц</v>
      </c>
      <c r="BC53" s="432"/>
      <c r="BD53" s="222"/>
      <c r="BE53" s="223"/>
      <c r="BG53" s="146" t="s">
        <v>3350</v>
      </c>
      <c r="BH53" s="148" t="s">
        <v>332</v>
      </c>
      <c r="BI53" s="138" t="str">
        <f t="shared" si="57"/>
        <v>2-стулк.(140)</v>
      </c>
      <c r="BK53" s="251" t="s">
        <v>2496</v>
      </c>
      <c r="BL53" s="134" t="s">
        <v>409</v>
      </c>
      <c r="BM53" s="135" t="str">
        <f t="shared" si="40"/>
        <v>ДП Ніка.Verto-Cell</v>
      </c>
      <c r="BO53" s="746" t="s">
        <v>5074</v>
      </c>
      <c r="BP53" s="62" t="s">
        <v>4064</v>
      </c>
      <c r="BQ53" s="139" t="str">
        <f>CONCATENATE(BO53,".",BP53)</f>
        <v>Е-шпонА.405 Дуб сільвер.</v>
      </c>
      <c r="BS53" s="133" t="s">
        <v>2352</v>
      </c>
      <c r="BT53" s="101" t="s">
        <v>4066</v>
      </c>
      <c r="BU53" s="135" t="str">
        <f t="shared" si="65"/>
        <v>ДП Геометрія.3/0.Сотове</v>
      </c>
      <c r="BW53" s="60" t="s">
        <v>723</v>
      </c>
      <c r="BX53" s="780" t="s">
        <v>4106</v>
      </c>
      <c r="BY53" s="70" t="str">
        <f t="shared" si="56"/>
        <v>ДП КУПАВА.3/0.(ні)</v>
      </c>
      <c r="CA53" s="146" t="s">
        <v>3184</v>
      </c>
      <c r="CB53" s="97"/>
      <c r="CC53" s="97"/>
      <c r="CE53" s="147" t="s">
        <v>3239</v>
      </c>
      <c r="CF53" s="62" t="s">
        <v>739</v>
      </c>
      <c r="CG53" s="139" t="str">
        <f t="shared" si="59"/>
        <v>ДП Ідея.б/з фальц.робоча.ВП</v>
      </c>
      <c r="CI53" s="145" t="s">
        <v>4339</v>
      </c>
      <c r="CJ53" s="134" t="s">
        <v>4827</v>
      </c>
      <c r="CK53" s="135" t="str">
        <f t="shared" si="66"/>
        <v>Magnet ст б/з завіс..Ліва</v>
      </c>
      <c r="CM53" s="742" t="s">
        <v>3241</v>
      </c>
      <c r="CN53" s="137" t="s">
        <v>840</v>
      </c>
      <c r="CO53" s="138" t="str">
        <f t="shared" si="67"/>
        <v>ДП ГОРДАНА.фальц.робоча.Standard</v>
      </c>
      <c r="CY53" s="146" t="s">
        <v>372</v>
      </c>
      <c r="CZ53" s="137"/>
      <c r="DA53" s="138" t="s">
        <v>860</v>
      </c>
      <c r="DD53" s="737" t="s">
        <v>4926</v>
      </c>
      <c r="DE53" s="163">
        <v>3550</v>
      </c>
      <c r="DF53" s="528">
        <f>ROUND(((DE53-(DE53/6))/$DD$3)*$DE$3,2)</f>
        <v>3550</v>
      </c>
      <c r="DG53" s="529"/>
      <c r="DH53" s="530">
        <f>IF(DG53="",DF53,
IF(AND($DE$10&gt;=VLOOKUP(DG53,$DD$5:$DH$9,2,0),$DE$10&lt;=VLOOKUP(DG53,$DD$5:$DH$9,3,0)),
(DF53*(1-VLOOKUP(DG53,$DD$5:$DH$9,4,0))),
DF53))</f>
        <v>3550</v>
      </c>
      <c r="DJ53" s="538"/>
      <c r="DK53" s="538"/>
      <c r="DL53" s="538"/>
      <c r="DM53" s="538"/>
      <c r="DN53" s="538"/>
      <c r="DP53" s="736" t="s">
        <v>4116</v>
      </c>
      <c r="DQ53" s="105">
        <v>0</v>
      </c>
      <c r="DR53" s="403">
        <f t="shared" si="13"/>
        <v>0</v>
      </c>
      <c r="DS53" s="514"/>
      <c r="DT53" s="511">
        <f t="shared" si="14"/>
        <v>0</v>
      </c>
      <c r="DU53" s="166"/>
      <c r="DV53" s="738" t="s">
        <v>6227</v>
      </c>
      <c r="DW53" s="166">
        <v>1</v>
      </c>
      <c r="DX53" s="522">
        <f t="shared" si="15"/>
        <v>1</v>
      </c>
      <c r="DY53" s="523"/>
      <c r="DZ53" s="524">
        <f t="shared" si="16"/>
        <v>1</v>
      </c>
      <c r="EB53" s="108" t="s">
        <v>2593</v>
      </c>
      <c r="EC53" s="164">
        <v>170</v>
      </c>
      <c r="ED53" s="531">
        <f t="shared" si="49"/>
        <v>170</v>
      </c>
      <c r="EE53" s="526"/>
      <c r="EF53" s="527">
        <f t="shared" si="50"/>
        <v>170</v>
      </c>
      <c r="EG53" s="165"/>
      <c r="EH53" s="738" t="s">
        <v>3368</v>
      </c>
      <c r="EI53" s="166">
        <v>0</v>
      </c>
      <c r="EJ53" s="522">
        <f>ROUND(((EI53-(EI53/6))/$DD$3)*$DE$3,2)</f>
        <v>0</v>
      </c>
      <c r="EK53" s="523"/>
      <c r="EL53" s="524">
        <f>IF(EK53="",EJ53,
IF(AND($EI$10&gt;=VLOOKUP(EK53,$EH$5:$EL$9,2,0),$EI$10&lt;=VLOOKUP(EK53,$EH$5:$EL$9,3,0)),
(EJ53*(1-VLOOKUP(EK53,$EH$5:$EL$9,4,0))),
EJ53))</f>
        <v>0</v>
      </c>
    </row>
    <row r="54" spans="2:149" ht="10.8" thickBot="1">
      <c r="B54" s="30"/>
      <c r="C54" s="96" t="s">
        <v>338</v>
      </c>
      <c r="D54" s="35" t="s">
        <v>727</v>
      </c>
      <c r="E54" s="29"/>
      <c r="F54" s="21"/>
      <c r="G54" s="21"/>
      <c r="H54" s="21"/>
      <c r="I54" s="21"/>
      <c r="J54" s="21"/>
      <c r="K54" s="21"/>
      <c r="L54" s="154" t="s">
        <v>2424</v>
      </c>
      <c r="M54" s="21" t="s">
        <v>2407</v>
      </c>
      <c r="N54" s="159" t="s">
        <v>2092</v>
      </c>
      <c r="O54" s="819" t="s">
        <v>728</v>
      </c>
      <c r="P54" s="21"/>
      <c r="Q54" s="154" t="s">
        <v>2424</v>
      </c>
      <c r="R54" s="151" t="s">
        <v>201</v>
      </c>
      <c r="S54" s="159" t="s">
        <v>149</v>
      </c>
      <c r="T54" s="21"/>
      <c r="U54" s="752" t="s">
        <v>3243</v>
      </c>
      <c r="V54" s="151" t="s">
        <v>242</v>
      </c>
      <c r="W54" s="159" t="s">
        <v>2204</v>
      </c>
      <c r="X54" s="21"/>
      <c r="Y54" s="565"/>
      <c r="Z54" s="579"/>
      <c r="AA54" s="554"/>
      <c r="AB54" s="21"/>
      <c r="AF54" s="21"/>
      <c r="AJ54" s="21"/>
      <c r="AK54" s="777" t="s">
        <v>6100</v>
      </c>
      <c r="AL54" s="478" t="s">
        <v>6452</v>
      </c>
      <c r="AM54" s="584" t="s">
        <v>6098</v>
      </c>
      <c r="AN54" s="21"/>
      <c r="AO54" s="590"/>
      <c r="AP54" s="590"/>
      <c r="AQ54" s="584"/>
      <c r="AS54" s="21"/>
      <c r="AU54" s="234" t="s">
        <v>1385</v>
      </c>
      <c r="AV54" s="148" t="s">
        <v>668</v>
      </c>
      <c r="AW54" s="138" t="str">
        <f t="shared" si="47"/>
        <v>ДП ЛАДА A.3А/2</v>
      </c>
      <c r="AY54" s="234" t="s">
        <v>2350</v>
      </c>
      <c r="AZ54" s="137" t="s">
        <v>1721</v>
      </c>
      <c r="BA54" s="138" t="str">
        <f t="shared" si="68"/>
        <v>ДП Геометрія.1/0.б/з фальц</v>
      </c>
      <c r="BC54" s="40"/>
      <c r="BD54" s="41"/>
      <c r="BE54" s="70"/>
      <c r="BG54" s="146" t="s">
        <v>3350</v>
      </c>
      <c r="BH54" s="148" t="s">
        <v>333</v>
      </c>
      <c r="BI54" s="138" t="str">
        <f t="shared" si="57"/>
        <v>2-стулк.(150)</v>
      </c>
      <c r="BK54" s="250" t="s">
        <v>2496</v>
      </c>
      <c r="BL54" s="137"/>
      <c r="BM54" s="138" t="str">
        <f t="shared" si="40"/>
        <v>ДП Ніка.</v>
      </c>
      <c r="BO54" s="746" t="s">
        <v>5071</v>
      </c>
      <c r="BP54" s="134" t="s">
        <v>4062</v>
      </c>
      <c r="BQ54" s="135" t="str">
        <f t="shared" si="60"/>
        <v>Е-шпон.401 Акація мед.</v>
      </c>
      <c r="BS54" s="44" t="s">
        <v>2352</v>
      </c>
      <c r="BT54" s="254" t="s">
        <v>316</v>
      </c>
      <c r="BU54" s="139" t="str">
        <f t="shared" si="65"/>
        <v>ДП Геометрія.3/0.ДСП тр.</v>
      </c>
      <c r="BW54" s="162" t="s">
        <v>724</v>
      </c>
      <c r="BX54" s="246" t="s">
        <v>459</v>
      </c>
      <c r="BY54" s="135" t="str">
        <f t="shared" si="56"/>
        <v>ДП КУПАВА.3/1.Кризет</v>
      </c>
      <c r="CA54" s="146" t="s">
        <v>3184</v>
      </c>
      <c r="CB54" s="478" t="s">
        <v>4343</v>
      </c>
      <c r="CC54" s="239" t="str">
        <f>CONCATENATE(CA54,".",CB54)</f>
        <v>ДП СТАНДАРТ.б/з фальц.робоча.Magnet цл +2завіс 3D</v>
      </c>
      <c r="CE54" s="742" t="s">
        <v>3244</v>
      </c>
      <c r="CF54" s="137"/>
      <c r="CG54" s="138" t="str">
        <f t="shared" si="59"/>
        <v>ДП Ідея.купе.робоча.</v>
      </c>
      <c r="CI54" s="147" t="s">
        <v>4339</v>
      </c>
      <c r="CJ54" s="62" t="s">
        <v>4857</v>
      </c>
      <c r="CK54" s="139" t="str">
        <f t="shared" si="66"/>
        <v>Magnet ст б/з завіс..Права</v>
      </c>
      <c r="CM54" s="742" t="s">
        <v>3241</v>
      </c>
      <c r="CN54" s="137" t="s">
        <v>841</v>
      </c>
      <c r="CO54" s="138" t="str">
        <f t="shared" si="67"/>
        <v>ДП ГОРДАНА.фальц.робоча.Verto-FIT</v>
      </c>
      <c r="CY54" s="146" t="s">
        <v>373</v>
      </c>
      <c r="CZ54" s="137"/>
      <c r="DA54" s="138" t="s">
        <v>860</v>
      </c>
      <c r="DD54" s="738" t="s">
        <v>4927</v>
      </c>
      <c r="DE54" s="163">
        <v>3550</v>
      </c>
      <c r="DF54" s="528">
        <f t="shared" ref="DF54:DF92" si="69">ROUND(((DE54-(DE54/6))/$DD$3)*$DE$3,2)</f>
        <v>3550</v>
      </c>
      <c r="DG54" s="523"/>
      <c r="DH54" s="530">
        <f t="shared" ref="DH54:DH117" si="70">IF(DG54="",DF54,
IF(AND($DE$10&gt;=VLOOKUP(DG54,$DD$5:$DH$9,2,0),$DE$10&lt;=VLOOKUP(DG54,$DD$5:$DH$9,3,0)),
(DF54*(1-VLOOKUP(DG54,$DD$5:$DH$9,4,0))),
DF54))</f>
        <v>3550</v>
      </c>
      <c r="DJ54" s="737" t="s">
        <v>4077</v>
      </c>
      <c r="DK54" s="163">
        <v>0</v>
      </c>
      <c r="DL54" s="537">
        <f>ROUND(((DK54-(DK54/6))/$DD$3)*$DE$3,2)</f>
        <v>0</v>
      </c>
      <c r="DM54" s="529"/>
      <c r="DN54" s="530">
        <f>IF(DM54="",DL54,
IF(AND($DK$10&gt;=VLOOKUP(DM54,$DJ$5:$DN$9,2,0),$DK$10&lt;=VLOOKUP(DM54,$DJ$5:$DN$9,3,0)),
(DL54*(1-VLOOKUP(DM54,$DJ$5:$DN$9,4,0))),
DL54))</f>
        <v>0</v>
      </c>
      <c r="DP54" s="162" t="s">
        <v>819</v>
      </c>
      <c r="DQ54" s="163">
        <v>0</v>
      </c>
      <c r="DR54" s="528">
        <f t="shared" si="13"/>
        <v>0</v>
      </c>
      <c r="DS54" s="529"/>
      <c r="DT54" s="530">
        <f t="shared" si="14"/>
        <v>0</v>
      </c>
      <c r="DU54" s="166"/>
      <c r="DV54" s="738" t="s">
        <v>6228</v>
      </c>
      <c r="DW54" s="166">
        <v>1</v>
      </c>
      <c r="DX54" s="522">
        <f t="shared" si="15"/>
        <v>1</v>
      </c>
      <c r="DY54" s="523"/>
      <c r="DZ54" s="524">
        <f t="shared" si="16"/>
        <v>1</v>
      </c>
      <c r="EB54" s="165" t="s">
        <v>895</v>
      </c>
      <c r="EC54" s="166">
        <v>0</v>
      </c>
      <c r="ED54" s="522">
        <f t="shared" si="49"/>
        <v>0</v>
      </c>
      <c r="EE54" s="523"/>
      <c r="EF54" s="530">
        <f t="shared" si="50"/>
        <v>0</v>
      </c>
      <c r="EG54" s="165"/>
      <c r="EH54" s="739" t="s">
        <v>3369</v>
      </c>
      <c r="EI54" s="164">
        <v>1380</v>
      </c>
      <c r="EJ54" s="531">
        <f>ROUND(((EI54-(EI54/6))/$DD$3)*$DE$3,2)</f>
        <v>1380</v>
      </c>
      <c r="EK54" s="526"/>
      <c r="EL54" s="527">
        <f>IF(EK54="",EJ54,
IF(AND($EI$10&gt;=VLOOKUP(EK54,$EH$5:$EL$9,2,0),$EI$10&lt;=VLOOKUP(EK54,$EH$5:$EL$9,3,0)),
(EJ54*(1-VLOOKUP(EK54,$EH$5:$EL$9,4,0))),
EJ54))</f>
        <v>1380</v>
      </c>
    </row>
    <row r="55" spans="2:149">
      <c r="B55" s="30"/>
      <c r="C55" s="409" t="s">
        <v>553</v>
      </c>
      <c r="D55" s="419" t="s">
        <v>729</v>
      </c>
      <c r="E55" s="29"/>
      <c r="F55" s="21"/>
      <c r="G55" s="21"/>
      <c r="H55" s="21"/>
      <c r="I55" s="21"/>
      <c r="J55" s="21"/>
      <c r="K55" s="21"/>
      <c r="L55" s="154" t="s">
        <v>2425</v>
      </c>
      <c r="M55" s="21" t="s">
        <v>2407</v>
      </c>
      <c r="N55" s="159" t="s">
        <v>2092</v>
      </c>
      <c r="O55" s="819" t="s">
        <v>728</v>
      </c>
      <c r="P55" s="21"/>
      <c r="Q55" s="154" t="s">
        <v>2425</v>
      </c>
      <c r="R55" s="151" t="s">
        <v>202</v>
      </c>
      <c r="S55" s="159" t="s">
        <v>150</v>
      </c>
      <c r="T55" s="21"/>
      <c r="U55" s="750" t="s">
        <v>3245</v>
      </c>
      <c r="V55" s="152" t="s">
        <v>243</v>
      </c>
      <c r="W55" s="160" t="s">
        <v>2213</v>
      </c>
      <c r="X55" s="21"/>
      <c r="AB55" s="21"/>
      <c r="AF55" s="21"/>
      <c r="AJ55" s="21"/>
      <c r="AK55" s="777" t="s">
        <v>6101</v>
      </c>
      <c r="AL55" s="478" t="s">
        <v>6453</v>
      </c>
      <c r="AM55" s="584" t="s">
        <v>6099</v>
      </c>
      <c r="AN55" s="21"/>
      <c r="AO55" s="593"/>
      <c r="AP55" s="577"/>
      <c r="AQ55" s="594"/>
      <c r="AU55" s="234" t="s">
        <v>1385</v>
      </c>
      <c r="AV55" s="148" t="s">
        <v>878</v>
      </c>
      <c r="AW55" s="138" t="str">
        <f t="shared" si="47"/>
        <v>ДП ЛАДА A.8/0</v>
      </c>
      <c r="AY55" s="224" t="s">
        <v>2350</v>
      </c>
      <c r="AZ55" s="62" t="s">
        <v>1720</v>
      </c>
      <c r="BA55" s="139" t="str">
        <f t="shared" si="68"/>
        <v>ДП Геометрія.1/0.купе</v>
      </c>
      <c r="BC55" s="49"/>
      <c r="BD55" s="41"/>
      <c r="BE55" s="70"/>
      <c r="BG55" s="146" t="s">
        <v>3350</v>
      </c>
      <c r="BH55" s="148" t="s">
        <v>334</v>
      </c>
      <c r="BI55" s="138" t="str">
        <f t="shared" si="57"/>
        <v>2-стулк.(160)</v>
      </c>
      <c r="BK55" s="250" t="s">
        <v>2496</v>
      </c>
      <c r="BL55" s="137" t="s">
        <v>1894</v>
      </c>
      <c r="BM55" s="138" t="str">
        <f>CONCATENATE(BK55,".",BL55)</f>
        <v>ДП Ніка.Uni-Mat.</v>
      </c>
      <c r="BO55" s="742" t="s">
        <v>5071</v>
      </c>
      <c r="BP55" s="137" t="s">
        <v>4063</v>
      </c>
      <c r="BQ55" s="138" t="str">
        <f t="shared" si="60"/>
        <v>Е-шпон.402 Акація св.</v>
      </c>
      <c r="BS55" s="133" t="s">
        <v>2353</v>
      </c>
      <c r="BT55" s="101" t="s">
        <v>4066</v>
      </c>
      <c r="BU55" s="135" t="str">
        <f t="shared" si="65"/>
        <v>ДП Геометрія.3/3.Сотове</v>
      </c>
      <c r="BW55" s="165" t="s">
        <v>724</v>
      </c>
      <c r="BX55" s="247" t="s">
        <v>458</v>
      </c>
      <c r="BY55" s="138" t="str">
        <f>CONCATENATE(BW55,".",BX55)</f>
        <v>ДП КУПАВА.3/1.Сатин</v>
      </c>
      <c r="CA55" s="146" t="s">
        <v>3184</v>
      </c>
      <c r="CB55" s="478" t="s">
        <v>4347</v>
      </c>
      <c r="CC55" s="239" t="str">
        <f>CONCATENATE(CA55,".",CB55)</f>
        <v>ДП СТАНДАРТ.б/з фальц.робоча.Magnet ст +2завіс 3D</v>
      </c>
      <c r="CE55" s="424" t="s">
        <v>3244</v>
      </c>
      <c r="CF55" s="62" t="s">
        <v>4261</v>
      </c>
      <c r="CG55" s="139" t="str">
        <f t="shared" si="59"/>
        <v>ДП Ідея.купе.робоча.ВВ</v>
      </c>
      <c r="CI55" s="145" t="s">
        <v>6211</v>
      </c>
      <c r="CJ55" s="134" t="s">
        <v>4827</v>
      </c>
      <c r="CK55" s="135" t="str">
        <f t="shared" si="66"/>
        <v>Magnet цл (чор.) б/з завіс..Ліва</v>
      </c>
      <c r="CM55" s="424" t="s">
        <v>3241</v>
      </c>
      <c r="CN55" s="62" t="s">
        <v>371</v>
      </c>
      <c r="CO55" s="139" t="str">
        <f t="shared" si="67"/>
        <v>ДП ГОРДАНА.фальц.робоча.Verto-FIT Plus</v>
      </c>
      <c r="CY55" s="146" t="s">
        <v>374</v>
      </c>
      <c r="CZ55" s="137"/>
      <c r="DA55" s="138" t="s">
        <v>860</v>
      </c>
      <c r="DD55" s="738" t="s">
        <v>4928</v>
      </c>
      <c r="DE55" s="166">
        <v>3850</v>
      </c>
      <c r="DF55" s="528">
        <f t="shared" si="69"/>
        <v>3850</v>
      </c>
      <c r="DG55" s="523"/>
      <c r="DH55" s="530">
        <f t="shared" si="70"/>
        <v>3850</v>
      </c>
      <c r="DJ55" s="739" t="s">
        <v>3011</v>
      </c>
      <c r="DK55" s="164">
        <v>930</v>
      </c>
      <c r="DL55" s="531">
        <f>ROUND(((DK55-(DK55/6))/$DD$3)*$DE$3,2)</f>
        <v>930</v>
      </c>
      <c r="DM55" s="526"/>
      <c r="DN55" s="527">
        <f>IF(DM55="",DL55,
IF(AND($DK$10&gt;=VLOOKUP(DM55,$DJ$5:$DN$9,2,0),$DK$10&lt;=VLOOKUP(DM55,$DJ$5:$DN$9,3,0)),
(DL55*(1-VLOOKUP(DM55,$DJ$5:$DN$9,4,0))),
DL55))</f>
        <v>930</v>
      </c>
      <c r="DP55" s="165" t="s">
        <v>820</v>
      </c>
      <c r="DQ55" s="166">
        <v>340</v>
      </c>
      <c r="DR55" s="522">
        <f>ROUND(((DQ55-(DQ55/6))/$DD$3)*$DE$3,2)</f>
        <v>340</v>
      </c>
      <c r="DS55" s="523"/>
      <c r="DT55" s="524">
        <f>IF(DS55="",DR55,
IF(AND($DQ$10&gt;=VLOOKUP(DS55,$DP$5:$DT$9,2,0),$DQ$10&lt;=VLOOKUP(DS55,$DP$5:$DT$9,3,0)),
(DR55*(1-VLOOKUP(DS55,$DP$5:$DT$9,4,0))),
DR55))</f>
        <v>340</v>
      </c>
      <c r="DU55" s="166"/>
      <c r="DV55" s="738" t="s">
        <v>6229</v>
      </c>
      <c r="DW55" s="166">
        <v>1</v>
      </c>
      <c r="DX55" s="522">
        <f t="shared" si="15"/>
        <v>1</v>
      </c>
      <c r="DY55" s="523"/>
      <c r="DZ55" s="524">
        <f t="shared" si="16"/>
        <v>1</v>
      </c>
      <c r="EB55" s="738" t="s">
        <v>4276</v>
      </c>
      <c r="EC55" s="166">
        <v>250</v>
      </c>
      <c r="ED55" s="522">
        <f t="shared" si="49"/>
        <v>250</v>
      </c>
      <c r="EE55" s="523"/>
      <c r="EF55" s="524">
        <f t="shared" si="50"/>
        <v>250</v>
      </c>
      <c r="EG55" s="165"/>
      <c r="EH55" s="738" t="s">
        <v>3370</v>
      </c>
      <c r="EI55" s="166">
        <v>0</v>
      </c>
      <c r="EJ55" s="522">
        <f t="shared" si="63"/>
        <v>0</v>
      </c>
      <c r="EK55" s="523"/>
      <c r="EL55" s="524">
        <f t="shared" si="64"/>
        <v>0</v>
      </c>
    </row>
    <row r="56" spans="2:149" ht="10.8" thickBot="1">
      <c r="B56" s="30"/>
      <c r="C56" s="412" t="s">
        <v>554</v>
      </c>
      <c r="D56" s="418" t="s">
        <v>729</v>
      </c>
      <c r="E56" s="29"/>
      <c r="F56" s="21"/>
      <c r="G56" s="21"/>
      <c r="H56" s="21"/>
      <c r="I56" s="21"/>
      <c r="J56" s="21"/>
      <c r="K56" s="21"/>
      <c r="L56" s="154" t="s">
        <v>2426</v>
      </c>
      <c r="M56" s="21" t="s">
        <v>2407</v>
      </c>
      <c r="N56" s="159" t="s">
        <v>2092</v>
      </c>
      <c r="O56" s="819" t="s">
        <v>728</v>
      </c>
      <c r="P56" s="21"/>
      <c r="Q56" s="154" t="s">
        <v>2426</v>
      </c>
      <c r="R56" s="151" t="s">
        <v>205</v>
      </c>
      <c r="S56" s="159" t="s">
        <v>1004</v>
      </c>
      <c r="T56" s="21"/>
      <c r="U56" s="752" t="s">
        <v>3246</v>
      </c>
      <c r="V56" s="151" t="s">
        <v>1729</v>
      </c>
      <c r="W56" s="159" t="s">
        <v>2205</v>
      </c>
      <c r="X56" s="21"/>
      <c r="AB56" s="21"/>
      <c r="AF56" s="21"/>
      <c r="AJ56" s="21"/>
      <c r="AK56" s="591"/>
      <c r="AL56" s="475"/>
      <c r="AM56" s="592"/>
      <c r="AN56" s="21"/>
      <c r="AO56" s="583"/>
      <c r="AP56" s="478"/>
      <c r="AQ56" s="584"/>
      <c r="AU56" s="234" t="s">
        <v>1385</v>
      </c>
      <c r="AV56" s="148" t="s">
        <v>658</v>
      </c>
      <c r="AW56" s="138" t="str">
        <f t="shared" si="47"/>
        <v>ДП ЛАДА A.8/1</v>
      </c>
      <c r="AY56" s="234" t="s">
        <v>2351</v>
      </c>
      <c r="AZ56" s="137" t="s">
        <v>1719</v>
      </c>
      <c r="BA56" s="138" t="str">
        <f t="shared" si="68"/>
        <v>ДП Геометрія.1/1.фальц</v>
      </c>
      <c r="BC56" s="49"/>
      <c r="BD56" s="41"/>
      <c r="BE56" s="70"/>
      <c r="BG56" s="146" t="s">
        <v>3350</v>
      </c>
      <c r="BH56" s="148" t="s">
        <v>335</v>
      </c>
      <c r="BI56" s="138" t="str">
        <f t="shared" si="57"/>
        <v>2-стулк.(170)</v>
      </c>
      <c r="BK56" s="250" t="s">
        <v>2496</v>
      </c>
      <c r="BL56" s="137" t="s">
        <v>557</v>
      </c>
      <c r="BM56" s="138" t="str">
        <f t="shared" si="40"/>
        <v>ДП Ніка.Резист</v>
      </c>
      <c r="BO56" s="424" t="s">
        <v>5071</v>
      </c>
      <c r="BP56" s="62" t="s">
        <v>60</v>
      </c>
      <c r="BQ56" s="139" t="str">
        <f t="shared" si="60"/>
        <v>Е-шпон.403 Дуб карп.</v>
      </c>
      <c r="BS56" s="44" t="s">
        <v>2353</v>
      </c>
      <c r="BT56" s="254" t="s">
        <v>316</v>
      </c>
      <c r="BU56" s="139" t="str">
        <f t="shared" si="65"/>
        <v>ДП Геометрія.3/3.ДСП тр.</v>
      </c>
      <c r="BW56" s="165" t="s">
        <v>724</v>
      </c>
      <c r="BX56" s="770" t="s">
        <v>3851</v>
      </c>
      <c r="BY56" s="138" t="str">
        <f t="shared" si="56"/>
        <v>ДП КУПАВА.3/1.Графіт</v>
      </c>
      <c r="CA56" s="146" t="s">
        <v>3184</v>
      </c>
      <c r="CB56" s="97"/>
      <c r="CC56" s="97"/>
      <c r="CE56" s="228"/>
      <c r="CF56" s="222"/>
      <c r="CG56" s="223"/>
      <c r="CI56" s="147" t="s">
        <v>6211</v>
      </c>
      <c r="CJ56" s="62" t="s">
        <v>4857</v>
      </c>
      <c r="CK56" s="139" t="str">
        <f t="shared" si="66"/>
        <v>Magnet цл (чор.) б/з завіс..Права</v>
      </c>
      <c r="CM56" s="424" t="s">
        <v>3247</v>
      </c>
      <c r="CN56" s="62" t="s">
        <v>4106</v>
      </c>
      <c r="CO56" s="70" t="str">
        <f t="shared" si="67"/>
        <v>ДП ГОРДАНА.фальц.неробоча.(ні)</v>
      </c>
      <c r="CY56" s="146" t="s">
        <v>375</v>
      </c>
      <c r="CZ56" s="137"/>
      <c r="DA56" s="138" t="s">
        <v>860</v>
      </c>
      <c r="DD56" s="738" t="s">
        <v>4929</v>
      </c>
      <c r="DE56" s="166">
        <v>3850</v>
      </c>
      <c r="DF56" s="528">
        <f t="shared" si="69"/>
        <v>3850</v>
      </c>
      <c r="DG56" s="523"/>
      <c r="DH56" s="530">
        <f t="shared" si="70"/>
        <v>3850</v>
      </c>
      <c r="DJ56" s="739" t="s">
        <v>4105</v>
      </c>
      <c r="DK56" s="164">
        <v>0</v>
      </c>
      <c r="DL56" s="525">
        <f>ROUND(((DK56-(DK56/6))/$DD$3)*$DE$3,2)</f>
        <v>0</v>
      </c>
      <c r="DM56" s="526"/>
      <c r="DN56" s="527">
        <f>IF(DM56="",DL56,
IF(AND($DK$10&gt;=VLOOKUP(DM56,$DJ$5:$DN$9,2,0),$DK$10&lt;=VLOOKUP(DM56,$DJ$5:$DN$9,3,0)),
(DL56*(1-VLOOKUP(DM56,$DJ$5:$DN$9,4,0))),
DL56))</f>
        <v>0</v>
      </c>
      <c r="DP56" s="738" t="s">
        <v>3862</v>
      </c>
      <c r="DQ56" s="166">
        <v>550</v>
      </c>
      <c r="DR56" s="522">
        <f t="shared" si="13"/>
        <v>550</v>
      </c>
      <c r="DS56" s="523"/>
      <c r="DT56" s="524">
        <f t="shared" si="14"/>
        <v>550</v>
      </c>
      <c r="DU56" s="166"/>
      <c r="DV56" s="739" t="s">
        <v>6230</v>
      </c>
      <c r="DW56" s="164">
        <v>1</v>
      </c>
      <c r="DX56" s="525">
        <f t="shared" si="15"/>
        <v>1</v>
      </c>
      <c r="DY56" s="526"/>
      <c r="DZ56" s="527">
        <f t="shared" si="16"/>
        <v>1</v>
      </c>
      <c r="EB56" s="108" t="s">
        <v>998</v>
      </c>
      <c r="EC56" s="164">
        <v>170</v>
      </c>
      <c r="ED56" s="531">
        <f t="shared" si="49"/>
        <v>170</v>
      </c>
      <c r="EE56" s="526"/>
      <c r="EF56" s="527">
        <f t="shared" si="50"/>
        <v>170</v>
      </c>
      <c r="EG56" s="165"/>
      <c r="EH56" s="739" t="s">
        <v>3371</v>
      </c>
      <c r="EI56" s="164">
        <v>1420</v>
      </c>
      <c r="EJ56" s="531">
        <f t="shared" si="63"/>
        <v>1420</v>
      </c>
      <c r="EK56" s="526"/>
      <c r="EL56" s="527">
        <f t="shared" si="64"/>
        <v>1420</v>
      </c>
    </row>
    <row r="57" spans="2:149">
      <c r="B57" s="30"/>
      <c r="C57" s="255"/>
      <c r="D57" s="255"/>
      <c r="E57" s="29"/>
      <c r="F57" s="21"/>
      <c r="G57" s="21"/>
      <c r="H57" s="21"/>
      <c r="I57" s="21"/>
      <c r="J57" s="21"/>
      <c r="K57" s="21"/>
      <c r="L57" s="154" t="s">
        <v>2427</v>
      </c>
      <c r="M57" s="21" t="s">
        <v>2407</v>
      </c>
      <c r="N57" s="159" t="s">
        <v>2092</v>
      </c>
      <c r="O57" s="819" t="s">
        <v>728</v>
      </c>
      <c r="P57" s="21"/>
      <c r="Q57" s="154" t="s">
        <v>2427</v>
      </c>
      <c r="R57" s="151" t="s">
        <v>208</v>
      </c>
      <c r="S57" s="159" t="s">
        <v>1007</v>
      </c>
      <c r="T57" s="21"/>
      <c r="U57" s="752" t="s">
        <v>3248</v>
      </c>
      <c r="V57" s="151" t="s">
        <v>1730</v>
      </c>
      <c r="W57" s="159" t="s">
        <v>2206</v>
      </c>
      <c r="X57" s="21"/>
      <c r="AB57" s="21"/>
      <c r="AF57" s="21"/>
      <c r="AJ57" s="21"/>
      <c r="AK57" s="789" t="s">
        <v>5692</v>
      </c>
      <c r="AL57" s="477" t="s">
        <v>175</v>
      </c>
      <c r="AM57" s="589" t="s">
        <v>5693</v>
      </c>
      <c r="AN57" s="21"/>
      <c r="AO57" s="777" t="s">
        <v>4836</v>
      </c>
      <c r="AP57" s="151" t="s">
        <v>5495</v>
      </c>
      <c r="AQ57" s="584" t="s">
        <v>2321</v>
      </c>
      <c r="AU57" s="234" t="s">
        <v>1385</v>
      </c>
      <c r="AV57" s="148" t="s">
        <v>879</v>
      </c>
      <c r="AW57" s="138" t="str">
        <f t="shared" si="47"/>
        <v>ДП ЛАДА A.8/2</v>
      </c>
      <c r="AY57" s="234" t="s">
        <v>2351</v>
      </c>
      <c r="AZ57" s="137" t="s">
        <v>1721</v>
      </c>
      <c r="BA57" s="138" t="str">
        <f t="shared" si="68"/>
        <v>ДП Геометрія.1/1.б/з фальц</v>
      </c>
      <c r="BC57" s="49"/>
      <c r="BD57" s="41"/>
      <c r="BE57" s="70"/>
      <c r="BG57" s="147" t="s">
        <v>3350</v>
      </c>
      <c r="BH57" s="149" t="s">
        <v>336</v>
      </c>
      <c r="BI57" s="139" t="str">
        <f t="shared" si="57"/>
        <v>2-стулк.(180)</v>
      </c>
      <c r="BK57" s="250" t="s">
        <v>2496</v>
      </c>
      <c r="BL57" s="137" t="s">
        <v>62</v>
      </c>
      <c r="BM57" s="138" t="str">
        <f t="shared" si="40"/>
        <v>ДП Ніка.LINE-3D</v>
      </c>
      <c r="BO57" s="424" t="s">
        <v>5071</v>
      </c>
      <c r="BP57" s="62" t="s">
        <v>2060</v>
      </c>
      <c r="BQ57" s="139" t="str">
        <f t="shared" ref="BQ57:BQ68" si="71">CONCATENATE(BO57,".",BP57)</f>
        <v>Е-шпон.404 Дуб полярн.</v>
      </c>
      <c r="BS57" s="133" t="s">
        <v>2354</v>
      </c>
      <c r="BT57" s="101" t="s">
        <v>4066</v>
      </c>
      <c r="BU57" s="135" t="str">
        <f t="shared" si="65"/>
        <v>ДП Геометрія.4/0.Сотове</v>
      </c>
      <c r="BW57" s="108" t="s">
        <v>724</v>
      </c>
      <c r="BX57" s="248" t="s">
        <v>832</v>
      </c>
      <c r="BY57" s="139" t="str">
        <f t="shared" si="56"/>
        <v>ДП КУПАВА.3/1.Бронза</v>
      </c>
      <c r="CA57" s="146" t="s">
        <v>3184</v>
      </c>
      <c r="CB57" s="478" t="s">
        <v>4349</v>
      </c>
      <c r="CC57" s="239" t="str">
        <f>CONCATENATE(CA57,".",CB57)</f>
        <v>ДП СТАНДАРТ.б/з фальц.робоча.Magnet цл +3завіс 3D</v>
      </c>
      <c r="CE57" s="742" t="s">
        <v>3249</v>
      </c>
      <c r="CF57" s="137"/>
      <c r="CG57" s="138" t="str">
        <f t="shared" ref="CG57:CG67" si="72">CONCATENATE(CE57,".",CF57)</f>
        <v>ДП Ідея-ЛОФТ.фальц.робоча.</v>
      </c>
      <c r="CI57" s="145" t="s">
        <v>6208</v>
      </c>
      <c r="CJ57" s="134" t="s">
        <v>4827</v>
      </c>
      <c r="CK57" s="135" t="str">
        <f t="shared" si="66"/>
        <v>Magnet ст (чор.) б/з завіс..Ліва</v>
      </c>
      <c r="CM57" s="86" t="s">
        <v>3250</v>
      </c>
      <c r="CN57" s="56" t="s">
        <v>941</v>
      </c>
      <c r="CO57" s="70" t="str">
        <f t="shared" si="67"/>
        <v>ДП ГОРДАНА.б/з фальц.робоча.Verto-FIT Comfort</v>
      </c>
      <c r="CY57" s="147" t="s">
        <v>376</v>
      </c>
      <c r="CZ57" s="62"/>
      <c r="DA57" s="139" t="s">
        <v>860</v>
      </c>
      <c r="DD57" s="738" t="s">
        <v>4930</v>
      </c>
      <c r="DE57" s="166">
        <v>3850</v>
      </c>
      <c r="DF57" s="528">
        <f t="shared" si="69"/>
        <v>3850</v>
      </c>
      <c r="DG57" s="523"/>
      <c r="DH57" s="530">
        <f t="shared" si="70"/>
        <v>3850</v>
      </c>
      <c r="DJ57" s="538"/>
      <c r="DK57" s="538"/>
      <c r="DL57" s="538"/>
      <c r="DM57" s="538"/>
      <c r="DN57" s="538"/>
      <c r="DP57" s="108" t="s">
        <v>1820</v>
      </c>
      <c r="DQ57" s="164">
        <v>550</v>
      </c>
      <c r="DR57" s="525">
        <f t="shared" si="13"/>
        <v>550</v>
      </c>
      <c r="DS57" s="526"/>
      <c r="DT57" s="527">
        <f t="shared" si="14"/>
        <v>550</v>
      </c>
      <c r="DU57" s="166"/>
      <c r="DV57" s="738"/>
      <c r="DW57" s="166"/>
      <c r="DX57" s="522"/>
      <c r="DY57" s="523"/>
      <c r="DZ57" s="524"/>
      <c r="EB57" s="162" t="s">
        <v>896</v>
      </c>
      <c r="EC57" s="163">
        <v>0</v>
      </c>
      <c r="ED57" s="537">
        <f t="shared" si="49"/>
        <v>0</v>
      </c>
      <c r="EE57" s="529"/>
      <c r="EF57" s="530">
        <f t="shared" si="50"/>
        <v>0</v>
      </c>
      <c r="EG57" s="165"/>
      <c r="EH57" s="738" t="s">
        <v>3372</v>
      </c>
      <c r="EI57" s="166">
        <v>0</v>
      </c>
      <c r="EJ57" s="522">
        <f t="shared" si="63"/>
        <v>0</v>
      </c>
      <c r="EK57" s="523"/>
      <c r="EL57" s="524">
        <f t="shared" si="64"/>
        <v>0</v>
      </c>
    </row>
    <row r="58" spans="2:149" ht="10.8" thickBot="1">
      <c r="B58" s="30"/>
      <c r="C58" s="96" t="s">
        <v>478</v>
      </c>
      <c r="D58" s="35" t="s">
        <v>727</v>
      </c>
      <c r="E58" s="29"/>
      <c r="F58" s="21"/>
      <c r="G58" s="21"/>
      <c r="H58" s="21"/>
      <c r="I58" s="21"/>
      <c r="J58" s="21"/>
      <c r="K58" s="21"/>
      <c r="L58" s="154" t="s">
        <v>2428</v>
      </c>
      <c r="M58" s="21" t="s">
        <v>2407</v>
      </c>
      <c r="N58" s="159" t="s">
        <v>2092</v>
      </c>
      <c r="O58" s="819" t="s">
        <v>728</v>
      </c>
      <c r="P58" s="21"/>
      <c r="Q58" s="154" t="s">
        <v>2428</v>
      </c>
      <c r="R58" s="151" t="s">
        <v>646</v>
      </c>
      <c r="S58" s="159" t="s">
        <v>647</v>
      </c>
      <c r="T58" s="21"/>
      <c r="U58" s="752" t="s">
        <v>3251</v>
      </c>
      <c r="V58" s="151" t="s">
        <v>1731</v>
      </c>
      <c r="W58" s="159" t="s">
        <v>2207</v>
      </c>
      <c r="X58" s="21"/>
      <c r="AB58" s="21"/>
      <c r="AF58" s="21"/>
      <c r="AJ58" s="21"/>
      <c r="AK58" s="777" t="s">
        <v>5694</v>
      </c>
      <c r="AL58" s="478" t="s">
        <v>5695</v>
      </c>
      <c r="AM58" s="584" t="s">
        <v>5696</v>
      </c>
      <c r="AN58" s="21"/>
      <c r="AO58" s="778" t="s">
        <v>4866</v>
      </c>
      <c r="AP58" s="152" t="s">
        <v>177</v>
      </c>
      <c r="AQ58" s="586" t="s">
        <v>2324</v>
      </c>
      <c r="AU58" s="234" t="s">
        <v>1385</v>
      </c>
      <c r="AV58" s="148" t="s">
        <v>880</v>
      </c>
      <c r="AW58" s="138" t="str">
        <f t="shared" si="47"/>
        <v>ДП ЛАДА A.8/3</v>
      </c>
      <c r="AY58" s="224" t="s">
        <v>2351</v>
      </c>
      <c r="AZ58" s="62" t="s">
        <v>1720</v>
      </c>
      <c r="BA58" s="139" t="str">
        <f t="shared" si="68"/>
        <v>ДП Геометрія.1/1.купе</v>
      </c>
      <c r="BC58" s="49"/>
      <c r="BD58" s="41"/>
      <c r="BE58" s="70"/>
      <c r="BG58" s="426"/>
      <c r="BH58" s="427"/>
      <c r="BI58" s="428"/>
      <c r="BK58" s="250" t="s">
        <v>2496</v>
      </c>
      <c r="BL58" s="62" t="s">
        <v>5071</v>
      </c>
      <c r="BM58" s="139" t="str">
        <f t="shared" si="40"/>
        <v>ДП Ніка.Е-шпон</v>
      </c>
      <c r="BO58" s="424" t="s">
        <v>5071</v>
      </c>
      <c r="BP58" s="62" t="s">
        <v>4064</v>
      </c>
      <c r="BQ58" s="139" t="str">
        <f t="shared" si="71"/>
        <v>Е-шпон.405 Дуб сільвер.</v>
      </c>
      <c r="BS58" s="44" t="s">
        <v>2354</v>
      </c>
      <c r="BT58" s="254" t="s">
        <v>316</v>
      </c>
      <c r="BU58" s="139" t="str">
        <f t="shared" si="65"/>
        <v>ДП Геометрія.4/0.ДСП тр.</v>
      </c>
      <c r="BW58" s="60" t="s">
        <v>725</v>
      </c>
      <c r="BX58" s="780" t="s">
        <v>4106</v>
      </c>
      <c r="BY58" s="70" t="str">
        <f t="shared" si="56"/>
        <v>ДП КУПАВА.4/0.(ні)</v>
      </c>
      <c r="CA58" s="147" t="s">
        <v>3184</v>
      </c>
      <c r="CB58" s="590" t="s">
        <v>4350</v>
      </c>
      <c r="CC58" s="240" t="str">
        <f>CONCATENATE(CA58,".",CB58)</f>
        <v>ДП СТАНДАРТ.б/з фальц.робоча.Magnet ст +3завіс 3D</v>
      </c>
      <c r="CE58" s="742" t="s">
        <v>3249</v>
      </c>
      <c r="CF58" s="137" t="s">
        <v>4261</v>
      </c>
      <c r="CG58" s="138" t="str">
        <f t="shared" si="72"/>
        <v>ДП Ідея-ЛОФТ.фальц.робоча.ВВ</v>
      </c>
      <c r="CI58" s="147" t="s">
        <v>6208</v>
      </c>
      <c r="CJ58" s="62" t="s">
        <v>4857</v>
      </c>
      <c r="CK58" s="139" t="str">
        <f t="shared" si="66"/>
        <v>Magnet ст (чор.) б/з завіс..Права</v>
      </c>
      <c r="CM58" s="86" t="s">
        <v>3252</v>
      </c>
      <c r="CN58" s="56" t="s">
        <v>841</v>
      </c>
      <c r="CO58" s="70" t="str">
        <f t="shared" si="67"/>
        <v>ДП ГОРДАНА.купе.робоча.Verto-FIT</v>
      </c>
      <c r="CY58" s="146" t="s">
        <v>942</v>
      </c>
      <c r="CZ58" s="137"/>
      <c r="DA58" s="138" t="s">
        <v>860</v>
      </c>
      <c r="DD58" s="738" t="s">
        <v>4931</v>
      </c>
      <c r="DE58" s="166">
        <v>3850</v>
      </c>
      <c r="DF58" s="528">
        <f t="shared" si="69"/>
        <v>3850</v>
      </c>
      <c r="DG58" s="523"/>
      <c r="DH58" s="530">
        <f t="shared" si="70"/>
        <v>3850</v>
      </c>
      <c r="DJ58" s="60"/>
      <c r="DK58" s="103"/>
      <c r="DL58" s="402"/>
      <c r="DM58" s="103"/>
      <c r="DN58" s="103"/>
      <c r="DP58" s="736" t="s">
        <v>4117</v>
      </c>
      <c r="DQ58" s="105">
        <v>0</v>
      </c>
      <c r="DR58" s="403">
        <f t="shared" si="13"/>
        <v>0</v>
      </c>
      <c r="DS58" s="514"/>
      <c r="DT58" s="511">
        <f t="shared" si="14"/>
        <v>0</v>
      </c>
      <c r="DU58" s="166"/>
      <c r="DV58" s="165" t="s">
        <v>250</v>
      </c>
      <c r="DW58" s="166">
        <v>0</v>
      </c>
      <c r="DX58" s="522">
        <f t="shared" si="15"/>
        <v>0</v>
      </c>
      <c r="DY58" s="523"/>
      <c r="DZ58" s="524">
        <f t="shared" si="16"/>
        <v>0</v>
      </c>
      <c r="EB58" s="738" t="s">
        <v>4277</v>
      </c>
      <c r="EC58" s="166">
        <v>250</v>
      </c>
      <c r="ED58" s="522">
        <f t="shared" si="49"/>
        <v>250</v>
      </c>
      <c r="EE58" s="523"/>
      <c r="EF58" s="524">
        <f t="shared" si="50"/>
        <v>250</v>
      </c>
      <c r="EG58" s="165"/>
      <c r="EH58" s="739" t="s">
        <v>3373</v>
      </c>
      <c r="EI58" s="164">
        <v>1520</v>
      </c>
      <c r="EJ58" s="531">
        <f t="shared" si="63"/>
        <v>1520</v>
      </c>
      <c r="EK58" s="526"/>
      <c r="EL58" s="527">
        <f t="shared" si="64"/>
        <v>1520</v>
      </c>
    </row>
    <row r="59" spans="2:149">
      <c r="B59" s="30"/>
      <c r="C59" s="754" t="s">
        <v>5934</v>
      </c>
      <c r="D59" s="549" t="s">
        <v>729</v>
      </c>
      <c r="E59" s="29"/>
      <c r="L59" s="155" t="s">
        <v>2429</v>
      </c>
      <c r="M59" s="254" t="s">
        <v>2407</v>
      </c>
      <c r="N59" s="160" t="s">
        <v>2092</v>
      </c>
      <c r="O59" s="422" t="s">
        <v>728</v>
      </c>
      <c r="P59" s="21"/>
      <c r="Q59" s="155" t="s">
        <v>2429</v>
      </c>
      <c r="R59" s="152" t="s">
        <v>648</v>
      </c>
      <c r="S59" s="160" t="s">
        <v>649</v>
      </c>
      <c r="U59" s="752" t="s">
        <v>3253</v>
      </c>
      <c r="V59" s="151" t="s">
        <v>1732</v>
      </c>
      <c r="W59" s="159" t="s">
        <v>2208</v>
      </c>
      <c r="AK59" s="777" t="s">
        <v>5707</v>
      </c>
      <c r="AL59" s="478" t="s">
        <v>1039</v>
      </c>
      <c r="AM59" s="584" t="s">
        <v>5708</v>
      </c>
      <c r="AO59" s="777" t="s">
        <v>6181</v>
      </c>
      <c r="AP59" s="151" t="s">
        <v>5495</v>
      </c>
      <c r="AQ59" s="584" t="s">
        <v>2321</v>
      </c>
      <c r="AU59" s="234" t="s">
        <v>1385</v>
      </c>
      <c r="AV59" s="148" t="s">
        <v>1328</v>
      </c>
      <c r="AW59" s="138" t="str">
        <f t="shared" si="47"/>
        <v>ДП ЛАДА A.8/4</v>
      </c>
      <c r="AY59" s="234" t="s">
        <v>2352</v>
      </c>
      <c r="AZ59" s="137" t="s">
        <v>1719</v>
      </c>
      <c r="BA59" s="138" t="str">
        <f t="shared" si="68"/>
        <v>ДП Геометрія.3/0.фальц</v>
      </c>
      <c r="BC59" s="49"/>
      <c r="BD59" s="41"/>
      <c r="BE59" s="70"/>
      <c r="BG59" s="146" t="s">
        <v>3357</v>
      </c>
      <c r="BH59" s="137" t="s">
        <v>321</v>
      </c>
      <c r="BI59" s="138" t="str">
        <f>CONCATENATE(BG59,".",BH59)</f>
        <v>1-стулк..60</v>
      </c>
      <c r="BK59" s="251" t="s">
        <v>2591</v>
      </c>
      <c r="BL59" s="134" t="s">
        <v>409</v>
      </c>
      <c r="BM59" s="135" t="str">
        <f t="shared" si="40"/>
        <v>ДП Ліса.Verto-Cell</v>
      </c>
      <c r="BO59" s="44" t="s">
        <v>1836</v>
      </c>
      <c r="BP59" s="62" t="s">
        <v>1835</v>
      </c>
      <c r="BQ59" s="139" t="str">
        <f t="shared" si="71"/>
        <v>Лофт.452 Бетон тем.</v>
      </c>
      <c r="BS59" s="133" t="s">
        <v>2355</v>
      </c>
      <c r="BT59" s="101" t="s">
        <v>4066</v>
      </c>
      <c r="BU59" s="135" t="str">
        <f t="shared" si="65"/>
        <v>ДП Геометрія.4/4.Сотове</v>
      </c>
      <c r="BW59" s="162" t="s">
        <v>726</v>
      </c>
      <c r="BX59" s="246" t="s">
        <v>459</v>
      </c>
      <c r="BY59" s="135" t="str">
        <f t="shared" si="56"/>
        <v>ДП КУПАВА.4/1.Кризет</v>
      </c>
      <c r="CA59" s="746" t="s">
        <v>3187</v>
      </c>
      <c r="CB59" s="134" t="s">
        <v>4106</v>
      </c>
      <c r="CC59" s="135" t="str">
        <f>CONCATENATE(CA59,".",CB59)</f>
        <v>ДП СТАНДАРТ.купе.робоча.(ні)</v>
      </c>
      <c r="CE59" s="424" t="s">
        <v>3249</v>
      </c>
      <c r="CF59" s="62" t="s">
        <v>739</v>
      </c>
      <c r="CG59" s="139" t="str">
        <f t="shared" si="72"/>
        <v>ДП Ідея-ЛОФТ.фальц.робоча.ВП</v>
      </c>
      <c r="CI59" s="146" t="s">
        <v>4343</v>
      </c>
      <c r="CJ59" s="137" t="s">
        <v>4827</v>
      </c>
      <c r="CK59" s="138" t="str">
        <f t="shared" ref="CK59:CK66" si="73">CONCATENATE(CI59,".",CJ59)</f>
        <v>Magnet цл +2завіс 3D.Ліва</v>
      </c>
      <c r="CM59" s="432"/>
      <c r="CN59" s="222"/>
      <c r="CO59" s="223"/>
      <c r="CY59" s="146" t="s">
        <v>943</v>
      </c>
      <c r="CZ59" s="137"/>
      <c r="DA59" s="138" t="s">
        <v>860</v>
      </c>
      <c r="DD59" s="738" t="s">
        <v>4932</v>
      </c>
      <c r="DE59" s="166">
        <v>3850</v>
      </c>
      <c r="DF59" s="528">
        <f t="shared" si="69"/>
        <v>3850</v>
      </c>
      <c r="DG59" s="523"/>
      <c r="DH59" s="530">
        <f t="shared" si="70"/>
        <v>3850</v>
      </c>
      <c r="DJ59" s="60"/>
      <c r="DK59" s="103"/>
      <c r="DL59" s="402"/>
      <c r="DM59" s="103"/>
      <c r="DN59" s="103"/>
      <c r="DP59" s="162" t="s">
        <v>821</v>
      </c>
      <c r="DQ59" s="163">
        <v>0</v>
      </c>
      <c r="DR59" s="528">
        <f t="shared" si="13"/>
        <v>0</v>
      </c>
      <c r="DS59" s="529"/>
      <c r="DT59" s="530">
        <f t="shared" si="14"/>
        <v>0</v>
      </c>
      <c r="DU59" s="166"/>
      <c r="DV59" s="108" t="s">
        <v>251</v>
      </c>
      <c r="DW59" s="164">
        <v>560</v>
      </c>
      <c r="DX59" s="525">
        <f t="shared" si="15"/>
        <v>560</v>
      </c>
      <c r="DY59" s="526"/>
      <c r="DZ59" s="527">
        <f t="shared" si="16"/>
        <v>560</v>
      </c>
      <c r="EB59" s="108" t="s">
        <v>999</v>
      </c>
      <c r="EC59" s="164">
        <v>170</v>
      </c>
      <c r="ED59" s="531">
        <f t="shared" ref="ED59:ED65" si="74">ROUND(((EC59-(EC59/6))/$DD$3)*$DE$3,2)</f>
        <v>170</v>
      </c>
      <c r="EE59" s="526"/>
      <c r="EF59" s="527">
        <f t="shared" si="50"/>
        <v>170</v>
      </c>
      <c r="EG59" s="165"/>
      <c r="EH59" s="738" t="s">
        <v>5075</v>
      </c>
      <c r="EI59" s="166">
        <v>0</v>
      </c>
      <c r="EJ59" s="522">
        <f>ROUND(((EI59-(EI59/6))/$DD$3)*$DE$3,2)</f>
        <v>0</v>
      </c>
      <c r="EK59" s="523"/>
      <c r="EL59" s="524">
        <f>IF(EK59="",EJ59,
IF(AND($EI$10&gt;=VLOOKUP(EK59,$EH$5:$EL$9,2,0),$EI$10&lt;=VLOOKUP(EK59,$EH$5:$EL$9,3,0)),
(EJ59*(1-VLOOKUP(EK59,$EH$5:$EL$9,4,0))),
EJ59))</f>
        <v>0</v>
      </c>
    </row>
    <row r="60" spans="2:149">
      <c r="B60" s="30"/>
      <c r="C60" s="755" t="s">
        <v>5935</v>
      </c>
      <c r="D60" s="550" t="s">
        <v>729</v>
      </c>
      <c r="E60" s="29"/>
      <c r="L60" s="49" t="s">
        <v>2430</v>
      </c>
      <c r="M60" s="48" t="s">
        <v>2408</v>
      </c>
      <c r="N60" s="94" t="s">
        <v>2093</v>
      </c>
      <c r="O60" s="423" t="s">
        <v>728</v>
      </c>
      <c r="Q60" s="49" t="s">
        <v>2430</v>
      </c>
      <c r="R60" s="98" t="s">
        <v>159</v>
      </c>
      <c r="S60" s="94" t="s">
        <v>1024</v>
      </c>
      <c r="U60" s="750" t="s">
        <v>3254</v>
      </c>
      <c r="V60" s="152" t="s">
        <v>1737</v>
      </c>
      <c r="W60" s="160" t="s">
        <v>2215</v>
      </c>
      <c r="AK60" s="777" t="s">
        <v>5709</v>
      </c>
      <c r="AL60" s="478" t="s">
        <v>756</v>
      </c>
      <c r="AM60" s="584" t="s">
        <v>5710</v>
      </c>
      <c r="AO60" s="778" t="s">
        <v>6182</v>
      </c>
      <c r="AP60" s="152" t="s">
        <v>177</v>
      </c>
      <c r="AQ60" s="586" t="s">
        <v>2324</v>
      </c>
      <c r="AU60" s="234" t="s">
        <v>1385</v>
      </c>
      <c r="AV60" s="148" t="s">
        <v>1329</v>
      </c>
      <c r="AW60" s="138" t="str">
        <f t="shared" si="47"/>
        <v>ДП ЛАДА A.8/5</v>
      </c>
      <c r="AY60" s="234" t="s">
        <v>2352</v>
      </c>
      <c r="AZ60" s="137" t="s">
        <v>1721</v>
      </c>
      <c r="BA60" s="138" t="str">
        <f t="shared" si="68"/>
        <v>ДП Геометрія.3/0.б/з фальц</v>
      </c>
      <c r="BC60" s="49"/>
      <c r="BD60" s="41"/>
      <c r="BE60" s="70"/>
      <c r="BG60" s="146" t="s">
        <v>3357</v>
      </c>
      <c r="BH60" s="137" t="s">
        <v>322</v>
      </c>
      <c r="BI60" s="138" t="str">
        <f>CONCATENATE(BG60,".",BH60)</f>
        <v>1-стулк..70</v>
      </c>
      <c r="BK60" s="250" t="s">
        <v>2591</v>
      </c>
      <c r="BL60" s="137"/>
      <c r="BM60" s="138" t="str">
        <f t="shared" si="40"/>
        <v>ДП Ліса.</v>
      </c>
      <c r="BO60" s="146" t="s">
        <v>2061</v>
      </c>
      <c r="BP60" s="21" t="s">
        <v>457</v>
      </c>
      <c r="BQ60" s="138" t="str">
        <f t="shared" si="71"/>
        <v>Verto-Cell (L).110 Дуб золот.</v>
      </c>
      <c r="BS60" s="44" t="s">
        <v>2355</v>
      </c>
      <c r="BT60" s="254" t="s">
        <v>316</v>
      </c>
      <c r="BU60" s="139" t="str">
        <f t="shared" si="65"/>
        <v>ДП Геометрія.4/4.ДСП тр.</v>
      </c>
      <c r="BW60" s="165" t="s">
        <v>726</v>
      </c>
      <c r="BX60" s="247" t="s">
        <v>458</v>
      </c>
      <c r="BY60" s="138" t="str">
        <f>CONCATENATE(BW60,".",BX60)</f>
        <v>ДП КУПАВА.4/1.Сатин</v>
      </c>
      <c r="CA60" s="742" t="s">
        <v>3187</v>
      </c>
      <c r="CB60" s="21"/>
      <c r="CC60" s="21"/>
      <c r="CE60" s="746" t="s">
        <v>3255</v>
      </c>
      <c r="CF60" s="137"/>
      <c r="CG60" s="138" t="str">
        <f t="shared" si="72"/>
        <v>ДП Ідея-ЛОФТ.фальц.неробоча.</v>
      </c>
      <c r="CI60" s="147" t="s">
        <v>4343</v>
      </c>
      <c r="CJ60" s="62" t="s">
        <v>4857</v>
      </c>
      <c r="CK60" s="139" t="str">
        <f t="shared" si="73"/>
        <v>Magnet цл +2завіс 3D.Права</v>
      </c>
      <c r="CM60" s="742" t="s">
        <v>3232</v>
      </c>
      <c r="CN60" s="137" t="s">
        <v>975</v>
      </c>
      <c r="CO60" s="138" t="str">
        <f t="shared" ref="CO60:CO66" si="75">CONCATENATE(CM60,".",CN60)</f>
        <v>ДП Ідея.фальц.робоча.Standard-MDF</v>
      </c>
      <c r="CY60" s="146" t="s">
        <v>944</v>
      </c>
      <c r="CZ60" s="137"/>
      <c r="DA60" s="138" t="s">
        <v>860</v>
      </c>
      <c r="DD60" s="738" t="s">
        <v>4933</v>
      </c>
      <c r="DE60" s="166">
        <v>3850</v>
      </c>
      <c r="DF60" s="528">
        <f t="shared" si="69"/>
        <v>3850</v>
      </c>
      <c r="DG60" s="523"/>
      <c r="DH60" s="530">
        <f t="shared" si="70"/>
        <v>3850</v>
      </c>
      <c r="DJ60" s="60"/>
      <c r="DK60" s="103"/>
      <c r="DL60" s="402"/>
      <c r="DM60" s="103"/>
      <c r="DN60" s="103"/>
      <c r="DP60" s="165" t="s">
        <v>822</v>
      </c>
      <c r="DQ60" s="166">
        <v>340</v>
      </c>
      <c r="DR60" s="522">
        <f>ROUND(((DQ60-(DQ60/6))/$DD$3)*$DE$3,2)</f>
        <v>340</v>
      </c>
      <c r="DS60" s="523"/>
      <c r="DT60" s="524">
        <f>IF(DS60="",DR60,
IF(AND($DQ$10&gt;=VLOOKUP(DS60,$DP$5:$DT$9,2,0),$DQ$10&lt;=VLOOKUP(DS60,$DP$5:$DT$9,3,0)),
(DR60*(1-VLOOKUP(DS60,$DP$5:$DT$9,4,0))),
DR60))</f>
        <v>340</v>
      </c>
      <c r="DU60" s="166"/>
      <c r="DV60" s="636"/>
      <c r="DW60" s="637"/>
      <c r="DX60" s="638"/>
      <c r="DY60" s="639"/>
      <c r="DZ60" s="640"/>
      <c r="EB60" s="162" t="s">
        <v>2652</v>
      </c>
      <c r="EC60" s="163">
        <v>0</v>
      </c>
      <c r="ED60" s="537">
        <f t="shared" si="74"/>
        <v>0</v>
      </c>
      <c r="EE60" s="529"/>
      <c r="EF60" s="530">
        <f t="shared" si="50"/>
        <v>0</v>
      </c>
      <c r="EG60" s="165"/>
      <c r="EH60" s="739" t="s">
        <v>5076</v>
      </c>
      <c r="EI60" s="164">
        <v>1920</v>
      </c>
      <c r="EJ60" s="531">
        <f>ROUND(((EI60-(EI60/6))/$DD$3)*$DE$3,2)</f>
        <v>1920</v>
      </c>
      <c r="EK60" s="526"/>
      <c r="EL60" s="527">
        <f>IF(EK60="",EJ60,
IF(AND($EI$10&gt;=VLOOKUP(EK60,$EH$5:$EL$9,2,0),$EI$10&lt;=VLOOKUP(EK60,$EH$5:$EL$9,3,0)),
(EJ60*(1-VLOOKUP(EK60,$EH$5:$EL$9,4,0))),
EJ60))</f>
        <v>1920</v>
      </c>
    </row>
    <row r="61" spans="2:149">
      <c r="B61" s="30"/>
      <c r="C61" s="548"/>
      <c r="D61" s="550"/>
      <c r="E61" s="29"/>
      <c r="L61" s="144"/>
      <c r="M61" s="48"/>
      <c r="N61" s="94"/>
      <c r="O61" s="423"/>
      <c r="Q61" s="144"/>
      <c r="R61" s="98"/>
      <c r="S61" s="94"/>
      <c r="U61" s="815"/>
      <c r="V61" s="816"/>
      <c r="W61" s="808"/>
      <c r="AK61" s="778" t="s">
        <v>5721</v>
      </c>
      <c r="AL61" s="590" t="s">
        <v>1040</v>
      </c>
      <c r="AM61" s="586" t="s">
        <v>5722</v>
      </c>
      <c r="AO61" s="777" t="s">
        <v>4837</v>
      </c>
      <c r="AP61" s="151" t="s">
        <v>5495</v>
      </c>
      <c r="AQ61" s="584" t="s">
        <v>2321</v>
      </c>
      <c r="AU61" s="231" t="s">
        <v>1384</v>
      </c>
      <c r="AV61" s="150" t="s">
        <v>194</v>
      </c>
      <c r="AW61" s="135" t="str">
        <f t="shared" si="47"/>
        <v>ДП ЛАДА B.1/0</v>
      </c>
      <c r="AY61" s="224" t="s">
        <v>2352</v>
      </c>
      <c r="AZ61" s="62" t="s">
        <v>1720</v>
      </c>
      <c r="BA61" s="139" t="str">
        <f t="shared" si="68"/>
        <v>ДП Геометрія.3/0.купе</v>
      </c>
      <c r="BC61" s="565"/>
      <c r="BD61" s="561"/>
      <c r="BE61" s="562"/>
      <c r="BG61" s="146" t="s">
        <v>3357</v>
      </c>
      <c r="BH61" s="137" t="s">
        <v>323</v>
      </c>
      <c r="BI61" s="138" t="str">
        <f>CONCATENATE(BG61,".",BH61)</f>
        <v>1-стулк..80</v>
      </c>
      <c r="BK61" s="250" t="s">
        <v>2591</v>
      </c>
      <c r="BL61" s="137" t="s">
        <v>1894</v>
      </c>
      <c r="BM61" s="138" t="str">
        <f>CONCATENATE(BK61,".",BL61)</f>
        <v>ДП Ліса.Uni-Mat.</v>
      </c>
      <c r="BO61" s="146" t="s">
        <v>2061</v>
      </c>
      <c r="BP61" s="151" t="s">
        <v>3846</v>
      </c>
      <c r="BQ61" s="138" t="str">
        <f t="shared" si="71"/>
        <v>Verto-Cell (L).115 Горіх мед.</v>
      </c>
      <c r="BS61" s="133" t="s">
        <v>2356</v>
      </c>
      <c r="BT61" s="101" t="s">
        <v>4066</v>
      </c>
      <c r="BU61" s="135" t="str">
        <f t="shared" si="65"/>
        <v>ДП Геометрія.5/0.Сотове</v>
      </c>
      <c r="BW61" s="165" t="s">
        <v>726</v>
      </c>
      <c r="BX61" s="770" t="s">
        <v>3851</v>
      </c>
      <c r="BY61" s="138" t="str">
        <f t="shared" si="56"/>
        <v>ДП КУПАВА.4/1.Графіт</v>
      </c>
      <c r="CA61" s="742" t="s">
        <v>3187</v>
      </c>
      <c r="CB61" s="137" t="s">
        <v>462</v>
      </c>
      <c r="CC61" s="138" t="str">
        <f>CONCATENATE(CA61,".",CB61)</f>
        <v>ДП СТАНДАРТ.купе.робоча.Ручка-Захват</v>
      </c>
      <c r="CE61" s="742" t="s">
        <v>3255</v>
      </c>
      <c r="CF61" s="137" t="s">
        <v>4261</v>
      </c>
      <c r="CG61" s="138" t="str">
        <f t="shared" si="72"/>
        <v>ДП Ідея-ЛОФТ.фальц.неробоча.ВВ</v>
      </c>
      <c r="CI61" s="146" t="s">
        <v>4347</v>
      </c>
      <c r="CJ61" s="137" t="s">
        <v>4827</v>
      </c>
      <c r="CK61" s="138" t="str">
        <f t="shared" si="73"/>
        <v>Magnet ст +2завіс 3D.Ліва</v>
      </c>
      <c r="CM61" s="742" t="s">
        <v>3232</v>
      </c>
      <c r="CN61" s="137" t="s">
        <v>840</v>
      </c>
      <c r="CO61" s="138" t="str">
        <f t="shared" si="75"/>
        <v>ДП Ідея.фальц.робоча.Standard</v>
      </c>
      <c r="CY61" s="146" t="s">
        <v>945</v>
      </c>
      <c r="CZ61" s="137"/>
      <c r="DA61" s="138" t="s">
        <v>860</v>
      </c>
      <c r="DD61" s="738" t="s">
        <v>4934</v>
      </c>
      <c r="DE61" s="166">
        <v>3850</v>
      </c>
      <c r="DF61" s="528">
        <f t="shared" si="69"/>
        <v>3850</v>
      </c>
      <c r="DG61" s="523"/>
      <c r="DH61" s="530">
        <f t="shared" si="70"/>
        <v>3850</v>
      </c>
      <c r="DJ61" s="48"/>
      <c r="DK61" s="48"/>
      <c r="DL61" s="516"/>
      <c r="DM61" s="48"/>
      <c r="DN61" s="48"/>
      <c r="DP61" s="738" t="s">
        <v>3863</v>
      </c>
      <c r="DQ61" s="166">
        <v>550</v>
      </c>
      <c r="DR61" s="522">
        <f t="shared" si="13"/>
        <v>550</v>
      </c>
      <c r="DS61" s="523"/>
      <c r="DT61" s="524">
        <f t="shared" si="14"/>
        <v>550</v>
      </c>
      <c r="DU61" s="166"/>
      <c r="DV61" s="736" t="s">
        <v>4113</v>
      </c>
      <c r="DW61" s="105">
        <v>0</v>
      </c>
      <c r="DX61" s="403">
        <f t="shared" ref="DX61:DX107" si="76">ROUND(((DW61-(DW61/6))/$DD$3)*$DE$3,2)</f>
        <v>0</v>
      </c>
      <c r="DY61" s="514"/>
      <c r="DZ61" s="511">
        <f t="shared" ref="DZ61:DZ107" si="77">IF(DY61="",DX61,
IF(AND($DW$10&gt;=VLOOKUP(DY61,$DV$5:$DZ$9,2,0),$DW$10&lt;=VLOOKUP(DY61,$DV$5:$DZ$9,3,0)),
(DX61*(1-VLOOKUP(DY61,$DV$5:$DZ$9,4,0))),
DX61))</f>
        <v>0</v>
      </c>
      <c r="EB61" s="738" t="s">
        <v>4278</v>
      </c>
      <c r="EC61" s="166">
        <v>250</v>
      </c>
      <c r="ED61" s="522">
        <f t="shared" si="74"/>
        <v>250</v>
      </c>
      <c r="EE61" s="523"/>
      <c r="EF61" s="524">
        <f t="shared" si="50"/>
        <v>250</v>
      </c>
      <c r="EG61" s="165"/>
      <c r="EH61" s="738" t="s">
        <v>3374</v>
      </c>
      <c r="EI61" s="166">
        <v>0</v>
      </c>
      <c r="EJ61" s="522">
        <f t="shared" si="63"/>
        <v>0</v>
      </c>
      <c r="EK61" s="523"/>
      <c r="EL61" s="524">
        <f t="shared" si="64"/>
        <v>0</v>
      </c>
    </row>
    <row r="62" spans="2:149">
      <c r="B62" s="30"/>
      <c r="C62" s="548" t="s">
        <v>2137</v>
      </c>
      <c r="D62" s="550" t="s">
        <v>729</v>
      </c>
      <c r="E62" s="29"/>
      <c r="L62" s="809"/>
      <c r="M62" s="810"/>
      <c r="N62" s="810"/>
      <c r="O62" s="812"/>
      <c r="P62" s="813"/>
      <c r="Q62" s="809"/>
      <c r="R62" s="811"/>
      <c r="S62" s="810"/>
      <c r="U62" s="752" t="s">
        <v>4080</v>
      </c>
      <c r="V62" s="151" t="s">
        <v>239</v>
      </c>
      <c r="W62" s="159" t="s">
        <v>2222</v>
      </c>
      <c r="AK62" s="777" t="s">
        <v>5723</v>
      </c>
      <c r="AL62" s="478" t="s">
        <v>5724</v>
      </c>
      <c r="AM62" s="584" t="s">
        <v>5725</v>
      </c>
      <c r="AO62" s="778" t="s">
        <v>4867</v>
      </c>
      <c r="AP62" s="152" t="s">
        <v>177</v>
      </c>
      <c r="AQ62" s="586" t="s">
        <v>2324</v>
      </c>
      <c r="AU62" s="234" t="s">
        <v>1384</v>
      </c>
      <c r="AV62" s="148" t="s">
        <v>195</v>
      </c>
      <c r="AW62" s="138" t="str">
        <f t="shared" si="47"/>
        <v>ДП ЛАДА B.1/1</v>
      </c>
      <c r="AY62" s="234" t="s">
        <v>2353</v>
      </c>
      <c r="AZ62" s="137" t="s">
        <v>1719</v>
      </c>
      <c r="BA62" s="138" t="str">
        <f t="shared" si="68"/>
        <v>ДП Геометрія.3/3.фальц</v>
      </c>
      <c r="BG62" s="146" t="s">
        <v>3357</v>
      </c>
      <c r="BH62" s="137" t="s">
        <v>324</v>
      </c>
      <c r="BI62" s="138" t="str">
        <f>CONCATENATE(BG62,".",BH62)</f>
        <v>1-стулк..90</v>
      </c>
      <c r="BK62" s="250" t="s">
        <v>2591</v>
      </c>
      <c r="BL62" s="137" t="s">
        <v>557</v>
      </c>
      <c r="BM62" s="138" t="str">
        <f t="shared" si="40"/>
        <v>ДП Ліса.Резист</v>
      </c>
      <c r="BO62" s="146" t="s">
        <v>2061</v>
      </c>
      <c r="BP62" s="767" t="s">
        <v>3848</v>
      </c>
      <c r="BQ62" s="135" t="str">
        <f t="shared" si="71"/>
        <v>Verto-Cell (L).118 Дуб вибіл.</v>
      </c>
      <c r="BS62" s="44" t="s">
        <v>2356</v>
      </c>
      <c r="BT62" s="254" t="s">
        <v>316</v>
      </c>
      <c r="BU62" s="139" t="str">
        <f t="shared" si="65"/>
        <v>ДП Геометрія.5/0.ДСП тр.</v>
      </c>
      <c r="BW62" s="108" t="s">
        <v>726</v>
      </c>
      <c r="BX62" s="248" t="s">
        <v>832</v>
      </c>
      <c r="BY62" s="139" t="str">
        <f t="shared" si="56"/>
        <v>ДП КУПАВА.4/1.Бронза</v>
      </c>
      <c r="CA62" s="742" t="s">
        <v>3187</v>
      </c>
      <c r="CB62" s="137" t="s">
        <v>684</v>
      </c>
      <c r="CC62" s="138" t="str">
        <f>CONCATENATE(CA62,".",CB62)</f>
        <v>ДП СТАНДАРТ.купе.робоча.Ручка-Замок</v>
      </c>
      <c r="CE62" s="424" t="s">
        <v>3255</v>
      </c>
      <c r="CF62" s="62" t="s">
        <v>739</v>
      </c>
      <c r="CG62" s="139" t="str">
        <f t="shared" si="72"/>
        <v>ДП Ідея-ЛОФТ.фальц.неробоча.ВП</v>
      </c>
      <c r="CI62" s="147" t="s">
        <v>4347</v>
      </c>
      <c r="CJ62" s="62" t="s">
        <v>4857</v>
      </c>
      <c r="CK62" s="139" t="str">
        <f t="shared" si="73"/>
        <v>Magnet ст +2завіс 3D.Права</v>
      </c>
      <c r="CM62" s="742" t="s">
        <v>3232</v>
      </c>
      <c r="CN62" s="137" t="s">
        <v>841</v>
      </c>
      <c r="CO62" s="138" t="str">
        <f t="shared" si="75"/>
        <v>ДП Ідея.фальц.робоча.Verto-FIT</v>
      </c>
      <c r="CY62" s="146" t="s">
        <v>946</v>
      </c>
      <c r="CZ62" s="137"/>
      <c r="DA62" s="138" t="s">
        <v>860</v>
      </c>
      <c r="DD62" s="739" t="s">
        <v>4935</v>
      </c>
      <c r="DE62" s="166">
        <v>3850</v>
      </c>
      <c r="DF62" s="528">
        <f t="shared" si="69"/>
        <v>3850</v>
      </c>
      <c r="DG62" s="526"/>
      <c r="DH62" s="530">
        <f t="shared" si="70"/>
        <v>3850</v>
      </c>
      <c r="DJ62" s="48"/>
      <c r="DK62" s="48"/>
      <c r="DL62" s="516"/>
      <c r="DM62" s="48"/>
      <c r="DN62" s="48"/>
      <c r="DP62" s="108" t="s">
        <v>1821</v>
      </c>
      <c r="DQ62" s="164">
        <v>550</v>
      </c>
      <c r="DR62" s="525">
        <f t="shared" si="13"/>
        <v>550</v>
      </c>
      <c r="DS62" s="526"/>
      <c r="DT62" s="527">
        <f t="shared" si="14"/>
        <v>550</v>
      </c>
      <c r="DU62" s="166"/>
      <c r="DV62" s="737" t="s">
        <v>5766</v>
      </c>
      <c r="DW62" s="163">
        <v>0</v>
      </c>
      <c r="DX62" s="528">
        <f t="shared" si="76"/>
        <v>0</v>
      </c>
      <c r="DY62" s="529"/>
      <c r="DZ62" s="530">
        <f t="shared" si="77"/>
        <v>0</v>
      </c>
      <c r="EB62" s="108" t="s">
        <v>2653</v>
      </c>
      <c r="EC62" s="164">
        <v>170</v>
      </c>
      <c r="ED62" s="531">
        <f t="shared" si="74"/>
        <v>170</v>
      </c>
      <c r="EE62" s="526"/>
      <c r="EF62" s="527">
        <f t="shared" si="50"/>
        <v>170</v>
      </c>
      <c r="EG62" s="165"/>
      <c r="EH62" s="739" t="s">
        <v>3375</v>
      </c>
      <c r="EI62" s="164">
        <v>1920</v>
      </c>
      <c r="EJ62" s="531">
        <f t="shared" si="63"/>
        <v>1920</v>
      </c>
      <c r="EK62" s="526"/>
      <c r="EL62" s="527">
        <f t="shared" si="64"/>
        <v>1920</v>
      </c>
    </row>
    <row r="63" spans="2:149">
      <c r="B63" s="30"/>
      <c r="C63" s="548" t="s">
        <v>2138</v>
      </c>
      <c r="D63" s="550" t="s">
        <v>729</v>
      </c>
      <c r="E63" s="29"/>
      <c r="L63" s="144"/>
      <c r="M63" s="48"/>
      <c r="N63" s="94"/>
      <c r="O63" s="423"/>
      <c r="Q63" s="144"/>
      <c r="R63" s="98"/>
      <c r="S63" s="94"/>
      <c r="U63" s="752" t="s">
        <v>4081</v>
      </c>
      <c r="V63" s="151" t="s">
        <v>240</v>
      </c>
      <c r="W63" s="159" t="s">
        <v>2223</v>
      </c>
      <c r="AK63" s="777" t="s">
        <v>4338</v>
      </c>
      <c r="AL63" s="478" t="s">
        <v>797</v>
      </c>
      <c r="AM63" s="584" t="s">
        <v>2284</v>
      </c>
      <c r="AO63" s="777" t="s">
        <v>6183</v>
      </c>
      <c r="AP63" s="151" t="s">
        <v>5495</v>
      </c>
      <c r="AQ63" s="584" t="s">
        <v>2321</v>
      </c>
      <c r="AU63" s="234" t="s">
        <v>1384</v>
      </c>
      <c r="AV63" s="148" t="s">
        <v>531</v>
      </c>
      <c r="AW63" s="138" t="str">
        <f t="shared" si="47"/>
        <v>ДП ЛАДА B.1/2</v>
      </c>
      <c r="AY63" s="234" t="s">
        <v>2353</v>
      </c>
      <c r="AZ63" s="137" t="s">
        <v>1721</v>
      </c>
      <c r="BA63" s="138" t="str">
        <f t="shared" si="68"/>
        <v>ДП Геометрія.3/3.б/з фальц</v>
      </c>
      <c r="BG63" s="426"/>
      <c r="BH63" s="427"/>
      <c r="BI63" s="428"/>
      <c r="BK63" s="250" t="s">
        <v>2591</v>
      </c>
      <c r="BL63" s="137" t="s">
        <v>62</v>
      </c>
      <c r="BM63" s="138" t="str">
        <f t="shared" si="40"/>
        <v>ДП Ліса.LINE-3D</v>
      </c>
      <c r="BO63" s="146" t="s">
        <v>2061</v>
      </c>
      <c r="BP63" s="255" t="s">
        <v>1311</v>
      </c>
      <c r="BQ63" s="138" t="str">
        <f t="shared" si="71"/>
        <v>Verto-Cell (L).119 Дуб ретро</v>
      </c>
      <c r="BS63" s="133" t="s">
        <v>2357</v>
      </c>
      <c r="BT63" s="101" t="s">
        <v>4066</v>
      </c>
      <c r="BU63" s="135" t="str">
        <f t="shared" si="65"/>
        <v>ДП Геометрія.5/5.Сотове</v>
      </c>
      <c r="BW63" s="432"/>
      <c r="BX63" s="432"/>
      <c r="BY63" s="432"/>
      <c r="CA63" s="228"/>
      <c r="CB63" s="228"/>
      <c r="CC63" s="228"/>
      <c r="CE63" s="146" t="s">
        <v>3256</v>
      </c>
      <c r="CF63" s="137"/>
      <c r="CG63" s="138" t="str">
        <f t="shared" si="72"/>
        <v>ДП Ідея-ЛОФТ.б/з фальц.робоча.</v>
      </c>
      <c r="CI63" s="146" t="s">
        <v>4349</v>
      </c>
      <c r="CJ63" s="137" t="s">
        <v>4827</v>
      </c>
      <c r="CK63" s="138" t="str">
        <f t="shared" si="73"/>
        <v>Magnet цл +3завіс 3D.Ліва</v>
      </c>
      <c r="CM63" s="424" t="s">
        <v>3232</v>
      </c>
      <c r="CN63" s="62" t="s">
        <v>371</v>
      </c>
      <c r="CO63" s="139" t="str">
        <f t="shared" si="75"/>
        <v>ДП Ідея.фальц.робоча.Verto-FIT Plus</v>
      </c>
      <c r="CY63" s="228"/>
      <c r="CZ63" s="222"/>
      <c r="DA63" s="223"/>
      <c r="DD63" s="165" t="s">
        <v>2360</v>
      </c>
      <c r="DE63" s="163">
        <v>3550</v>
      </c>
      <c r="DF63" s="528">
        <f t="shared" si="69"/>
        <v>3550</v>
      </c>
      <c r="DG63" s="523"/>
      <c r="DH63" s="530">
        <f t="shared" si="70"/>
        <v>3550</v>
      </c>
      <c r="DJ63" s="554"/>
      <c r="DK63" s="554"/>
      <c r="DL63" s="649"/>
      <c r="DM63" s="554"/>
      <c r="DN63" s="554"/>
      <c r="DP63" s="256"/>
      <c r="DQ63" s="257"/>
      <c r="DR63" s="517"/>
      <c r="DS63" s="532"/>
      <c r="DT63" s="259"/>
      <c r="DU63" s="166"/>
      <c r="DV63" s="737" t="s">
        <v>5767</v>
      </c>
      <c r="DW63" s="163">
        <v>0</v>
      </c>
      <c r="DX63" s="528">
        <f>ROUND(((DW63-(DW63/6))/$DD$3)*$DE$3,2)</f>
        <v>0</v>
      </c>
      <c r="DY63" s="529"/>
      <c r="DZ63" s="530">
        <f>IF(DY63="",DX63,
IF(AND($DW$10&gt;=VLOOKUP(DY63,$DV$5:$DZ$9,2,0),$DW$10&lt;=VLOOKUP(DY63,$DV$5:$DZ$9,3,0)),
(DX63*(1-VLOOKUP(DY63,$DV$5:$DZ$9,4,0))),
DX63))</f>
        <v>0</v>
      </c>
      <c r="EB63" s="162" t="s">
        <v>1140</v>
      </c>
      <c r="EC63" s="163">
        <v>0</v>
      </c>
      <c r="ED63" s="537">
        <f t="shared" si="74"/>
        <v>0</v>
      </c>
      <c r="EE63" s="529"/>
      <c r="EF63" s="530">
        <f t="shared" si="50"/>
        <v>0</v>
      </c>
      <c r="EG63" s="165"/>
      <c r="EH63" s="538"/>
      <c r="EI63" s="539"/>
      <c r="EJ63" s="650"/>
      <c r="EK63" s="651"/>
      <c r="EL63" s="652"/>
    </row>
    <row r="64" spans="2:149">
      <c r="B64" s="30"/>
      <c r="C64" s="548" t="s">
        <v>2139</v>
      </c>
      <c r="D64" s="550" t="s">
        <v>729</v>
      </c>
      <c r="E64" s="29"/>
      <c r="L64" s="58" t="s">
        <v>1343</v>
      </c>
      <c r="M64" s="48" t="s">
        <v>1696</v>
      </c>
      <c r="N64" s="94" t="s">
        <v>2082</v>
      </c>
      <c r="O64" s="423" t="s">
        <v>728</v>
      </c>
      <c r="Q64" s="58" t="s">
        <v>1343</v>
      </c>
      <c r="R64" s="98" t="s">
        <v>874</v>
      </c>
      <c r="S64" s="94" t="s">
        <v>875</v>
      </c>
      <c r="U64" s="752" t="s">
        <v>4082</v>
      </c>
      <c r="V64" s="151" t="s">
        <v>241</v>
      </c>
      <c r="W64" s="159" t="s">
        <v>2224</v>
      </c>
      <c r="AK64" s="778" t="s">
        <v>4340</v>
      </c>
      <c r="AL64" s="590" t="s">
        <v>425</v>
      </c>
      <c r="AM64" s="586" t="s">
        <v>2285</v>
      </c>
      <c r="AO64" s="778" t="s">
        <v>6184</v>
      </c>
      <c r="AP64" s="152" t="s">
        <v>177</v>
      </c>
      <c r="AQ64" s="586" t="s">
        <v>2324</v>
      </c>
      <c r="AU64" s="234" t="s">
        <v>1384</v>
      </c>
      <c r="AV64" s="148" t="s">
        <v>1314</v>
      </c>
      <c r="AW64" s="138" t="str">
        <f t="shared" si="47"/>
        <v>ДП ЛАДА B.1/3</v>
      </c>
      <c r="AY64" s="224" t="s">
        <v>2353</v>
      </c>
      <c r="AZ64" s="62" t="s">
        <v>1720</v>
      </c>
      <c r="BA64" s="139" t="str">
        <f t="shared" si="68"/>
        <v>ДП Геометрія.3/3.купе</v>
      </c>
      <c r="BG64" s="86" t="s">
        <v>3362</v>
      </c>
      <c r="BH64" s="41" t="s">
        <v>325</v>
      </c>
      <c r="BI64" s="70" t="str">
        <f>CONCATENATE(BG64,".",BH64)</f>
        <v>1-стулк,.100</v>
      </c>
      <c r="BK64" s="250" t="s">
        <v>2591</v>
      </c>
      <c r="BL64" s="62" t="s">
        <v>5071</v>
      </c>
      <c r="BM64" s="139" t="str">
        <f t="shared" si="40"/>
        <v>ДП Ліса.Е-шпон</v>
      </c>
      <c r="BO64" s="146" t="s">
        <v>2061</v>
      </c>
      <c r="BP64" s="255" t="s">
        <v>1312</v>
      </c>
      <c r="BQ64" s="138" t="str">
        <f t="shared" si="71"/>
        <v>Verto-Cell (L).120 Дуб невада</v>
      </c>
      <c r="BS64" s="44" t="s">
        <v>2357</v>
      </c>
      <c r="BT64" s="254" t="s">
        <v>316</v>
      </c>
      <c r="BU64" s="139" t="str">
        <f t="shared" si="65"/>
        <v>ДП Геометрія.5/5.ДСП тр.</v>
      </c>
      <c r="BW64" s="432"/>
      <c r="BX64" s="432"/>
      <c r="BY64" s="432"/>
      <c r="CA64" s="742" t="s">
        <v>3190</v>
      </c>
      <c r="CB64" s="137" t="s">
        <v>4106</v>
      </c>
      <c r="CC64" s="138" t="str">
        <f>CONCATENATE(CA64,".",CB64)</f>
        <v>ДП КУПАВА.фальц.робоча.(ні)</v>
      </c>
      <c r="CE64" s="146" t="s">
        <v>3256</v>
      </c>
      <c r="CF64" s="137" t="s">
        <v>4261</v>
      </c>
      <c r="CG64" s="138" t="str">
        <f t="shared" si="72"/>
        <v>ДП Ідея-ЛОФТ.б/з фальц.робоча.ВВ</v>
      </c>
      <c r="CI64" s="147" t="s">
        <v>4349</v>
      </c>
      <c r="CJ64" s="62" t="s">
        <v>4857</v>
      </c>
      <c r="CK64" s="139" t="str">
        <f t="shared" si="73"/>
        <v>Magnet цл +3завіс 3D.Права</v>
      </c>
      <c r="CM64" s="424" t="s">
        <v>3236</v>
      </c>
      <c r="CN64" s="62" t="s">
        <v>4106</v>
      </c>
      <c r="CO64" s="70" t="str">
        <f t="shared" si="75"/>
        <v>ДП Ідея.фальц.неробоча.(ні)</v>
      </c>
      <c r="CY64" s="145" t="s">
        <v>4904</v>
      </c>
      <c r="CZ64" s="134" t="s">
        <v>4904</v>
      </c>
      <c r="DA64" s="238" t="s">
        <v>873</v>
      </c>
      <c r="DD64" s="165" t="s">
        <v>2361</v>
      </c>
      <c r="DE64" s="163">
        <v>3550</v>
      </c>
      <c r="DF64" s="528">
        <f t="shared" si="69"/>
        <v>3550</v>
      </c>
      <c r="DG64" s="523"/>
      <c r="DH64" s="530">
        <f t="shared" si="70"/>
        <v>3550</v>
      </c>
      <c r="DP64" s="795" t="s">
        <v>4118</v>
      </c>
      <c r="DQ64" s="796">
        <v>0</v>
      </c>
      <c r="DR64" s="403">
        <f t="shared" si="13"/>
        <v>0</v>
      </c>
      <c r="DS64" s="514"/>
      <c r="DT64" s="511">
        <f t="shared" si="14"/>
        <v>0</v>
      </c>
      <c r="DU64" s="166"/>
      <c r="DV64" s="738" t="s">
        <v>5768</v>
      </c>
      <c r="DW64" s="166">
        <v>0</v>
      </c>
      <c r="DX64" s="522">
        <f t="shared" si="76"/>
        <v>0</v>
      </c>
      <c r="DY64" s="523"/>
      <c r="DZ64" s="524">
        <f t="shared" si="77"/>
        <v>0</v>
      </c>
      <c r="EB64" s="738" t="s">
        <v>4279</v>
      </c>
      <c r="EC64" s="166">
        <v>250</v>
      </c>
      <c r="ED64" s="522">
        <f t="shared" si="74"/>
        <v>250</v>
      </c>
      <c r="EE64" s="523"/>
      <c r="EF64" s="524">
        <f t="shared" si="50"/>
        <v>250</v>
      </c>
      <c r="EG64" s="165"/>
      <c r="EH64" s="737" t="s">
        <v>4936</v>
      </c>
      <c r="EI64" s="163">
        <v>0</v>
      </c>
      <c r="EJ64" s="537">
        <f t="shared" si="63"/>
        <v>0</v>
      </c>
      <c r="EK64" s="529"/>
      <c r="EL64" s="530">
        <f t="shared" si="64"/>
        <v>0</v>
      </c>
    </row>
    <row r="65" spans="2:142">
      <c r="B65" s="30"/>
      <c r="C65" s="548"/>
      <c r="D65" s="550"/>
      <c r="E65" s="29"/>
      <c r="L65" s="58" t="s">
        <v>1344</v>
      </c>
      <c r="M65" s="48" t="s">
        <v>1696</v>
      </c>
      <c r="N65" s="94" t="s">
        <v>2082</v>
      </c>
      <c r="O65" s="423" t="s">
        <v>728</v>
      </c>
      <c r="Q65" s="58" t="s">
        <v>1344</v>
      </c>
      <c r="R65" s="98" t="s">
        <v>211</v>
      </c>
      <c r="S65" s="94" t="s">
        <v>1010</v>
      </c>
      <c r="U65" s="752" t="s">
        <v>4083</v>
      </c>
      <c r="V65" s="151" t="s">
        <v>242</v>
      </c>
      <c r="W65" s="159" t="s">
        <v>2225</v>
      </c>
      <c r="AK65" s="777" t="s">
        <v>4342</v>
      </c>
      <c r="AL65" s="478" t="s">
        <v>270</v>
      </c>
      <c r="AM65" s="584" t="s">
        <v>2286</v>
      </c>
      <c r="AO65" s="777" t="s">
        <v>4838</v>
      </c>
      <c r="AP65" s="151" t="s">
        <v>5495</v>
      </c>
      <c r="AQ65" s="584" t="s">
        <v>2321</v>
      </c>
      <c r="AU65" s="234" t="s">
        <v>1384</v>
      </c>
      <c r="AV65" s="148" t="s">
        <v>196</v>
      </c>
      <c r="AW65" s="138" t="str">
        <f t="shared" si="47"/>
        <v>ДП ЛАДА B.2/0</v>
      </c>
      <c r="AY65" s="234" t="s">
        <v>2354</v>
      </c>
      <c r="AZ65" s="137" t="s">
        <v>1719</v>
      </c>
      <c r="BA65" s="138" t="str">
        <f t="shared" si="68"/>
        <v>ДП Геометрія.4/0.фальц</v>
      </c>
      <c r="BG65" s="424" t="s">
        <v>3364</v>
      </c>
      <c r="BH65" s="149" t="s">
        <v>342</v>
      </c>
      <c r="BI65" s="139" t="str">
        <f>CONCATENATE(BG65,".",BH65)</f>
        <v>2-стулк,.200</v>
      </c>
      <c r="BK65" s="231" t="s">
        <v>610</v>
      </c>
      <c r="BL65" s="134" t="s">
        <v>409</v>
      </c>
      <c r="BM65" s="135" t="str">
        <f>CONCATENATE(BK65,".",BL65)</f>
        <v>ДП ЛАДА-КОНЦЕПТ.Verto-Cell</v>
      </c>
      <c r="BO65" s="146" t="s">
        <v>2061</v>
      </c>
      <c r="BP65" s="255" t="s">
        <v>1832</v>
      </c>
      <c r="BQ65" s="138" t="str">
        <f t="shared" si="71"/>
        <v>Verto-Cell (L).122 Сосна аз.</v>
      </c>
      <c r="BS65" s="133" t="s">
        <v>2358</v>
      </c>
      <c r="BT65" s="101" t="s">
        <v>4066</v>
      </c>
      <c r="BU65" s="135" t="str">
        <f t="shared" si="65"/>
        <v>ДП Геометрія.6/0.Сотове</v>
      </c>
      <c r="BW65" s="60" t="s">
        <v>2350</v>
      </c>
      <c r="BX65" s="780" t="s">
        <v>4106</v>
      </c>
      <c r="BY65" s="70" t="str">
        <f t="shared" ref="BY65:BY94" si="78">CONCATENATE(BW65,".",BX65)</f>
        <v>ДП Геометрія.1/0.(ні)</v>
      </c>
      <c r="CA65" s="742" t="s">
        <v>3190</v>
      </c>
      <c r="CB65" s="21"/>
      <c r="CC65" s="21"/>
      <c r="CE65" s="147" t="s">
        <v>3256</v>
      </c>
      <c r="CF65" s="62" t="s">
        <v>739</v>
      </c>
      <c r="CG65" s="139" t="str">
        <f t="shared" si="72"/>
        <v>ДП Ідея-ЛОФТ.б/з фальц.робоча.ВП</v>
      </c>
      <c r="CI65" s="146" t="s">
        <v>4350</v>
      </c>
      <c r="CJ65" s="137" t="s">
        <v>4827</v>
      </c>
      <c r="CK65" s="138" t="str">
        <f t="shared" si="73"/>
        <v>Magnet ст +3завіс 3D.Ліва</v>
      </c>
      <c r="CM65" s="86" t="s">
        <v>3239</v>
      </c>
      <c r="CN65" s="56" t="s">
        <v>941</v>
      </c>
      <c r="CO65" s="70" t="str">
        <f t="shared" si="75"/>
        <v>ДП Ідея.б/з фальц.робоча.Verto-FIT Comfort</v>
      </c>
      <c r="CY65" s="146" t="s">
        <v>409</v>
      </c>
      <c r="CZ65" s="137" t="s">
        <v>409</v>
      </c>
      <c r="DA65" s="239" t="s">
        <v>873</v>
      </c>
      <c r="DD65" s="165" t="s">
        <v>2362</v>
      </c>
      <c r="DE65" s="166">
        <v>3850</v>
      </c>
      <c r="DF65" s="528">
        <f t="shared" si="69"/>
        <v>3850</v>
      </c>
      <c r="DG65" s="523"/>
      <c r="DH65" s="530">
        <f t="shared" si="70"/>
        <v>3850</v>
      </c>
      <c r="DP65" s="797" t="s">
        <v>823</v>
      </c>
      <c r="DQ65" s="728">
        <v>0</v>
      </c>
      <c r="DR65" s="528">
        <f t="shared" si="13"/>
        <v>0</v>
      </c>
      <c r="DS65" s="529"/>
      <c r="DT65" s="530">
        <f t="shared" si="14"/>
        <v>0</v>
      </c>
      <c r="DU65" s="166"/>
      <c r="DV65" s="738" t="s">
        <v>5769</v>
      </c>
      <c r="DW65" s="166">
        <v>0</v>
      </c>
      <c r="DX65" s="522">
        <f>ROUND(((DW65-(DW65/6))/$DD$3)*$DE$3,2)</f>
        <v>0</v>
      </c>
      <c r="DY65" s="523"/>
      <c r="DZ65" s="524">
        <f>IF(DY65="",DX65,
IF(AND($DW$10&gt;=VLOOKUP(DY65,$DV$5:$DZ$9,2,0),$DW$10&lt;=VLOOKUP(DY65,$DV$5:$DZ$9,3,0)),
(DX65*(1-VLOOKUP(DY65,$DV$5:$DZ$9,4,0))),
DX65))</f>
        <v>0</v>
      </c>
      <c r="EB65" s="108" t="s">
        <v>1141</v>
      </c>
      <c r="EC65" s="164">
        <v>170</v>
      </c>
      <c r="ED65" s="531">
        <f t="shared" si="74"/>
        <v>170</v>
      </c>
      <c r="EE65" s="526"/>
      <c r="EF65" s="527">
        <f t="shared" si="50"/>
        <v>170</v>
      </c>
      <c r="EG65" s="165"/>
      <c r="EH65" s="739" t="s">
        <v>4937</v>
      </c>
      <c r="EI65" s="164">
        <v>1260</v>
      </c>
      <c r="EJ65" s="531">
        <f t="shared" si="63"/>
        <v>1260</v>
      </c>
      <c r="EK65" s="526"/>
      <c r="EL65" s="527">
        <f t="shared" si="64"/>
        <v>1260</v>
      </c>
    </row>
    <row r="66" spans="2:142">
      <c r="B66" s="30"/>
      <c r="C66" s="548" t="s">
        <v>555</v>
      </c>
      <c r="D66" s="550" t="s">
        <v>729</v>
      </c>
      <c r="E66" s="29"/>
      <c r="L66" s="58" t="s">
        <v>1351</v>
      </c>
      <c r="M66" s="48" t="s">
        <v>1696</v>
      </c>
      <c r="N66" s="94" t="s">
        <v>2082</v>
      </c>
      <c r="O66" s="423" t="s">
        <v>728</v>
      </c>
      <c r="Q66" s="58" t="s">
        <v>1351</v>
      </c>
      <c r="R66" s="98" t="s">
        <v>876</v>
      </c>
      <c r="S66" s="94" t="s">
        <v>877</v>
      </c>
      <c r="U66" s="750" t="s">
        <v>4084</v>
      </c>
      <c r="V66" s="152" t="s">
        <v>243</v>
      </c>
      <c r="W66" s="160" t="s">
        <v>2226</v>
      </c>
      <c r="AK66" s="777" t="s">
        <v>4345</v>
      </c>
      <c r="AL66" s="478" t="s">
        <v>426</v>
      </c>
      <c r="AM66" s="584" t="s">
        <v>2287</v>
      </c>
      <c r="AO66" s="778" t="s">
        <v>4868</v>
      </c>
      <c r="AP66" s="152" t="s">
        <v>177</v>
      </c>
      <c r="AQ66" s="586" t="s">
        <v>2324</v>
      </c>
      <c r="AU66" s="234" t="s">
        <v>1384</v>
      </c>
      <c r="AV66" s="148" t="s">
        <v>197</v>
      </c>
      <c r="AW66" s="138" t="str">
        <f t="shared" si="47"/>
        <v>ДП ЛАДА B.2/1</v>
      </c>
      <c r="AY66" s="234" t="s">
        <v>2354</v>
      </c>
      <c r="AZ66" s="137" t="s">
        <v>1721</v>
      </c>
      <c r="BA66" s="138" t="str">
        <f t="shared" si="68"/>
        <v>ДП Геометрія.4/0.б/з фальц</v>
      </c>
      <c r="BG66" s="426"/>
      <c r="BH66" s="427"/>
      <c r="BI66" s="428"/>
      <c r="BK66" s="234" t="s">
        <v>610</v>
      </c>
      <c r="BL66" s="137"/>
      <c r="BM66" s="138" t="str">
        <f t="shared" si="40"/>
        <v>ДП ЛАДА-КОНЦЕПТ.</v>
      </c>
      <c r="BO66" s="146" t="s">
        <v>2061</v>
      </c>
      <c r="BP66" s="255" t="s">
        <v>1834</v>
      </c>
      <c r="BQ66" s="138" t="str">
        <f t="shared" si="71"/>
        <v>Verto-Cell (L).125 Дуб катан.</v>
      </c>
      <c r="BS66" s="44" t="s">
        <v>2358</v>
      </c>
      <c r="BT66" s="254" t="s">
        <v>316</v>
      </c>
      <c r="BU66" s="139" t="str">
        <f t="shared" si="65"/>
        <v>ДП Геометрія.6/0.ДСП тр.</v>
      </c>
      <c r="BW66" s="162" t="s">
        <v>2351</v>
      </c>
      <c r="BX66" s="246" t="s">
        <v>459</v>
      </c>
      <c r="BY66" s="135" t="str">
        <f t="shared" si="78"/>
        <v>ДП Геометрія.1/1.Кризет</v>
      </c>
      <c r="CA66" s="742" t="s">
        <v>3190</v>
      </c>
      <c r="CB66" s="783" t="s">
        <v>5748</v>
      </c>
      <c r="CC66" s="138" t="str">
        <f t="shared" ref="CC66:CC71" si="79">CONCATENATE(CA66,".",CB66)</f>
        <v>ДП КУПАВА.фальц.робоча.Stand цл Лів +2завіс</v>
      </c>
      <c r="CE66" s="742" t="s">
        <v>3257</v>
      </c>
      <c r="CF66" s="137"/>
      <c r="CG66" s="138" t="str">
        <f t="shared" si="72"/>
        <v>ДП Ідея-ЛОФТ.купе.робоча.</v>
      </c>
      <c r="CI66" s="147" t="s">
        <v>4350</v>
      </c>
      <c r="CJ66" s="62" t="s">
        <v>4857</v>
      </c>
      <c r="CK66" s="139" t="str">
        <f t="shared" si="73"/>
        <v>Magnet ст +3завіс 3D.Права</v>
      </c>
      <c r="CM66" s="86" t="s">
        <v>3244</v>
      </c>
      <c r="CN66" s="56" t="s">
        <v>841</v>
      </c>
      <c r="CO66" s="70" t="str">
        <f t="shared" si="75"/>
        <v>ДП Ідея.купе.робоча.Verto-FIT</v>
      </c>
      <c r="CY66" s="146" t="s">
        <v>2061</v>
      </c>
      <c r="CZ66" s="137" t="s">
        <v>409</v>
      </c>
      <c r="DA66" s="239" t="s">
        <v>873</v>
      </c>
      <c r="DD66" s="165" t="s">
        <v>2363</v>
      </c>
      <c r="DE66" s="166">
        <v>3850</v>
      </c>
      <c r="DF66" s="528">
        <f t="shared" si="69"/>
        <v>3850</v>
      </c>
      <c r="DG66" s="523"/>
      <c r="DH66" s="530">
        <f t="shared" si="70"/>
        <v>3850</v>
      </c>
      <c r="DP66" s="798" t="s">
        <v>824</v>
      </c>
      <c r="DQ66" s="726">
        <v>370</v>
      </c>
      <c r="DR66" s="522">
        <f>ROUND(((DQ66-(DQ66/6))/$DD$3)*$DE$3,2)</f>
        <v>370</v>
      </c>
      <c r="DS66" s="523"/>
      <c r="DT66" s="524">
        <f>IF(DS66="",DR66,
IF(AND($DQ$10&gt;=VLOOKUP(DS66,$DP$5:$DT$9,2,0),$DQ$10&lt;=VLOOKUP(DS66,$DP$5:$DT$9,3,0)),
(DR66*(1-VLOOKUP(DS66,$DP$5:$DT$9,4,0))),
DR66))</f>
        <v>370</v>
      </c>
      <c r="DU66" s="166"/>
      <c r="DV66" s="738" t="s">
        <v>5770</v>
      </c>
      <c r="DW66" s="166">
        <v>0</v>
      </c>
      <c r="DX66" s="522">
        <f t="shared" si="76"/>
        <v>0</v>
      </c>
      <c r="DY66" s="523"/>
      <c r="DZ66" s="524">
        <f t="shared" si="77"/>
        <v>0</v>
      </c>
      <c r="EB66" s="162" t="s">
        <v>2726</v>
      </c>
      <c r="EC66" s="163">
        <v>0</v>
      </c>
      <c r="ED66" s="537">
        <f t="shared" ref="ED66:ED71" si="80">ROUND(((EC66-(EC66/6))/$DD$3)*$DE$3,2)</f>
        <v>0</v>
      </c>
      <c r="EE66" s="529"/>
      <c r="EF66" s="530">
        <f t="shared" si="50"/>
        <v>0</v>
      </c>
      <c r="EG66" s="165"/>
      <c r="EH66" s="738" t="s">
        <v>3376</v>
      </c>
      <c r="EI66" s="166">
        <v>0</v>
      </c>
      <c r="EJ66" s="522">
        <f t="shared" si="63"/>
        <v>0</v>
      </c>
      <c r="EK66" s="523"/>
      <c r="EL66" s="524">
        <f t="shared" si="64"/>
        <v>0</v>
      </c>
    </row>
    <row r="67" spans="2:142">
      <c r="B67" s="30"/>
      <c r="C67" s="548" t="s">
        <v>505</v>
      </c>
      <c r="D67" s="550" t="s">
        <v>729</v>
      </c>
      <c r="E67" s="29"/>
      <c r="L67" s="58" t="s">
        <v>1352</v>
      </c>
      <c r="M67" s="48" t="s">
        <v>1696</v>
      </c>
      <c r="N67" s="94" t="s">
        <v>2082</v>
      </c>
      <c r="O67" s="423" t="s">
        <v>728</v>
      </c>
      <c r="Q67" s="58" t="s">
        <v>1352</v>
      </c>
      <c r="R67" s="98" t="s">
        <v>524</v>
      </c>
      <c r="S67" s="94" t="s">
        <v>1011</v>
      </c>
      <c r="U67" s="815"/>
      <c r="V67" s="816"/>
      <c r="W67" s="808"/>
      <c r="AK67" s="777" t="s">
        <v>6102</v>
      </c>
      <c r="AL67" s="478" t="s">
        <v>6454</v>
      </c>
      <c r="AM67" s="584" t="s">
        <v>6104</v>
      </c>
      <c r="AO67" s="777" t="s">
        <v>6185</v>
      </c>
      <c r="AP67" s="151" t="s">
        <v>5495</v>
      </c>
      <c r="AQ67" s="584" t="s">
        <v>2321</v>
      </c>
      <c r="AU67" s="234" t="s">
        <v>1384</v>
      </c>
      <c r="AV67" s="148" t="s">
        <v>198</v>
      </c>
      <c r="AW67" s="138" t="str">
        <f t="shared" si="47"/>
        <v>ДП ЛАДА B.2/2</v>
      </c>
      <c r="AY67" s="224" t="s">
        <v>2354</v>
      </c>
      <c r="AZ67" s="62" t="s">
        <v>1720</v>
      </c>
      <c r="BA67" s="139" t="str">
        <f t="shared" si="68"/>
        <v>ДП Геометрія.4/0.купе</v>
      </c>
      <c r="BG67" s="57" t="s">
        <v>1810</v>
      </c>
      <c r="BH67" s="41" t="s">
        <v>4106</v>
      </c>
      <c r="BI67" s="139" t="str">
        <f>CONCATENATE(BG67,".",BH67)</f>
        <v>2050 мм.(ні)</v>
      </c>
      <c r="BK67" s="234" t="s">
        <v>610</v>
      </c>
      <c r="BL67" s="137" t="s">
        <v>1894</v>
      </c>
      <c r="BM67" s="138" t="str">
        <f>CONCATENATE(BK67,".",BL67)</f>
        <v>ДП ЛАДА-КОНЦЕПТ.Uni-Mat.</v>
      </c>
      <c r="BO67" s="565"/>
      <c r="BP67" s="561"/>
      <c r="BQ67" s="138" t="str">
        <f t="shared" si="71"/>
        <v>.</v>
      </c>
      <c r="BS67" s="133" t="s">
        <v>2359</v>
      </c>
      <c r="BT67" s="101" t="s">
        <v>4066</v>
      </c>
      <c r="BU67" s="135" t="str">
        <f t="shared" si="65"/>
        <v>ДП Геометрія.6/6.Сотове</v>
      </c>
      <c r="BW67" s="165" t="s">
        <v>2351</v>
      </c>
      <c r="BX67" s="770" t="s">
        <v>4203</v>
      </c>
      <c r="BY67" s="138" t="str">
        <f>CONCATENATE(BW67,".",BX67)</f>
        <v>ДП Геометрія.1/1.Жалюзі</v>
      </c>
      <c r="CA67" s="742" t="s">
        <v>3190</v>
      </c>
      <c r="CB67" s="783" t="s">
        <v>5749</v>
      </c>
      <c r="CC67" s="138" t="str">
        <f t="shared" si="79"/>
        <v>ДП КУПАВА.фальц.робоча.Stand цл Пр +2завіс</v>
      </c>
      <c r="CE67" s="424" t="s">
        <v>3257</v>
      </c>
      <c r="CF67" s="62" t="s">
        <v>4261</v>
      </c>
      <c r="CG67" s="139" t="str">
        <f t="shared" si="72"/>
        <v>ДП Ідея-ЛОФТ.купе.робоча.ВВ</v>
      </c>
      <c r="CI67" s="146" t="s">
        <v>6209</v>
      </c>
      <c r="CJ67" s="137" t="s">
        <v>4827</v>
      </c>
      <c r="CK67" s="239" t="str">
        <f t="shared" ref="CK67:CK74" si="81">CONCATENATE(CI67,".",CJ67)</f>
        <v>Magnet цл (чор.) +2завіс 3D(чор.).Ліва</v>
      </c>
      <c r="CM67" s="432"/>
      <c r="CN67" s="222"/>
      <c r="CO67" s="223"/>
      <c r="CY67" s="146" t="s">
        <v>1313</v>
      </c>
      <c r="CZ67" s="137" t="s">
        <v>1313</v>
      </c>
      <c r="DA67" s="239" t="s">
        <v>873</v>
      </c>
      <c r="DD67" s="165" t="s">
        <v>2364</v>
      </c>
      <c r="DE67" s="166">
        <v>3850</v>
      </c>
      <c r="DF67" s="528">
        <f t="shared" si="69"/>
        <v>3850</v>
      </c>
      <c r="DG67" s="523"/>
      <c r="DH67" s="530">
        <f t="shared" si="70"/>
        <v>3850</v>
      </c>
      <c r="DP67" s="799" t="s">
        <v>3864</v>
      </c>
      <c r="DQ67" s="726">
        <v>410</v>
      </c>
      <c r="DR67" s="522">
        <f t="shared" si="13"/>
        <v>410</v>
      </c>
      <c r="DS67" s="523"/>
      <c r="DT67" s="524">
        <f t="shared" si="14"/>
        <v>410</v>
      </c>
      <c r="DU67" s="166"/>
      <c r="DV67" s="738" t="s">
        <v>5771</v>
      </c>
      <c r="DW67" s="166">
        <v>0</v>
      </c>
      <c r="DX67" s="522">
        <f>ROUND(((DW67-(DW67/6))/$DD$3)*$DE$3,2)</f>
        <v>0</v>
      </c>
      <c r="DY67" s="523"/>
      <c r="DZ67" s="524">
        <f>IF(DY67="",DX67,
IF(AND($DW$10&gt;=VLOOKUP(DY67,$DV$5:$DZ$9,2,0),$DW$10&lt;=VLOOKUP(DY67,$DV$5:$DZ$9,3,0)),
(DX67*(1-VLOOKUP(DY67,$DV$5:$DZ$9,4,0))),
DX67))</f>
        <v>0</v>
      </c>
      <c r="EB67" s="738" t="s">
        <v>4280</v>
      </c>
      <c r="EC67" s="166">
        <v>250</v>
      </c>
      <c r="ED67" s="522">
        <f t="shared" si="80"/>
        <v>250</v>
      </c>
      <c r="EE67" s="523"/>
      <c r="EF67" s="524">
        <f t="shared" si="50"/>
        <v>250</v>
      </c>
      <c r="EG67" s="165"/>
      <c r="EH67" s="739" t="s">
        <v>3377</v>
      </c>
      <c r="EI67" s="164">
        <v>1260</v>
      </c>
      <c r="EJ67" s="531">
        <f t="shared" si="63"/>
        <v>1260</v>
      </c>
      <c r="EK67" s="526"/>
      <c r="EL67" s="527">
        <f t="shared" si="64"/>
        <v>1260</v>
      </c>
    </row>
    <row r="68" spans="2:142">
      <c r="B68" s="30"/>
      <c r="C68" s="548" t="s">
        <v>1111</v>
      </c>
      <c r="D68" s="550" t="s">
        <v>729</v>
      </c>
      <c r="E68" s="29"/>
      <c r="L68" s="58" t="s">
        <v>1353</v>
      </c>
      <c r="M68" s="48" t="s">
        <v>1696</v>
      </c>
      <c r="N68" s="94" t="s">
        <v>2082</v>
      </c>
      <c r="O68" s="423" t="s">
        <v>728</v>
      </c>
      <c r="Q68" s="58" t="s">
        <v>1353</v>
      </c>
      <c r="R68" s="98" t="s">
        <v>668</v>
      </c>
      <c r="S68" s="94" t="s">
        <v>669</v>
      </c>
      <c r="U68" s="752" t="s">
        <v>3258</v>
      </c>
      <c r="V68" s="151" t="s">
        <v>1739</v>
      </c>
      <c r="W68" s="159" t="s">
        <v>2214</v>
      </c>
      <c r="AK68" s="777" t="s">
        <v>6103</v>
      </c>
      <c r="AL68" s="478" t="s">
        <v>6455</v>
      </c>
      <c r="AM68" s="584" t="s">
        <v>6105</v>
      </c>
      <c r="AO68" s="778" t="s">
        <v>6186</v>
      </c>
      <c r="AP68" s="152" t="s">
        <v>177</v>
      </c>
      <c r="AQ68" s="586" t="s">
        <v>2324</v>
      </c>
      <c r="AU68" s="234" t="s">
        <v>1384</v>
      </c>
      <c r="AV68" s="148" t="s">
        <v>185</v>
      </c>
      <c r="AW68" s="138" t="str">
        <f t="shared" si="47"/>
        <v>ДП ЛАДА B.3/0</v>
      </c>
      <c r="AY68" s="234" t="s">
        <v>2355</v>
      </c>
      <c r="AZ68" s="137" t="s">
        <v>1719</v>
      </c>
      <c r="BA68" s="138" t="str">
        <f t="shared" si="68"/>
        <v>ДП Геометрія.4/4.фальц</v>
      </c>
      <c r="BG68" s="57"/>
      <c r="BH68" s="41"/>
      <c r="BI68" s="139"/>
      <c r="BK68" s="234" t="s">
        <v>610</v>
      </c>
      <c r="BL68" s="137" t="s">
        <v>557</v>
      </c>
      <c r="BM68" s="138" t="str">
        <f t="shared" si="40"/>
        <v>ДП ЛАДА-КОНЦЕПТ.Резист</v>
      </c>
      <c r="BO68" s="783" t="s">
        <v>4106</v>
      </c>
      <c r="BP68" s="783" t="s">
        <v>4106</v>
      </c>
      <c r="BQ68" s="138" t="str">
        <f t="shared" si="71"/>
        <v>(ні).(ні)</v>
      </c>
      <c r="BS68" s="44" t="s">
        <v>2359</v>
      </c>
      <c r="BT68" s="254" t="s">
        <v>316</v>
      </c>
      <c r="BU68" s="139" t="str">
        <f t="shared" si="65"/>
        <v>ДП Геометрія.6/6.ДСП тр.</v>
      </c>
      <c r="BW68" s="165" t="s">
        <v>2351</v>
      </c>
      <c r="BX68" s="247" t="s">
        <v>458</v>
      </c>
      <c r="BY68" s="138" t="str">
        <f t="shared" si="78"/>
        <v>ДП Геометрія.1/1.Сатин</v>
      </c>
      <c r="CA68" s="742" t="s">
        <v>3190</v>
      </c>
      <c r="CB68" s="783" t="s">
        <v>5750</v>
      </c>
      <c r="CC68" s="138" t="str">
        <f t="shared" si="79"/>
        <v>ДП КУПАВА.фальц.робоча.Stand кл Лів +2завіс</v>
      </c>
      <c r="CE68" s="228"/>
      <c r="CF68" s="222"/>
      <c r="CG68" s="223"/>
      <c r="CI68" s="147" t="s">
        <v>6209</v>
      </c>
      <c r="CJ68" s="62" t="s">
        <v>4857</v>
      </c>
      <c r="CK68" s="240" t="str">
        <f t="shared" si="81"/>
        <v>Magnet цл (чор.) +2завіс 3D(чор.).Права</v>
      </c>
      <c r="CM68" s="742" t="s">
        <v>3249</v>
      </c>
      <c r="CN68" s="137" t="s">
        <v>975</v>
      </c>
      <c r="CO68" s="138" t="str">
        <f t="shared" ref="CO68:CO74" si="82">CONCATENATE(CM68,".",CN68)</f>
        <v>ДП Ідея-ЛОФТ.фальц.робоча.Standard-MDF</v>
      </c>
      <c r="CW68" s="121"/>
      <c r="CY68" s="721" t="s">
        <v>1893</v>
      </c>
      <c r="CZ68" s="725" t="s">
        <v>1893</v>
      </c>
      <c r="DA68" s="723" t="s">
        <v>873</v>
      </c>
      <c r="DD68" s="165" t="s">
        <v>2365</v>
      </c>
      <c r="DE68" s="166">
        <v>3850</v>
      </c>
      <c r="DF68" s="528">
        <f t="shared" si="69"/>
        <v>3850</v>
      </c>
      <c r="DG68" s="523"/>
      <c r="DH68" s="530">
        <f t="shared" si="70"/>
        <v>3850</v>
      </c>
      <c r="DP68" s="800" t="s">
        <v>1822</v>
      </c>
      <c r="DQ68" s="727">
        <v>410</v>
      </c>
      <c r="DR68" s="525">
        <f t="shared" si="13"/>
        <v>410</v>
      </c>
      <c r="DS68" s="526"/>
      <c r="DT68" s="527">
        <f t="shared" si="14"/>
        <v>410</v>
      </c>
      <c r="DU68" s="166"/>
      <c r="DV68" s="738" t="s">
        <v>4341</v>
      </c>
      <c r="DW68" s="166">
        <v>550</v>
      </c>
      <c r="DX68" s="522">
        <f t="shared" si="76"/>
        <v>550</v>
      </c>
      <c r="DY68" s="523"/>
      <c r="DZ68" s="524">
        <f t="shared" si="77"/>
        <v>550</v>
      </c>
      <c r="EB68" s="108" t="s">
        <v>2727</v>
      </c>
      <c r="EC68" s="164">
        <v>170</v>
      </c>
      <c r="ED68" s="531">
        <f t="shared" si="80"/>
        <v>170</v>
      </c>
      <c r="EE68" s="526"/>
      <c r="EF68" s="527">
        <f t="shared" si="50"/>
        <v>170</v>
      </c>
      <c r="EG68" s="165"/>
      <c r="EH68" s="738" t="s">
        <v>3378</v>
      </c>
      <c r="EI68" s="166">
        <v>0</v>
      </c>
      <c r="EJ68" s="522">
        <f>ROUND(((EI68-(EI68/6))/$DD$3)*$DE$3,2)</f>
        <v>0</v>
      </c>
      <c r="EK68" s="523"/>
      <c r="EL68" s="524">
        <f>IF(EK68="",EJ68,
IF(AND($EI$10&gt;=VLOOKUP(EK68,$EH$5:$EL$9,2,0),$EI$10&lt;=VLOOKUP(EK68,$EH$5:$EL$9,3,0)),
(EJ68*(1-VLOOKUP(EK68,$EH$5:$EL$9,4,0))),
EJ68))</f>
        <v>0</v>
      </c>
    </row>
    <row r="69" spans="2:142">
      <c r="B69" s="30"/>
      <c r="C69" s="548"/>
      <c r="D69" s="550"/>
      <c r="E69" s="29"/>
      <c r="L69" s="58" t="s">
        <v>1378</v>
      </c>
      <c r="M69" s="48" t="s">
        <v>1696</v>
      </c>
      <c r="N69" s="94" t="s">
        <v>2082</v>
      </c>
      <c r="O69" s="423" t="s">
        <v>728</v>
      </c>
      <c r="Q69" s="58" t="s">
        <v>1378</v>
      </c>
      <c r="R69" s="98" t="s">
        <v>878</v>
      </c>
      <c r="S69" s="94" t="s">
        <v>881</v>
      </c>
      <c r="U69" s="815"/>
      <c r="V69" s="816"/>
      <c r="W69" s="808"/>
      <c r="AK69" s="591"/>
      <c r="AL69" s="475"/>
      <c r="AM69" s="592"/>
      <c r="AO69" s="777" t="s">
        <v>4839</v>
      </c>
      <c r="AP69" s="151" t="s">
        <v>5495</v>
      </c>
      <c r="AQ69" s="584" t="s">
        <v>2321</v>
      </c>
      <c r="AU69" s="234" t="s">
        <v>1384</v>
      </c>
      <c r="AV69" s="148" t="s">
        <v>186</v>
      </c>
      <c r="AW69" s="138" t="str">
        <f t="shared" si="47"/>
        <v>ДП ЛАДА B.3/1</v>
      </c>
      <c r="AY69" s="234" t="s">
        <v>2355</v>
      </c>
      <c r="AZ69" s="137" t="s">
        <v>1721</v>
      </c>
      <c r="BA69" s="138" t="str">
        <f t="shared" si="68"/>
        <v>ДП Геометрія.4/4.б/з фальц</v>
      </c>
      <c r="BG69" s="49"/>
      <c r="BH69" s="41"/>
      <c r="BI69" s="70"/>
      <c r="BK69" s="234" t="s">
        <v>610</v>
      </c>
      <c r="BL69" s="137" t="s">
        <v>62</v>
      </c>
      <c r="BM69" s="138" t="str">
        <f t="shared" si="40"/>
        <v>ДП ЛАДА-КОНЦЕПТ.LINE-3D</v>
      </c>
      <c r="BS69" s="426"/>
      <c r="BT69" s="427"/>
      <c r="BU69" s="428"/>
      <c r="BW69" s="165" t="s">
        <v>2351</v>
      </c>
      <c r="BX69" s="770" t="s">
        <v>3851</v>
      </c>
      <c r="BY69" s="138" t="str">
        <f t="shared" si="78"/>
        <v>ДП Геометрія.1/1.Графіт</v>
      </c>
      <c r="CA69" s="742" t="s">
        <v>3190</v>
      </c>
      <c r="CB69" s="783" t="s">
        <v>5751</v>
      </c>
      <c r="CC69" s="138" t="str">
        <f t="shared" si="79"/>
        <v>ДП КУПАВА.фальц.робоча.Stand кл Пр +2завіс</v>
      </c>
      <c r="CE69" s="742" t="s">
        <v>3259</v>
      </c>
      <c r="CF69" s="137"/>
      <c r="CG69" s="138" t="str">
        <f t="shared" si="59"/>
        <v>ДП ЛАДА A.фальц,.робоча..</v>
      </c>
      <c r="CI69" s="146" t="s">
        <v>6210</v>
      </c>
      <c r="CJ69" s="137" t="s">
        <v>4827</v>
      </c>
      <c r="CK69" s="239" t="str">
        <f t="shared" si="81"/>
        <v>Magnet ст (чор.) +2завіс 3D(чор.).Ліва</v>
      </c>
      <c r="CM69" s="742" t="s">
        <v>3249</v>
      </c>
      <c r="CN69" s="137" t="s">
        <v>840</v>
      </c>
      <c r="CO69" s="138" t="str">
        <f t="shared" si="82"/>
        <v>ДП Ідея-ЛОФТ.фальц.робоча.Standard</v>
      </c>
      <c r="CW69" s="121"/>
      <c r="CY69" s="721" t="s">
        <v>1894</v>
      </c>
      <c r="CZ69" s="725" t="s">
        <v>1893</v>
      </c>
      <c r="DA69" s="723" t="s">
        <v>873</v>
      </c>
      <c r="DD69" s="165" t="s">
        <v>2366</v>
      </c>
      <c r="DE69" s="166">
        <v>3850</v>
      </c>
      <c r="DF69" s="528">
        <f t="shared" si="69"/>
        <v>3850</v>
      </c>
      <c r="DG69" s="523"/>
      <c r="DH69" s="530">
        <f t="shared" si="70"/>
        <v>3850</v>
      </c>
      <c r="DP69" s="795" t="s">
        <v>4119</v>
      </c>
      <c r="DQ69" s="796">
        <v>0</v>
      </c>
      <c r="DR69" s="403">
        <f t="shared" si="13"/>
        <v>0</v>
      </c>
      <c r="DS69" s="514"/>
      <c r="DT69" s="511">
        <f t="shared" si="14"/>
        <v>0</v>
      </c>
      <c r="DU69" s="166"/>
      <c r="DV69" s="738" t="s">
        <v>4344</v>
      </c>
      <c r="DW69" s="166">
        <v>550</v>
      </c>
      <c r="DX69" s="522">
        <f t="shared" si="76"/>
        <v>550</v>
      </c>
      <c r="DY69" s="523"/>
      <c r="DZ69" s="524">
        <f t="shared" si="77"/>
        <v>550</v>
      </c>
      <c r="EB69" s="737" t="s">
        <v>2866</v>
      </c>
      <c r="EC69" s="163">
        <v>0</v>
      </c>
      <c r="ED69" s="537">
        <f t="shared" si="80"/>
        <v>0</v>
      </c>
      <c r="EE69" s="529"/>
      <c r="EF69" s="530">
        <f t="shared" si="50"/>
        <v>0</v>
      </c>
      <c r="EG69" s="165"/>
      <c r="EH69" s="739" t="s">
        <v>3379</v>
      </c>
      <c r="EI69" s="164">
        <v>1260</v>
      </c>
      <c r="EJ69" s="531">
        <f>ROUND(((EI69-(EI69/6))/$DD$3)*$DE$3,2)</f>
        <v>1260</v>
      </c>
      <c r="EK69" s="526"/>
      <c r="EL69" s="527">
        <f>IF(EK69="",EJ69,
IF(AND($EI$10&gt;=VLOOKUP(EK69,$EH$5:$EL$9,2,0),$EI$10&lt;=VLOOKUP(EK69,$EH$5:$EL$9,3,0)),
(EJ69*(1-VLOOKUP(EK69,$EH$5:$EL$9,4,0))),
EJ69))</f>
        <v>1260</v>
      </c>
    </row>
    <row r="70" spans="2:142">
      <c r="B70" s="30"/>
      <c r="C70" s="548" t="s">
        <v>25</v>
      </c>
      <c r="D70" s="550" t="s">
        <v>729</v>
      </c>
      <c r="E70" s="29"/>
      <c r="L70" s="58" t="s">
        <v>1379</v>
      </c>
      <c r="M70" s="48" t="s">
        <v>1696</v>
      </c>
      <c r="N70" s="94" t="s">
        <v>2082</v>
      </c>
      <c r="O70" s="423" t="s">
        <v>728</v>
      </c>
      <c r="Q70" s="58" t="s">
        <v>1379</v>
      </c>
      <c r="R70" s="98" t="s">
        <v>658</v>
      </c>
      <c r="S70" s="94" t="s">
        <v>659</v>
      </c>
      <c r="U70" s="143"/>
      <c r="V70" s="151"/>
      <c r="W70" s="159"/>
      <c r="AK70" s="789" t="s">
        <v>5697</v>
      </c>
      <c r="AL70" s="477" t="s">
        <v>1766</v>
      </c>
      <c r="AM70" s="589" t="s">
        <v>5698</v>
      </c>
      <c r="AO70" s="778" t="s">
        <v>4869</v>
      </c>
      <c r="AP70" s="152" t="s">
        <v>177</v>
      </c>
      <c r="AQ70" s="586" t="s">
        <v>2324</v>
      </c>
      <c r="AU70" s="234" t="s">
        <v>1384</v>
      </c>
      <c r="AV70" s="148" t="s">
        <v>199</v>
      </c>
      <c r="AW70" s="138" t="str">
        <f t="shared" si="47"/>
        <v>ДП ЛАДА B.3/2</v>
      </c>
      <c r="AY70" s="224" t="s">
        <v>2355</v>
      </c>
      <c r="AZ70" s="62" t="s">
        <v>1720</v>
      </c>
      <c r="BA70" s="139" t="str">
        <f t="shared" si="68"/>
        <v>ДП Геометрія.4/4.купе</v>
      </c>
      <c r="BG70" s="565"/>
      <c r="BH70" s="561"/>
      <c r="BI70" s="562"/>
      <c r="BK70" s="224" t="s">
        <v>610</v>
      </c>
      <c r="BL70" s="62" t="s">
        <v>5071</v>
      </c>
      <c r="BM70" s="139" t="str">
        <f t="shared" si="40"/>
        <v>ДП ЛАДА-КОНЦЕПТ.Е-шпон</v>
      </c>
      <c r="BS70" s="426"/>
      <c r="BT70" s="427"/>
      <c r="BU70" s="428"/>
      <c r="BW70" s="108" t="s">
        <v>2351</v>
      </c>
      <c r="BX70" s="248" t="s">
        <v>832</v>
      </c>
      <c r="BY70" s="139" t="str">
        <f t="shared" si="78"/>
        <v>ДП Геометрія.1/1.Бронза</v>
      </c>
      <c r="CA70" s="742" t="s">
        <v>3190</v>
      </c>
      <c r="CB70" s="783" t="s">
        <v>5752</v>
      </c>
      <c r="CC70" s="138" t="str">
        <f t="shared" si="79"/>
        <v>ДП КУПАВА.фальц.робоча.Stand ст Лів +2завіс</v>
      </c>
      <c r="CE70" s="742" t="s">
        <v>3259</v>
      </c>
      <c r="CF70" s="137" t="s">
        <v>4261</v>
      </c>
      <c r="CG70" s="138" t="str">
        <f t="shared" si="59"/>
        <v>ДП ЛАДА A.фальц,.робоча..ВВ</v>
      </c>
      <c r="CI70" s="147" t="s">
        <v>6210</v>
      </c>
      <c r="CJ70" s="62" t="s">
        <v>4857</v>
      </c>
      <c r="CK70" s="240" t="str">
        <f t="shared" si="81"/>
        <v>Magnet ст (чор.) +2завіс 3D(чор.).Права</v>
      </c>
      <c r="CM70" s="742" t="s">
        <v>3249</v>
      </c>
      <c r="CN70" s="137" t="s">
        <v>841</v>
      </c>
      <c r="CO70" s="138" t="str">
        <f t="shared" si="82"/>
        <v>ДП Ідея-ЛОФТ.фальц.робоча.Verto-FIT</v>
      </c>
      <c r="CW70" s="121"/>
      <c r="CY70" s="146" t="s">
        <v>557</v>
      </c>
      <c r="CZ70" s="137" t="s">
        <v>557</v>
      </c>
      <c r="DA70" s="239" t="s">
        <v>873</v>
      </c>
      <c r="DD70" s="165" t="s">
        <v>2367</v>
      </c>
      <c r="DE70" s="166">
        <v>3850</v>
      </c>
      <c r="DF70" s="528">
        <f t="shared" si="69"/>
        <v>3850</v>
      </c>
      <c r="DG70" s="523"/>
      <c r="DH70" s="530">
        <f t="shared" si="70"/>
        <v>3850</v>
      </c>
      <c r="DP70" s="797" t="s">
        <v>825</v>
      </c>
      <c r="DQ70" s="728">
        <v>0</v>
      </c>
      <c r="DR70" s="528">
        <f t="shared" si="13"/>
        <v>0</v>
      </c>
      <c r="DS70" s="529"/>
      <c r="DT70" s="530">
        <f t="shared" si="14"/>
        <v>0</v>
      </c>
      <c r="DU70" s="166"/>
      <c r="DV70" s="738" t="s">
        <v>4346</v>
      </c>
      <c r="DW70" s="166">
        <v>800.00000000000011</v>
      </c>
      <c r="DX70" s="522">
        <f>ROUND(((DW70-(DW70/6))/$DD$3)*$DE$3,2)</f>
        <v>800</v>
      </c>
      <c r="DY70" s="523"/>
      <c r="DZ70" s="524">
        <f>IF(DY70="",DX70,
IF(AND($DW$10&gt;=VLOOKUP(DY70,$DV$5:$DZ$9,2,0),$DW$10&lt;=VLOOKUP(DY70,$DV$5:$DZ$9,3,0)),
(DX70*(1-VLOOKUP(DY70,$DV$5:$DZ$9,4,0))),
DX70))</f>
        <v>800</v>
      </c>
      <c r="EB70" s="738" t="s">
        <v>4281</v>
      </c>
      <c r="EC70" s="166">
        <v>250</v>
      </c>
      <c r="ED70" s="522">
        <f t="shared" si="80"/>
        <v>250</v>
      </c>
      <c r="EE70" s="523"/>
      <c r="EF70" s="524">
        <f t="shared" si="50"/>
        <v>250</v>
      </c>
      <c r="EG70" s="165"/>
      <c r="EH70" s="738" t="s">
        <v>3380</v>
      </c>
      <c r="EI70" s="166">
        <v>0</v>
      </c>
      <c r="EJ70" s="522">
        <f>ROUND(((EI70-(EI70/6))/$DD$3)*$DE$3,2)</f>
        <v>0</v>
      </c>
      <c r="EK70" s="523"/>
      <c r="EL70" s="524">
        <f>IF(EK70="",EJ70,
IF(AND($EI$10&gt;=VLOOKUP(EK70,$EH$5:$EL$9,2,0),$EI$10&lt;=VLOOKUP(EK70,$EH$5:$EL$9,3,0)),
(EJ70*(1-VLOOKUP(EK70,$EH$5:$EL$9,4,0))),
EJ70))</f>
        <v>0</v>
      </c>
    </row>
    <row r="71" spans="2:142">
      <c r="B71" s="30"/>
      <c r="C71" s="548" t="s">
        <v>26</v>
      </c>
      <c r="D71" s="550" t="s">
        <v>729</v>
      </c>
      <c r="E71" s="29"/>
      <c r="L71" s="58" t="s">
        <v>1380</v>
      </c>
      <c r="M71" s="48" t="s">
        <v>1696</v>
      </c>
      <c r="N71" s="94" t="s">
        <v>2082</v>
      </c>
      <c r="O71" s="423" t="s">
        <v>728</v>
      </c>
      <c r="Q71" s="58" t="s">
        <v>1380</v>
      </c>
      <c r="R71" s="98" t="s">
        <v>879</v>
      </c>
      <c r="S71" s="94" t="s">
        <v>882</v>
      </c>
      <c r="U71" s="576"/>
      <c r="V71" s="577"/>
      <c r="W71" s="578"/>
      <c r="AK71" s="777" t="s">
        <v>5699</v>
      </c>
      <c r="AL71" s="478" t="s">
        <v>5700</v>
      </c>
      <c r="AM71" s="584" t="s">
        <v>5701</v>
      </c>
      <c r="AO71" s="777" t="s">
        <v>6187</v>
      </c>
      <c r="AP71" s="151" t="s">
        <v>5495</v>
      </c>
      <c r="AQ71" s="584" t="s">
        <v>2321</v>
      </c>
      <c r="AU71" s="234" t="s">
        <v>1384</v>
      </c>
      <c r="AV71" s="148" t="s">
        <v>200</v>
      </c>
      <c r="AW71" s="138" t="str">
        <f t="shared" si="47"/>
        <v>ДП ЛАДА B.3/3</v>
      </c>
      <c r="AY71" s="234" t="s">
        <v>2356</v>
      </c>
      <c r="AZ71" s="137" t="s">
        <v>1719</v>
      </c>
      <c r="BA71" s="138" t="str">
        <f t="shared" si="68"/>
        <v>ДП Геометрія.5/0.фальц</v>
      </c>
      <c r="BK71" s="231" t="s">
        <v>611</v>
      </c>
      <c r="BL71" s="134" t="s">
        <v>409</v>
      </c>
      <c r="BM71" s="135" t="str">
        <f t="shared" si="40"/>
        <v>ДП ЛАДА-НОВА.Verto-Cell</v>
      </c>
      <c r="BS71" s="133" t="s">
        <v>2416</v>
      </c>
      <c r="BT71" s="101" t="s">
        <v>4066</v>
      </c>
      <c r="BU71" s="135" t="str">
        <f t="shared" ref="BU71:BU98" si="83">CONCATENATE(BS71,".",BT71)</f>
        <v>ДП Ідея.1.Сотове</v>
      </c>
      <c r="BW71" s="60" t="s">
        <v>2352</v>
      </c>
      <c r="BX71" s="780" t="s">
        <v>4106</v>
      </c>
      <c r="BY71" s="70" t="str">
        <f t="shared" si="78"/>
        <v>ДП Геометрія.3/0.(ні)</v>
      </c>
      <c r="CA71" s="742" t="s">
        <v>3190</v>
      </c>
      <c r="CB71" s="783" t="s">
        <v>5753</v>
      </c>
      <c r="CC71" s="138" t="str">
        <f t="shared" si="79"/>
        <v>ДП КУПАВА.фальц.робоча.Stand ст Пр +2завіс</v>
      </c>
      <c r="CE71" s="424" t="s">
        <v>3259</v>
      </c>
      <c r="CF71" s="62" t="s">
        <v>739</v>
      </c>
      <c r="CG71" s="139" t="str">
        <f t="shared" si="59"/>
        <v>ДП ЛАДА A.фальц,.робоча..ВП</v>
      </c>
      <c r="CI71" s="146" t="s">
        <v>6213</v>
      </c>
      <c r="CJ71" s="137" t="s">
        <v>4827</v>
      </c>
      <c r="CK71" s="239" t="str">
        <f t="shared" si="81"/>
        <v>Magnet цл (чор.) +3завіс 3D(чор.).Ліва</v>
      </c>
      <c r="CM71" s="424" t="s">
        <v>3249</v>
      </c>
      <c r="CN71" s="62" t="s">
        <v>371</v>
      </c>
      <c r="CO71" s="139" t="str">
        <f t="shared" si="82"/>
        <v>ДП Ідея-ЛОФТ.фальц.робоча.Verto-FIT Plus</v>
      </c>
      <c r="CW71" s="121"/>
      <c r="CY71" s="146" t="s">
        <v>62</v>
      </c>
      <c r="CZ71" s="137" t="s">
        <v>62</v>
      </c>
      <c r="DA71" s="239" t="s">
        <v>873</v>
      </c>
      <c r="DD71" s="165" t="s">
        <v>2368</v>
      </c>
      <c r="DE71" s="166">
        <v>3850</v>
      </c>
      <c r="DF71" s="528">
        <f t="shared" si="69"/>
        <v>3850</v>
      </c>
      <c r="DG71" s="523"/>
      <c r="DH71" s="530">
        <f t="shared" si="70"/>
        <v>3850</v>
      </c>
      <c r="DP71" s="798" t="s">
        <v>826</v>
      </c>
      <c r="DQ71" s="726">
        <v>370</v>
      </c>
      <c r="DR71" s="522">
        <f>ROUND(((DQ71-(DQ71/6))/$DD$3)*$DE$3,2)</f>
        <v>370</v>
      </c>
      <c r="DS71" s="523"/>
      <c r="DT71" s="524">
        <f>IF(DS71="",DR71,
IF(AND($DQ$10&gt;=VLOOKUP(DS71,$DP$5:$DT$9,2,0),$DQ$10&lt;=VLOOKUP(DS71,$DP$5:$DT$9,3,0)),
(DR71*(1-VLOOKUP(DS71,$DP$5:$DT$9,4,0))),
DR71))</f>
        <v>370</v>
      </c>
      <c r="DU71" s="166"/>
      <c r="DV71" s="739" t="s">
        <v>4348</v>
      </c>
      <c r="DW71" s="164">
        <v>800.00000000000011</v>
      </c>
      <c r="DX71" s="525">
        <f>ROUND(((DW71-(DW71/6))/$DD$3)*$DE$3,2)</f>
        <v>800</v>
      </c>
      <c r="DY71" s="526"/>
      <c r="DZ71" s="527">
        <f>IF(DY71="",DX71,
IF(AND($DW$10&gt;=VLOOKUP(DY71,$DV$5:$DZ$9,2,0),$DW$10&lt;=VLOOKUP(DY71,$DV$5:$DZ$9,3,0)),
(DX71*(1-VLOOKUP(DY71,$DV$5:$DZ$9,4,0))),
DX71))</f>
        <v>800</v>
      </c>
      <c r="EB71" s="739" t="s">
        <v>2867</v>
      </c>
      <c r="EC71" s="164">
        <v>170</v>
      </c>
      <c r="ED71" s="531">
        <f t="shared" si="80"/>
        <v>170</v>
      </c>
      <c r="EE71" s="526"/>
      <c r="EF71" s="527">
        <f t="shared" si="50"/>
        <v>170</v>
      </c>
      <c r="EG71" s="165"/>
      <c r="EH71" s="739" t="s">
        <v>3381</v>
      </c>
      <c r="EI71" s="164">
        <v>1460</v>
      </c>
      <c r="EJ71" s="531">
        <f>ROUND(((EI71-(EI71/6))/$DD$3)*$DE$3,2)</f>
        <v>1460</v>
      </c>
      <c r="EK71" s="526"/>
      <c r="EL71" s="527">
        <f>IF(EK71="",EJ71,
IF(AND($EI$10&gt;=VLOOKUP(EK71,$EH$5:$EL$9,2,0),$EI$10&lt;=VLOOKUP(EK71,$EH$5:$EL$9,3,0)),
(EJ71*(1-VLOOKUP(EK71,$EH$5:$EL$9,4,0))),
EJ71))</f>
        <v>1460</v>
      </c>
    </row>
    <row r="72" spans="2:142">
      <c r="B72" s="30"/>
      <c r="C72" s="548" t="s">
        <v>1280</v>
      </c>
      <c r="D72" s="550" t="s">
        <v>729</v>
      </c>
      <c r="E72" s="29"/>
      <c r="L72" s="58" t="s">
        <v>1381</v>
      </c>
      <c r="M72" s="48" t="s">
        <v>1696</v>
      </c>
      <c r="N72" s="94" t="s">
        <v>2082</v>
      </c>
      <c r="O72" s="423" t="s">
        <v>728</v>
      </c>
      <c r="Q72" s="58" t="s">
        <v>1381</v>
      </c>
      <c r="R72" s="98" t="s">
        <v>880</v>
      </c>
      <c r="S72" s="94" t="s">
        <v>883</v>
      </c>
      <c r="U72" s="143"/>
      <c r="V72" s="151"/>
      <c r="W72" s="159"/>
      <c r="AK72" s="777" t="s">
        <v>5711</v>
      </c>
      <c r="AL72" s="478" t="s">
        <v>1767</v>
      </c>
      <c r="AM72" s="584" t="s">
        <v>5712</v>
      </c>
      <c r="AO72" s="778" t="s">
        <v>6188</v>
      </c>
      <c r="AP72" s="152" t="s">
        <v>177</v>
      </c>
      <c r="AQ72" s="586" t="s">
        <v>2324</v>
      </c>
      <c r="AU72" s="234" t="s">
        <v>1384</v>
      </c>
      <c r="AV72" s="148" t="s">
        <v>532</v>
      </c>
      <c r="AW72" s="138" t="str">
        <f t="shared" si="47"/>
        <v>ДП ЛАДА B.3/4</v>
      </c>
      <c r="AY72" s="234" t="s">
        <v>2356</v>
      </c>
      <c r="AZ72" s="137" t="s">
        <v>1721</v>
      </c>
      <c r="BA72" s="138" t="str">
        <f t="shared" si="68"/>
        <v>ДП Геометрія.5/0.б/з фальц</v>
      </c>
      <c r="BK72" s="234" t="s">
        <v>611</v>
      </c>
      <c r="BL72" s="137"/>
      <c r="BM72" s="138" t="str">
        <f t="shared" si="40"/>
        <v>ДП ЛАДА-НОВА.</v>
      </c>
      <c r="BS72" s="44" t="s">
        <v>2416</v>
      </c>
      <c r="BT72" s="254" t="s">
        <v>316</v>
      </c>
      <c r="BU72" s="139" t="str">
        <f t="shared" si="83"/>
        <v>ДП Ідея.1.ДСП тр.</v>
      </c>
      <c r="BW72" s="162" t="s">
        <v>2353</v>
      </c>
      <c r="BX72" s="246" t="s">
        <v>459</v>
      </c>
      <c r="BY72" s="135" t="str">
        <f t="shared" si="78"/>
        <v>ДП Геометрія.3/3.Кризет</v>
      </c>
      <c r="CA72" s="742" t="s">
        <v>3190</v>
      </c>
      <c r="CB72" s="137"/>
      <c r="CC72" s="138"/>
      <c r="CE72" s="746" t="s">
        <v>3260</v>
      </c>
      <c r="CF72" s="137"/>
      <c r="CG72" s="138" t="str">
        <f t="shared" si="59"/>
        <v>ДП ЛАДА A.фальц,.неробоча,.</v>
      </c>
      <c r="CI72" s="147" t="s">
        <v>6213</v>
      </c>
      <c r="CJ72" s="62" t="s">
        <v>4857</v>
      </c>
      <c r="CK72" s="240" t="str">
        <f t="shared" si="81"/>
        <v>Magnet цл (чор.) +3завіс 3D(чор.).Права</v>
      </c>
      <c r="CM72" s="424" t="s">
        <v>3255</v>
      </c>
      <c r="CN72" s="62" t="s">
        <v>4106</v>
      </c>
      <c r="CO72" s="70" t="str">
        <f t="shared" si="82"/>
        <v>ДП Ідея-ЛОФТ.фальц.неробоча.(ні)</v>
      </c>
      <c r="CW72" s="121"/>
      <c r="CY72" s="146" t="s">
        <v>5074</v>
      </c>
      <c r="CZ72" s="137" t="s">
        <v>557</v>
      </c>
      <c r="DA72" s="239" t="s">
        <v>873</v>
      </c>
      <c r="DD72" s="108" t="s">
        <v>2369</v>
      </c>
      <c r="DE72" s="166">
        <v>3850</v>
      </c>
      <c r="DF72" s="528">
        <f t="shared" si="69"/>
        <v>3850</v>
      </c>
      <c r="DG72" s="526"/>
      <c r="DH72" s="530">
        <f t="shared" si="70"/>
        <v>3850</v>
      </c>
      <c r="DP72" s="799" t="s">
        <v>3865</v>
      </c>
      <c r="DQ72" s="726">
        <v>410</v>
      </c>
      <c r="DR72" s="522">
        <f t="shared" si="13"/>
        <v>410</v>
      </c>
      <c r="DS72" s="523"/>
      <c r="DT72" s="524">
        <f t="shared" si="14"/>
        <v>410</v>
      </c>
      <c r="DU72" s="166"/>
      <c r="DV72" s="738" t="s">
        <v>6231</v>
      </c>
      <c r="DW72" s="166">
        <v>1</v>
      </c>
      <c r="DX72" s="522">
        <f t="shared" si="76"/>
        <v>1</v>
      </c>
      <c r="DY72" s="523"/>
      <c r="DZ72" s="524">
        <f t="shared" si="77"/>
        <v>1</v>
      </c>
      <c r="EB72" s="737" t="s">
        <v>2792</v>
      </c>
      <c r="EC72" s="163">
        <v>0</v>
      </c>
      <c r="ED72" s="537">
        <f>ROUND(((EC72-(EC72/6))/$DD$3)*$DE$3,2)</f>
        <v>0</v>
      </c>
      <c r="EE72" s="529"/>
      <c r="EF72" s="530">
        <f>IF(EE72="",ED72,
IF(AND($EC$10&gt;=VLOOKUP(EE72,$EB$5:$EF$9,2,0),$EC$10&lt;=VLOOKUP(EE72,$EB$5:$EF$9,3,0)),
(ED72*(1-VLOOKUP(EE72,$EB$5:$EF$9,4,0))),
ED72))</f>
        <v>0</v>
      </c>
      <c r="EG72" s="165"/>
      <c r="EH72" s="738" t="s">
        <v>3382</v>
      </c>
      <c r="EI72" s="166">
        <v>0</v>
      </c>
      <c r="EJ72" s="522">
        <f t="shared" si="63"/>
        <v>0</v>
      </c>
      <c r="EK72" s="523"/>
      <c r="EL72" s="524">
        <f t="shared" si="64"/>
        <v>0</v>
      </c>
    </row>
    <row r="73" spans="2:142">
      <c r="B73" s="30"/>
      <c r="C73" s="548"/>
      <c r="D73" s="550"/>
      <c r="E73" s="29"/>
      <c r="L73" s="58" t="s">
        <v>1382</v>
      </c>
      <c r="M73" s="48" t="s">
        <v>1696</v>
      </c>
      <c r="N73" s="94" t="s">
        <v>2082</v>
      </c>
      <c r="O73" s="423" t="s">
        <v>728</v>
      </c>
      <c r="Q73" s="58" t="s">
        <v>1382</v>
      </c>
      <c r="R73" s="98" t="s">
        <v>1328</v>
      </c>
      <c r="S73" s="94" t="s">
        <v>1330</v>
      </c>
      <c r="U73" s="763" t="s">
        <v>3383</v>
      </c>
      <c r="V73" s="101" t="s">
        <v>239</v>
      </c>
      <c r="W73" s="100" t="s">
        <v>2178</v>
      </c>
      <c r="AK73" s="777" t="s">
        <v>5713</v>
      </c>
      <c r="AL73" s="478" t="s">
        <v>5714</v>
      </c>
      <c r="AM73" s="584" t="s">
        <v>5715</v>
      </c>
      <c r="AO73" s="777" t="s">
        <v>4840</v>
      </c>
      <c r="AP73" s="151" t="s">
        <v>5495</v>
      </c>
      <c r="AQ73" s="584" t="s">
        <v>2321</v>
      </c>
      <c r="AU73" s="224" t="s">
        <v>1384</v>
      </c>
      <c r="AV73" s="149" t="s">
        <v>1316</v>
      </c>
      <c r="AW73" s="139" t="str">
        <f t="shared" si="47"/>
        <v>ДП ЛАДА B.3/5</v>
      </c>
      <c r="AY73" s="224" t="s">
        <v>2356</v>
      </c>
      <c r="AZ73" s="62" t="s">
        <v>1720</v>
      </c>
      <c r="BA73" s="139" t="str">
        <f t="shared" si="68"/>
        <v>ДП Геометрія.5/0.купе</v>
      </c>
      <c r="BK73" s="234" t="s">
        <v>611</v>
      </c>
      <c r="BL73" s="137" t="s">
        <v>1894</v>
      </c>
      <c r="BM73" s="138" t="str">
        <f>CONCATENATE(BK73,".",BL73)</f>
        <v>ДП ЛАДА-НОВА.Uni-Mat.</v>
      </c>
      <c r="BS73" s="133" t="s">
        <v>2417</v>
      </c>
      <c r="BT73" s="101" t="s">
        <v>4066</v>
      </c>
      <c r="BU73" s="135" t="str">
        <f t="shared" si="83"/>
        <v>ДП Ідея.3/0.Сотове</v>
      </c>
      <c r="BW73" s="165" t="s">
        <v>2353</v>
      </c>
      <c r="BX73" s="770" t="s">
        <v>4203</v>
      </c>
      <c r="BY73" s="138" t="str">
        <f>CONCATENATE(BW73,".",BX73)</f>
        <v>ДП Геометрія.3/3.Жалюзі</v>
      </c>
      <c r="CA73" s="742" t="s">
        <v>3190</v>
      </c>
      <c r="CB73" s="783" t="s">
        <v>5754</v>
      </c>
      <c r="CC73" s="138" t="str">
        <f t="shared" ref="CC73:CC78" si="84">CONCATENATE(CA73,".",CB73)</f>
        <v>ДП КУПАВА.фальц.робоча.Stand цл Лів +3завіс</v>
      </c>
      <c r="CE73" s="742" t="s">
        <v>3260</v>
      </c>
      <c r="CF73" s="137" t="s">
        <v>4261</v>
      </c>
      <c r="CG73" s="138" t="str">
        <f t="shared" si="59"/>
        <v>ДП ЛАДА A.фальц,.неробоча,.ВВ</v>
      </c>
      <c r="CI73" s="146" t="s">
        <v>6214</v>
      </c>
      <c r="CJ73" s="137" t="s">
        <v>4827</v>
      </c>
      <c r="CK73" s="239" t="str">
        <f t="shared" si="81"/>
        <v>Magnet ст (чор.) +3завіс 3D(чор.).Ліва</v>
      </c>
      <c r="CM73" s="86" t="s">
        <v>3256</v>
      </c>
      <c r="CN73" s="56" t="s">
        <v>941</v>
      </c>
      <c r="CO73" s="70" t="str">
        <f t="shared" si="82"/>
        <v>ДП Ідея-ЛОФТ.б/з фальц.робоча.Verto-FIT Comfort</v>
      </c>
      <c r="CW73" s="121"/>
      <c r="CY73" s="146" t="s">
        <v>5071</v>
      </c>
      <c r="CZ73" s="137" t="s">
        <v>5071</v>
      </c>
      <c r="DA73" s="239" t="s">
        <v>873</v>
      </c>
      <c r="DD73" s="165" t="s">
        <v>2370</v>
      </c>
      <c r="DE73" s="166">
        <v>4080</v>
      </c>
      <c r="DF73" s="528">
        <f t="shared" si="69"/>
        <v>4080</v>
      </c>
      <c r="DG73" s="523"/>
      <c r="DH73" s="530">
        <f t="shared" si="70"/>
        <v>4080</v>
      </c>
      <c r="DP73" s="800" t="s">
        <v>1823</v>
      </c>
      <c r="DQ73" s="727">
        <v>410</v>
      </c>
      <c r="DR73" s="525">
        <f t="shared" si="13"/>
        <v>410</v>
      </c>
      <c r="DS73" s="526"/>
      <c r="DT73" s="527">
        <f t="shared" si="14"/>
        <v>410</v>
      </c>
      <c r="DU73" s="166"/>
      <c r="DV73" s="739" t="s">
        <v>6232</v>
      </c>
      <c r="DW73" s="164">
        <v>1</v>
      </c>
      <c r="DX73" s="525">
        <f t="shared" si="76"/>
        <v>1</v>
      </c>
      <c r="DY73" s="526"/>
      <c r="DZ73" s="527">
        <f t="shared" si="77"/>
        <v>1</v>
      </c>
      <c r="EB73" s="738" t="s">
        <v>4282</v>
      </c>
      <c r="EC73" s="166">
        <v>250</v>
      </c>
      <c r="ED73" s="522">
        <f>ROUND(((EC73-(EC73/6))/$DD$3)*$DE$3,2)</f>
        <v>250</v>
      </c>
      <c r="EE73" s="523"/>
      <c r="EF73" s="524">
        <f>IF(EE73="",ED73,
IF(AND($EC$10&gt;=VLOOKUP(EE73,$EB$5:$EF$9,2,0),$EC$10&lt;=VLOOKUP(EE73,$EB$5:$EF$9,3,0)),
(ED73*(1-VLOOKUP(EE73,$EB$5:$EF$9,4,0))),
ED73))</f>
        <v>250</v>
      </c>
      <c r="EG73" s="165"/>
      <c r="EH73" s="739" t="s">
        <v>3384</v>
      </c>
      <c r="EI73" s="164">
        <v>1510</v>
      </c>
      <c r="EJ73" s="531">
        <f t="shared" si="63"/>
        <v>1510</v>
      </c>
      <c r="EK73" s="526"/>
      <c r="EL73" s="527">
        <f t="shared" si="64"/>
        <v>1510</v>
      </c>
    </row>
    <row r="74" spans="2:142">
      <c r="B74" s="30"/>
      <c r="C74" s="755" t="s">
        <v>6472</v>
      </c>
      <c r="D74" s="550" t="s">
        <v>728</v>
      </c>
      <c r="E74" s="29"/>
      <c r="L74" s="58" t="s">
        <v>1383</v>
      </c>
      <c r="M74" s="48" t="s">
        <v>1696</v>
      </c>
      <c r="N74" s="94" t="s">
        <v>2082</v>
      </c>
      <c r="O74" s="423" t="s">
        <v>728</v>
      </c>
      <c r="Q74" s="58" t="s">
        <v>1383</v>
      </c>
      <c r="R74" s="98" t="s">
        <v>1329</v>
      </c>
      <c r="S74" s="94" t="s">
        <v>1331</v>
      </c>
      <c r="U74" s="764" t="s">
        <v>3385</v>
      </c>
      <c r="V74" s="151" t="s">
        <v>240</v>
      </c>
      <c r="W74" s="159" t="s">
        <v>2179</v>
      </c>
      <c r="AK74" s="778" t="s">
        <v>5726</v>
      </c>
      <c r="AL74" s="590" t="s">
        <v>1768</v>
      </c>
      <c r="AM74" s="586" t="s">
        <v>5727</v>
      </c>
      <c r="AO74" s="778" t="s">
        <v>4870</v>
      </c>
      <c r="AP74" s="152" t="s">
        <v>177</v>
      </c>
      <c r="AQ74" s="586" t="s">
        <v>2324</v>
      </c>
      <c r="AU74" s="234" t="s">
        <v>1387</v>
      </c>
      <c r="AV74" s="148" t="s">
        <v>187</v>
      </c>
      <c r="AW74" s="138" t="str">
        <f t="shared" si="47"/>
        <v>ДП ЛАДА C.4/0</v>
      </c>
      <c r="AY74" s="234" t="s">
        <v>2357</v>
      </c>
      <c r="AZ74" s="137" t="s">
        <v>1719</v>
      </c>
      <c r="BA74" s="138" t="str">
        <f t="shared" si="68"/>
        <v>ДП Геометрія.5/5.фальц</v>
      </c>
      <c r="BK74" s="234" t="s">
        <v>611</v>
      </c>
      <c r="BL74" s="137" t="s">
        <v>557</v>
      </c>
      <c r="BM74" s="138" t="str">
        <f t="shared" si="40"/>
        <v>ДП ЛАДА-НОВА.Резист</v>
      </c>
      <c r="BS74" s="44" t="s">
        <v>2417</v>
      </c>
      <c r="BT74" s="254" t="s">
        <v>316</v>
      </c>
      <c r="BU74" s="139" t="str">
        <f t="shared" si="83"/>
        <v>ДП Ідея.3/0.ДСП тр.</v>
      </c>
      <c r="BW74" s="165" t="s">
        <v>2353</v>
      </c>
      <c r="BX74" s="247" t="s">
        <v>458</v>
      </c>
      <c r="BY74" s="138" t="str">
        <f t="shared" si="78"/>
        <v>ДП Геометрія.3/3.Сатин</v>
      </c>
      <c r="CA74" s="742" t="s">
        <v>3190</v>
      </c>
      <c r="CB74" s="783" t="s">
        <v>5755</v>
      </c>
      <c r="CC74" s="138" t="str">
        <f t="shared" si="84"/>
        <v>ДП КУПАВА.фальц.робоча.Stand цл Пр +3завіс</v>
      </c>
      <c r="CE74" s="424" t="s">
        <v>3260</v>
      </c>
      <c r="CF74" s="62" t="s">
        <v>739</v>
      </c>
      <c r="CG74" s="139" t="str">
        <f t="shared" si="59"/>
        <v>ДП ЛАДА A.фальц,.неробоча,.ВП</v>
      </c>
      <c r="CI74" s="147" t="s">
        <v>6214</v>
      </c>
      <c r="CJ74" s="62" t="s">
        <v>4857</v>
      </c>
      <c r="CK74" s="240" t="str">
        <f t="shared" si="81"/>
        <v>Magnet ст (чор.) +3завіс 3D(чор.).Права</v>
      </c>
      <c r="CM74" s="86" t="s">
        <v>3257</v>
      </c>
      <c r="CN74" s="56" t="s">
        <v>841</v>
      </c>
      <c r="CO74" s="70" t="str">
        <f t="shared" si="82"/>
        <v>ДП Ідея-ЛОФТ.купе.робоча.Verto-FIT</v>
      </c>
      <c r="CW74" s="121"/>
      <c r="CY74" s="147" t="s">
        <v>1836</v>
      </c>
      <c r="CZ74" s="62" t="s">
        <v>1836</v>
      </c>
      <c r="DA74" s="240" t="s">
        <v>873</v>
      </c>
      <c r="DD74" s="165" t="s">
        <v>2371</v>
      </c>
      <c r="DE74" s="166">
        <v>4080</v>
      </c>
      <c r="DF74" s="528">
        <f t="shared" si="69"/>
        <v>4080</v>
      </c>
      <c r="DG74" s="523"/>
      <c r="DH74" s="530">
        <f>IF(DG74="",DF74,
IF(AND($DE$10&gt;=VLOOKUP(DG74,$DD$5:$DH$9,2,0),$DE$10&lt;=VLOOKUP(DG74,$DD$5:$DH$9,3,0)),
(DF74*(1-VLOOKUP(DG74,$DD$5:$DH$9,4,0))),
DF74))</f>
        <v>4080</v>
      </c>
      <c r="DP74" s="795" t="s">
        <v>4121</v>
      </c>
      <c r="DQ74" s="796">
        <v>0</v>
      </c>
      <c r="DR74" s="403">
        <f t="shared" ref="DR74:DR110" si="85">ROUND(((DQ74-(DQ74/6))/$DD$3)*$DE$3,2)</f>
        <v>0</v>
      </c>
      <c r="DS74" s="514"/>
      <c r="DT74" s="511">
        <f t="shared" si="14"/>
        <v>0</v>
      </c>
      <c r="DU74" s="166"/>
      <c r="DV74" s="737" t="s">
        <v>5778</v>
      </c>
      <c r="DW74" s="163">
        <v>80</v>
      </c>
      <c r="DX74" s="528">
        <f t="shared" si="76"/>
        <v>80</v>
      </c>
      <c r="DY74" s="529"/>
      <c r="DZ74" s="530">
        <f t="shared" si="77"/>
        <v>80</v>
      </c>
      <c r="EB74" s="739" t="s">
        <v>2793</v>
      </c>
      <c r="EC74" s="164">
        <v>170</v>
      </c>
      <c r="ED74" s="531">
        <f>ROUND(((EC74-(EC74/6))/$DD$3)*$DE$3,2)</f>
        <v>170</v>
      </c>
      <c r="EE74" s="526"/>
      <c r="EF74" s="527">
        <f>IF(EE74="",ED74,
IF(AND($EC$10&gt;=VLOOKUP(EE74,$EB$5:$EF$9,2,0),$EC$10&lt;=VLOOKUP(EE74,$EB$5:$EF$9,3,0)),
(ED74*(1-VLOOKUP(EE74,$EB$5:$EF$9,4,0))),
ED74))</f>
        <v>170</v>
      </c>
      <c r="EG74" s="165"/>
      <c r="EH74" s="738" t="s">
        <v>3386</v>
      </c>
      <c r="EI74" s="166">
        <v>0</v>
      </c>
      <c r="EJ74" s="522">
        <f t="shared" si="63"/>
        <v>0</v>
      </c>
      <c r="EK74" s="523"/>
      <c r="EL74" s="524">
        <f t="shared" si="64"/>
        <v>0</v>
      </c>
    </row>
    <row r="75" spans="2:142" ht="10.8" thickBot="1">
      <c r="B75" s="30"/>
      <c r="C75" s="757" t="s">
        <v>6490</v>
      </c>
      <c r="D75" s="551" t="s">
        <v>728</v>
      </c>
      <c r="E75" s="29"/>
      <c r="L75" s="58"/>
      <c r="M75" s="48"/>
      <c r="N75" s="94"/>
      <c r="O75" s="423"/>
      <c r="Q75" s="58"/>
      <c r="R75" s="98"/>
      <c r="S75" s="94"/>
      <c r="U75" s="764" t="s">
        <v>3387</v>
      </c>
      <c r="V75" s="151" t="s">
        <v>241</v>
      </c>
      <c r="W75" s="159" t="s">
        <v>2180</v>
      </c>
      <c r="AK75" s="777" t="s">
        <v>5729</v>
      </c>
      <c r="AL75" s="478" t="s">
        <v>5731</v>
      </c>
      <c r="AM75" s="584" t="s">
        <v>5730</v>
      </c>
      <c r="AO75" s="777" t="s">
        <v>6189</v>
      </c>
      <c r="AP75" s="151" t="s">
        <v>5495</v>
      </c>
      <c r="AQ75" s="584" t="s">
        <v>2321</v>
      </c>
      <c r="AU75" s="234" t="s">
        <v>1387</v>
      </c>
      <c r="AV75" s="148" t="s">
        <v>188</v>
      </c>
      <c r="AW75" s="138" t="str">
        <f t="shared" si="47"/>
        <v>ДП ЛАДА C.4/1</v>
      </c>
      <c r="AY75" s="234" t="s">
        <v>2357</v>
      </c>
      <c r="AZ75" s="137" t="s">
        <v>1721</v>
      </c>
      <c r="BA75" s="138" t="str">
        <f t="shared" si="68"/>
        <v>ДП Геометрія.5/5.б/з фальц</v>
      </c>
      <c r="BK75" s="234" t="s">
        <v>611</v>
      </c>
      <c r="BL75" s="137" t="s">
        <v>62</v>
      </c>
      <c r="BM75" s="138" t="str">
        <f t="shared" si="40"/>
        <v>ДП ЛАДА-НОВА.LINE-3D</v>
      </c>
      <c r="BS75" s="133" t="s">
        <v>2418</v>
      </c>
      <c r="BT75" s="101" t="s">
        <v>4066</v>
      </c>
      <c r="BU75" s="135" t="str">
        <f t="shared" si="83"/>
        <v>ДП Ідея.3/1.Сотове</v>
      </c>
      <c r="BW75" s="165" t="s">
        <v>2353</v>
      </c>
      <c r="BX75" s="770" t="s">
        <v>3851</v>
      </c>
      <c r="BY75" s="138" t="str">
        <f t="shared" si="78"/>
        <v>ДП Геометрія.3/3.Графіт</v>
      </c>
      <c r="CA75" s="742" t="s">
        <v>3190</v>
      </c>
      <c r="CB75" s="783" t="s">
        <v>5756</v>
      </c>
      <c r="CC75" s="138" t="str">
        <f t="shared" si="84"/>
        <v>ДП КУПАВА.фальц.робоча.Stand кл Лів +3завіс</v>
      </c>
      <c r="CE75" s="146" t="s">
        <v>3261</v>
      </c>
      <c r="CF75" s="137"/>
      <c r="CG75" s="138" t="str">
        <f t="shared" si="59"/>
        <v>ДП ЛАДА A.б/з фальц..робоча..</v>
      </c>
      <c r="CI75" s="228"/>
      <c r="CJ75" s="222"/>
      <c r="CK75" s="223"/>
      <c r="CM75" s="426"/>
      <c r="CN75" s="427"/>
      <c r="CO75" s="428"/>
      <c r="CW75" s="121"/>
      <c r="CX75" s="21"/>
      <c r="CY75" s="700" t="s">
        <v>64</v>
      </c>
      <c r="CZ75" s="701"/>
      <c r="DA75" s="702" t="s">
        <v>1728</v>
      </c>
      <c r="DB75" s="21"/>
      <c r="DD75" s="165" t="s">
        <v>2372</v>
      </c>
      <c r="DE75" s="166">
        <v>4440</v>
      </c>
      <c r="DF75" s="528">
        <f t="shared" si="69"/>
        <v>4440</v>
      </c>
      <c r="DG75" s="523"/>
      <c r="DH75" s="530">
        <f t="shared" si="70"/>
        <v>4440</v>
      </c>
      <c r="DP75" s="797" t="s">
        <v>827</v>
      </c>
      <c r="DQ75" s="728">
        <v>0</v>
      </c>
      <c r="DR75" s="528">
        <f t="shared" si="85"/>
        <v>0</v>
      </c>
      <c r="DS75" s="529"/>
      <c r="DT75" s="530">
        <f t="shared" si="14"/>
        <v>0</v>
      </c>
      <c r="DU75" s="166"/>
      <c r="DV75" s="737" t="s">
        <v>5781</v>
      </c>
      <c r="DW75" s="163">
        <v>80</v>
      </c>
      <c r="DX75" s="528">
        <f>ROUND(((DW75-(DW75/6))/$DD$3)*$DE$3,2)</f>
        <v>80</v>
      </c>
      <c r="DY75" s="529"/>
      <c r="DZ75" s="530">
        <f>IF(DY75="",DX75,
IF(AND($DW$10&gt;=VLOOKUP(DY75,$DV$5:$DZ$9,2,0),$DW$10&lt;=VLOOKUP(DY75,$DV$5:$DZ$9,3,0)),
(DX75*(1-VLOOKUP(DY75,$DV$5:$DZ$9,4,0))),
DX75))</f>
        <v>80</v>
      </c>
      <c r="EB75" s="162" t="s">
        <v>1152</v>
      </c>
      <c r="EC75" s="163">
        <v>0</v>
      </c>
      <c r="ED75" s="537">
        <f t="shared" ref="ED75:ED83" si="86">ROUND(((EC75-(EC75/6))/$DD$3)*$DE$3,2)</f>
        <v>0</v>
      </c>
      <c r="EE75" s="529"/>
      <c r="EF75" s="530">
        <f t="shared" ref="EF75:EF83" si="87">IF(EE75="",ED75,
IF(AND($EC$10&gt;=VLOOKUP(EE75,$EB$5:$EF$9,2,0),$EC$10&lt;=VLOOKUP(EE75,$EB$5:$EF$9,3,0)),
(ED75*(1-VLOOKUP(EE75,$EB$5:$EF$9,4,0))),
ED75))</f>
        <v>0</v>
      </c>
      <c r="EG75" s="165"/>
      <c r="EH75" s="739" t="s">
        <v>3388</v>
      </c>
      <c r="EI75" s="164">
        <v>1600</v>
      </c>
      <c r="EJ75" s="531">
        <f t="shared" si="63"/>
        <v>1600</v>
      </c>
      <c r="EK75" s="526"/>
      <c r="EL75" s="527">
        <f t="shared" si="64"/>
        <v>1600</v>
      </c>
    </row>
    <row r="76" spans="2:142">
      <c r="B76" s="30"/>
      <c r="C76" s="255"/>
      <c r="D76" s="255"/>
      <c r="E76" s="29"/>
      <c r="L76" s="58" t="s">
        <v>1336</v>
      </c>
      <c r="M76" s="48" t="s">
        <v>1696</v>
      </c>
      <c r="N76" s="94" t="s">
        <v>2082</v>
      </c>
      <c r="O76" s="423" t="s">
        <v>728</v>
      </c>
      <c r="P76" s="21"/>
      <c r="Q76" s="58" t="s">
        <v>1336</v>
      </c>
      <c r="R76" s="98" t="s">
        <v>194</v>
      </c>
      <c r="S76" s="94" t="s">
        <v>138</v>
      </c>
      <c r="U76" s="764" t="s">
        <v>3389</v>
      </c>
      <c r="V76" s="151" t="s">
        <v>242</v>
      </c>
      <c r="W76" s="159" t="s">
        <v>2181</v>
      </c>
      <c r="AK76" s="777" t="s">
        <v>4351</v>
      </c>
      <c r="AL76" s="478" t="s">
        <v>1769</v>
      </c>
      <c r="AM76" s="584" t="s">
        <v>2288</v>
      </c>
      <c r="AO76" s="778" t="s">
        <v>6190</v>
      </c>
      <c r="AP76" s="152" t="s">
        <v>177</v>
      </c>
      <c r="AQ76" s="586" t="s">
        <v>2324</v>
      </c>
      <c r="AU76" s="234" t="s">
        <v>1387</v>
      </c>
      <c r="AV76" s="148" t="s">
        <v>189</v>
      </c>
      <c r="AW76" s="138" t="str">
        <f t="shared" si="47"/>
        <v>ДП ЛАДА C.4/2</v>
      </c>
      <c r="AY76" s="224" t="s">
        <v>2357</v>
      </c>
      <c r="AZ76" s="62" t="s">
        <v>1720</v>
      </c>
      <c r="BA76" s="139" t="str">
        <f t="shared" si="68"/>
        <v>ДП Геометрія.5/5.купе</v>
      </c>
      <c r="BK76" s="224" t="s">
        <v>611</v>
      </c>
      <c r="BL76" s="62" t="s">
        <v>5071</v>
      </c>
      <c r="BM76" s="139" t="str">
        <f t="shared" si="40"/>
        <v>ДП ЛАДА-НОВА.Е-шпон</v>
      </c>
      <c r="BS76" s="44" t="s">
        <v>2418</v>
      </c>
      <c r="BT76" s="254" t="s">
        <v>316</v>
      </c>
      <c r="BU76" s="139" t="str">
        <f t="shared" si="83"/>
        <v>ДП Ідея.3/1.ДСП тр.</v>
      </c>
      <c r="BW76" s="108" t="s">
        <v>2353</v>
      </c>
      <c r="BX76" s="248" t="s">
        <v>832</v>
      </c>
      <c r="BY76" s="139" t="str">
        <f t="shared" si="78"/>
        <v>ДП Геометрія.3/3.Бронза</v>
      </c>
      <c r="CA76" s="742" t="s">
        <v>3190</v>
      </c>
      <c r="CB76" s="783" t="s">
        <v>5757</v>
      </c>
      <c r="CC76" s="138" t="str">
        <f t="shared" si="84"/>
        <v>ДП КУПАВА.фальц.робоча.Stand кл Пр +3завіс</v>
      </c>
      <c r="CE76" s="146" t="s">
        <v>3261</v>
      </c>
      <c r="CF76" s="137" t="s">
        <v>4261</v>
      </c>
      <c r="CG76" s="138" t="str">
        <f t="shared" si="59"/>
        <v>ДП ЛАДА A.б/з фальц..робоча..ВВ</v>
      </c>
      <c r="CI76" s="146" t="s">
        <v>4358</v>
      </c>
      <c r="CJ76" s="137" t="s">
        <v>4827</v>
      </c>
      <c r="CK76" s="138" t="str">
        <f t="shared" ref="CK76:CK83" si="88">CONCATENATE(CI76,".",CJ76)</f>
        <v>Glass +2завіс.Ліва</v>
      </c>
      <c r="CM76" s="742" t="s">
        <v>3259</v>
      </c>
      <c r="CN76" s="137" t="s">
        <v>975</v>
      </c>
      <c r="CO76" s="138" t="str">
        <f t="shared" ref="CO76:CO82" si="89">CONCATENATE(CM76,".",CN76)</f>
        <v>ДП ЛАДА A.фальц,.робоча..Standard-MDF</v>
      </c>
      <c r="CW76" s="121"/>
      <c r="CX76" s="21"/>
      <c r="CY76" s="703" t="s">
        <v>756</v>
      </c>
      <c r="CZ76" s="704" t="s">
        <v>3348</v>
      </c>
      <c r="DA76" s="705" t="s">
        <v>3362</v>
      </c>
      <c r="DB76" s="21"/>
      <c r="DD76" s="165" t="s">
        <v>2373</v>
      </c>
      <c r="DE76" s="166">
        <v>4440</v>
      </c>
      <c r="DF76" s="528">
        <f t="shared" si="69"/>
        <v>4440</v>
      </c>
      <c r="DG76" s="523"/>
      <c r="DH76" s="530">
        <f t="shared" si="70"/>
        <v>4440</v>
      </c>
      <c r="DP76" s="798" t="s">
        <v>828</v>
      </c>
      <c r="DQ76" s="726">
        <v>370</v>
      </c>
      <c r="DR76" s="522">
        <f>ROUND(((DQ76-(DQ76/6))/$DD$3)*$DE$3,2)</f>
        <v>370</v>
      </c>
      <c r="DS76" s="523"/>
      <c r="DT76" s="524">
        <f>IF(DS76="",DR76,
IF(AND($DQ$10&gt;=VLOOKUP(DS76,$DP$5:$DT$9,2,0),$DQ$10&lt;=VLOOKUP(DS76,$DP$5:$DT$9,3,0)),
(DR76*(1-VLOOKUP(DS76,$DP$5:$DT$9,4,0))),
DR76))</f>
        <v>370</v>
      </c>
      <c r="DU76" s="166"/>
      <c r="DV76" s="738" t="s">
        <v>5779</v>
      </c>
      <c r="DW76" s="166">
        <v>80</v>
      </c>
      <c r="DX76" s="522">
        <f t="shared" si="76"/>
        <v>80</v>
      </c>
      <c r="DY76" s="523"/>
      <c r="DZ76" s="524">
        <f t="shared" si="77"/>
        <v>80</v>
      </c>
      <c r="EB76" s="738" t="s">
        <v>4283</v>
      </c>
      <c r="EC76" s="166">
        <v>250</v>
      </c>
      <c r="ED76" s="522">
        <f t="shared" si="86"/>
        <v>250</v>
      </c>
      <c r="EE76" s="523"/>
      <c r="EF76" s="524">
        <f t="shared" si="87"/>
        <v>250</v>
      </c>
      <c r="EG76" s="165"/>
      <c r="EH76" s="738" t="s">
        <v>5077</v>
      </c>
      <c r="EI76" s="166">
        <v>0</v>
      </c>
      <c r="EJ76" s="522">
        <f>ROUND(((EI76-(EI76/6))/$DD$3)*$DE$3,2)</f>
        <v>0</v>
      </c>
      <c r="EK76" s="523"/>
      <c r="EL76" s="524">
        <f>IF(EK76="",EJ76,
IF(AND($EI$10&gt;=VLOOKUP(EK76,$EH$5:$EL$9,2,0),$EI$10&lt;=VLOOKUP(EK76,$EH$5:$EL$9,3,0)),
(EJ76*(1-VLOOKUP(EK76,$EH$5:$EL$9,4,0))),
EJ76))</f>
        <v>0</v>
      </c>
    </row>
    <row r="77" spans="2:142" ht="10.8" thickBot="1">
      <c r="B77" s="30"/>
      <c r="C77" s="28" t="s">
        <v>479</v>
      </c>
      <c r="D77" s="35" t="s">
        <v>727</v>
      </c>
      <c r="E77" s="29"/>
      <c r="L77" s="58" t="s">
        <v>1337</v>
      </c>
      <c r="M77" s="48" t="s">
        <v>1696</v>
      </c>
      <c r="N77" s="94" t="s">
        <v>2082</v>
      </c>
      <c r="O77" s="423" t="s">
        <v>728</v>
      </c>
      <c r="Q77" s="58" t="s">
        <v>1337</v>
      </c>
      <c r="R77" s="98" t="s">
        <v>195</v>
      </c>
      <c r="S77" s="94" t="s">
        <v>139</v>
      </c>
      <c r="U77" s="764" t="s">
        <v>3390</v>
      </c>
      <c r="V77" s="151" t="s">
        <v>243</v>
      </c>
      <c r="W77" s="159" t="s">
        <v>2182</v>
      </c>
      <c r="AK77" s="778" t="s">
        <v>4353</v>
      </c>
      <c r="AL77" s="590" t="s">
        <v>1770</v>
      </c>
      <c r="AM77" s="586" t="s">
        <v>2289</v>
      </c>
      <c r="AO77" s="777" t="s">
        <v>4841</v>
      </c>
      <c r="AP77" s="151" t="s">
        <v>5495</v>
      </c>
      <c r="AQ77" s="584" t="s">
        <v>2321</v>
      </c>
      <c r="AU77" s="234" t="s">
        <v>1387</v>
      </c>
      <c r="AV77" s="148" t="s">
        <v>201</v>
      </c>
      <c r="AW77" s="138" t="str">
        <f t="shared" si="47"/>
        <v>ДП ЛАДА C.4/3</v>
      </c>
      <c r="AY77" s="234" t="s">
        <v>2358</v>
      </c>
      <c r="AZ77" s="137" t="s">
        <v>1719</v>
      </c>
      <c r="BA77" s="138" t="str">
        <f t="shared" si="68"/>
        <v>ДП Геометрія.6/0.фальц</v>
      </c>
      <c r="BK77" s="251" t="s">
        <v>2651</v>
      </c>
      <c r="BL77" s="134" t="s">
        <v>409</v>
      </c>
      <c r="BM77" s="135" t="str">
        <f t="shared" ref="BM77:BM107" si="90">CONCATENATE(BK77,".",BL77)</f>
        <v>ДП Міра.Verto-Cell</v>
      </c>
      <c r="BS77" s="133" t="s">
        <v>2419</v>
      </c>
      <c r="BT77" s="101" t="s">
        <v>4066</v>
      </c>
      <c r="BU77" s="135" t="str">
        <f t="shared" si="83"/>
        <v>ДП Ідея.3/2.Сотове</v>
      </c>
      <c r="BW77" s="60" t="s">
        <v>2354</v>
      </c>
      <c r="BX77" s="780" t="s">
        <v>4106</v>
      </c>
      <c r="BY77" s="70" t="str">
        <f t="shared" si="78"/>
        <v>ДП Геометрія.4/0.(ні)</v>
      </c>
      <c r="CA77" s="742" t="s">
        <v>3190</v>
      </c>
      <c r="CB77" s="783" t="s">
        <v>5758</v>
      </c>
      <c r="CC77" s="138" t="str">
        <f t="shared" si="84"/>
        <v>ДП КУПАВА.фальц.робоча.Stand ст Лів +3завіс</v>
      </c>
      <c r="CE77" s="147" t="s">
        <v>3261</v>
      </c>
      <c r="CF77" s="62" t="s">
        <v>739</v>
      </c>
      <c r="CG77" s="139" t="str">
        <f t="shared" si="59"/>
        <v>ДП ЛАДА A.б/з фальц..робоча..ВП</v>
      </c>
      <c r="CI77" s="147" t="s">
        <v>4358</v>
      </c>
      <c r="CJ77" s="62" t="s">
        <v>4857</v>
      </c>
      <c r="CK77" s="139" t="str">
        <f t="shared" si="88"/>
        <v>Glass +2завіс.Права</v>
      </c>
      <c r="CM77" s="742" t="s">
        <v>3259</v>
      </c>
      <c r="CN77" s="137" t="s">
        <v>840</v>
      </c>
      <c r="CO77" s="138" t="str">
        <f t="shared" si="89"/>
        <v>ДП ЛАДА A.фальц,.робоча..Standard</v>
      </c>
      <c r="CW77" s="675" t="s">
        <v>1788</v>
      </c>
      <c r="CX77" s="21"/>
      <c r="CY77" s="706" t="s">
        <v>321</v>
      </c>
      <c r="CZ77" s="573" t="s">
        <v>3348</v>
      </c>
      <c r="DA77" s="707" t="s">
        <v>3362</v>
      </c>
      <c r="DB77" s="21"/>
      <c r="DD77" s="165" t="s">
        <v>2374</v>
      </c>
      <c r="DE77" s="166">
        <v>4440</v>
      </c>
      <c r="DF77" s="528">
        <f t="shared" si="69"/>
        <v>4440</v>
      </c>
      <c r="DG77" s="523"/>
      <c r="DH77" s="530">
        <f t="shared" si="70"/>
        <v>4440</v>
      </c>
      <c r="DP77" s="799" t="s">
        <v>3866</v>
      </c>
      <c r="DQ77" s="726">
        <v>410</v>
      </c>
      <c r="DR77" s="522">
        <f t="shared" si="85"/>
        <v>410</v>
      </c>
      <c r="DS77" s="523"/>
      <c r="DT77" s="524">
        <f t="shared" si="14"/>
        <v>410</v>
      </c>
      <c r="DU77" s="166"/>
      <c r="DV77" s="738" t="s">
        <v>5782</v>
      </c>
      <c r="DW77" s="163">
        <v>80</v>
      </c>
      <c r="DX77" s="528">
        <f>ROUND(((DW77-(DW77/6))/$DD$3)*$DE$3,2)</f>
        <v>80</v>
      </c>
      <c r="DY77" s="529"/>
      <c r="DZ77" s="530">
        <f>IF(DY77="",DX77,
IF(AND($DW$10&gt;=VLOOKUP(DY77,$DV$5:$DZ$9,2,0),$DW$10&lt;=VLOOKUP(DY77,$DV$5:$DZ$9,3,0)),
(DX77*(1-VLOOKUP(DY77,$DV$5:$DZ$9,4,0))),
DX77))</f>
        <v>80</v>
      </c>
      <c r="EB77" s="108" t="s">
        <v>1153</v>
      </c>
      <c r="EC77" s="164">
        <v>170</v>
      </c>
      <c r="ED77" s="531">
        <f t="shared" si="86"/>
        <v>170</v>
      </c>
      <c r="EE77" s="526"/>
      <c r="EF77" s="527">
        <f t="shared" si="87"/>
        <v>170</v>
      </c>
      <c r="EG77" s="165"/>
      <c r="EH77" s="739" t="s">
        <v>5078</v>
      </c>
      <c r="EI77" s="164">
        <v>1720</v>
      </c>
      <c r="EJ77" s="531">
        <f>ROUND(((EI77-(EI77/6))/$DD$3)*$DE$3,2)</f>
        <v>1720</v>
      </c>
      <c r="EK77" s="526"/>
      <c r="EL77" s="527">
        <f>IF(EK77="",EJ77,
IF(AND($EI$10&gt;=VLOOKUP(EK77,$EH$5:$EL$9,2,0),$EI$10&lt;=VLOOKUP(EK77,$EH$5:$EL$9,3,0)),
(EJ77*(1-VLOOKUP(EK77,$EH$5:$EL$9,4,0))),
EJ77))</f>
        <v>1720</v>
      </c>
    </row>
    <row r="78" spans="2:142">
      <c r="B78" s="30"/>
      <c r="C78" s="758" t="s">
        <v>3111</v>
      </c>
      <c r="D78" s="414" t="s">
        <v>729</v>
      </c>
      <c r="E78" s="29"/>
      <c r="L78" s="58" t="s">
        <v>1338</v>
      </c>
      <c r="M78" s="48" t="s">
        <v>1696</v>
      </c>
      <c r="N78" s="94" t="s">
        <v>2082</v>
      </c>
      <c r="O78" s="423" t="s">
        <v>728</v>
      </c>
      <c r="P78" s="21"/>
      <c r="Q78" s="58" t="s">
        <v>1338</v>
      </c>
      <c r="R78" s="98" t="s">
        <v>531</v>
      </c>
      <c r="S78" s="94" t="s">
        <v>1014</v>
      </c>
      <c r="U78" s="764" t="s">
        <v>3391</v>
      </c>
      <c r="V78" s="151" t="s">
        <v>85</v>
      </c>
      <c r="W78" s="435" t="s">
        <v>5425</v>
      </c>
      <c r="AK78" s="777" t="s">
        <v>4355</v>
      </c>
      <c r="AL78" s="478" t="s">
        <v>1771</v>
      </c>
      <c r="AM78" s="584" t="s">
        <v>2290</v>
      </c>
      <c r="AO78" s="778" t="s">
        <v>4871</v>
      </c>
      <c r="AP78" s="152" t="s">
        <v>177</v>
      </c>
      <c r="AQ78" s="586" t="s">
        <v>2324</v>
      </c>
      <c r="AU78" s="234" t="s">
        <v>1387</v>
      </c>
      <c r="AV78" s="148" t="s">
        <v>202</v>
      </c>
      <c r="AW78" s="138" t="str">
        <f t="shared" si="47"/>
        <v>ДП ЛАДА C.4/4</v>
      </c>
      <c r="AY78" s="234" t="s">
        <v>2358</v>
      </c>
      <c r="AZ78" s="137" t="s">
        <v>1721</v>
      </c>
      <c r="BA78" s="138" t="str">
        <f t="shared" si="68"/>
        <v>ДП Геометрія.6/0.б/з фальц</v>
      </c>
      <c r="BK78" s="250" t="s">
        <v>2651</v>
      </c>
      <c r="BL78" s="137"/>
      <c r="BM78" s="138" t="str">
        <f t="shared" si="90"/>
        <v>ДП Міра.</v>
      </c>
      <c r="BS78" s="44" t="s">
        <v>2419</v>
      </c>
      <c r="BT78" s="254" t="s">
        <v>316</v>
      </c>
      <c r="BU78" s="139" t="str">
        <f t="shared" si="83"/>
        <v>ДП Ідея.3/2.ДСП тр.</v>
      </c>
      <c r="BW78" s="162" t="s">
        <v>2355</v>
      </c>
      <c r="BX78" s="246" t="s">
        <v>459</v>
      </c>
      <c r="BY78" s="135" t="str">
        <f t="shared" si="78"/>
        <v>ДП Геометрія.4/4.Кризет</v>
      </c>
      <c r="CA78" s="742" t="s">
        <v>3190</v>
      </c>
      <c r="CB78" s="783" t="s">
        <v>5759</v>
      </c>
      <c r="CC78" s="138" t="str">
        <f t="shared" si="84"/>
        <v>ДП КУПАВА.фальц.робоча.Stand ст Пр +3завіс</v>
      </c>
      <c r="CE78" s="742" t="s">
        <v>3262</v>
      </c>
      <c r="CF78" s="137"/>
      <c r="CG78" s="138" t="str">
        <f t="shared" si="59"/>
        <v>ДП ЛАДА A.купе..робоча..</v>
      </c>
      <c r="CI78" s="146" t="s">
        <v>4361</v>
      </c>
      <c r="CJ78" s="137" t="s">
        <v>4827</v>
      </c>
      <c r="CK78" s="138" t="str">
        <f t="shared" si="88"/>
        <v>Glass кл +2завіс.Ліва</v>
      </c>
      <c r="CM78" s="742" t="s">
        <v>3259</v>
      </c>
      <c r="CN78" s="137" t="s">
        <v>841</v>
      </c>
      <c r="CO78" s="138" t="str">
        <f t="shared" si="89"/>
        <v>ДП ЛАДА A.фальц,.робоча..Verto-FIT</v>
      </c>
      <c r="CW78" s="572"/>
      <c r="CX78" s="21"/>
      <c r="CY78" s="708" t="s">
        <v>322</v>
      </c>
      <c r="CZ78" s="573" t="s">
        <v>3348</v>
      </c>
      <c r="DA78" s="707" t="s">
        <v>3362</v>
      </c>
      <c r="DB78" s="21"/>
      <c r="DD78" s="165" t="s">
        <v>2375</v>
      </c>
      <c r="DE78" s="166">
        <v>4440</v>
      </c>
      <c r="DF78" s="528">
        <f t="shared" si="69"/>
        <v>4440</v>
      </c>
      <c r="DG78" s="523"/>
      <c r="DH78" s="530">
        <f t="shared" si="70"/>
        <v>4440</v>
      </c>
      <c r="DP78" s="800" t="s">
        <v>1824</v>
      </c>
      <c r="DQ78" s="727">
        <v>410</v>
      </c>
      <c r="DR78" s="525">
        <f t="shared" si="85"/>
        <v>410</v>
      </c>
      <c r="DS78" s="526"/>
      <c r="DT78" s="527">
        <f t="shared" si="14"/>
        <v>410</v>
      </c>
      <c r="DU78" s="166"/>
      <c r="DV78" s="738" t="s">
        <v>5780</v>
      </c>
      <c r="DW78" s="166">
        <v>80</v>
      </c>
      <c r="DX78" s="522">
        <f t="shared" si="76"/>
        <v>80</v>
      </c>
      <c r="DY78" s="523"/>
      <c r="DZ78" s="524">
        <f t="shared" si="77"/>
        <v>80</v>
      </c>
      <c r="EB78" s="162" t="s">
        <v>1154</v>
      </c>
      <c r="EC78" s="163">
        <v>0</v>
      </c>
      <c r="ED78" s="537">
        <f t="shared" si="86"/>
        <v>0</v>
      </c>
      <c r="EE78" s="529"/>
      <c r="EF78" s="530">
        <f t="shared" si="87"/>
        <v>0</v>
      </c>
      <c r="EG78" s="165"/>
      <c r="EH78" s="738" t="s">
        <v>3392</v>
      </c>
      <c r="EI78" s="166">
        <v>0</v>
      </c>
      <c r="EJ78" s="522">
        <f t="shared" si="63"/>
        <v>0</v>
      </c>
      <c r="EK78" s="523"/>
      <c r="EL78" s="524">
        <f t="shared" si="64"/>
        <v>0</v>
      </c>
    </row>
    <row r="79" spans="2:142">
      <c r="B79" s="30"/>
      <c r="C79" s="433"/>
      <c r="D79" s="434" t="s">
        <v>729</v>
      </c>
      <c r="E79" s="29"/>
      <c r="L79" s="58" t="s">
        <v>1339</v>
      </c>
      <c r="M79" s="48" t="s">
        <v>1696</v>
      </c>
      <c r="N79" s="94" t="s">
        <v>2082</v>
      </c>
      <c r="O79" s="423" t="s">
        <v>728</v>
      </c>
      <c r="Q79" s="58" t="s">
        <v>1339</v>
      </c>
      <c r="R79" s="98" t="s">
        <v>1314</v>
      </c>
      <c r="S79" s="94" t="s">
        <v>1315</v>
      </c>
      <c r="U79" s="764" t="s">
        <v>3393</v>
      </c>
      <c r="V79" s="151" t="s">
        <v>86</v>
      </c>
      <c r="W79" s="435" t="s">
        <v>5426</v>
      </c>
      <c r="AK79" s="777" t="s">
        <v>4357</v>
      </c>
      <c r="AL79" s="478" t="s">
        <v>1772</v>
      </c>
      <c r="AM79" s="584" t="s">
        <v>2291</v>
      </c>
      <c r="AO79" s="777" t="s">
        <v>6191</v>
      </c>
      <c r="AP79" s="151" t="s">
        <v>5495</v>
      </c>
      <c r="AQ79" s="584" t="s">
        <v>2321</v>
      </c>
      <c r="AU79" s="234" t="s">
        <v>1387</v>
      </c>
      <c r="AV79" s="148" t="s">
        <v>534</v>
      </c>
      <c r="AW79" s="138" t="str">
        <f t="shared" si="47"/>
        <v>ДП ЛАДА C.4/5</v>
      </c>
      <c r="AY79" s="224" t="s">
        <v>2358</v>
      </c>
      <c r="AZ79" s="62" t="s">
        <v>1720</v>
      </c>
      <c r="BA79" s="139" t="str">
        <f t="shared" si="68"/>
        <v>ДП Геометрія.6/0.купе</v>
      </c>
      <c r="BK79" s="250" t="s">
        <v>2651</v>
      </c>
      <c r="BL79" s="137" t="s">
        <v>1894</v>
      </c>
      <c r="BM79" s="138" t="str">
        <f>CONCATENATE(BK79,".",BL79)</f>
        <v>ДП Міра.Uni-Mat.</v>
      </c>
      <c r="BS79" s="133" t="s">
        <v>2420</v>
      </c>
      <c r="BT79" s="101" t="s">
        <v>4066</v>
      </c>
      <c r="BU79" s="135" t="str">
        <f t="shared" si="83"/>
        <v>ДП Ідея.3/3.Сотове</v>
      </c>
      <c r="BW79" s="165" t="s">
        <v>2355</v>
      </c>
      <c r="BX79" s="770" t="s">
        <v>4203</v>
      </c>
      <c r="BY79" s="138" t="str">
        <f>CONCATENATE(BW79,".",BX79)</f>
        <v>ДП Геометрія.4/4.Жалюзі</v>
      </c>
      <c r="CA79" s="742" t="s">
        <v>3190</v>
      </c>
      <c r="CB79" s="21"/>
      <c r="CC79" s="21"/>
      <c r="CE79" s="424" t="s">
        <v>3262</v>
      </c>
      <c r="CF79" s="62" t="s">
        <v>4261</v>
      </c>
      <c r="CG79" s="139" t="str">
        <f t="shared" si="59"/>
        <v>ДП ЛАДА A.купе..робоча..ВВ</v>
      </c>
      <c r="CI79" s="147" t="s">
        <v>4361</v>
      </c>
      <c r="CJ79" s="62" t="s">
        <v>4857</v>
      </c>
      <c r="CK79" s="139" t="str">
        <f t="shared" si="88"/>
        <v>Glass кл +2завіс.Права</v>
      </c>
      <c r="CM79" s="424" t="s">
        <v>3259</v>
      </c>
      <c r="CN79" s="62" t="s">
        <v>371</v>
      </c>
      <c r="CO79" s="139" t="str">
        <f t="shared" si="89"/>
        <v>ДП ЛАДА A.фальц,.робоча..Verto-FIT Plus</v>
      </c>
      <c r="CW79" s="572"/>
      <c r="CX79" s="21"/>
      <c r="CY79" s="708" t="s">
        <v>323</v>
      </c>
      <c r="CZ79" s="573" t="s">
        <v>3348</v>
      </c>
      <c r="DA79" s="707" t="s">
        <v>3362</v>
      </c>
      <c r="DB79" s="21"/>
      <c r="DD79" s="165" t="s">
        <v>2376</v>
      </c>
      <c r="DE79" s="166">
        <v>4440</v>
      </c>
      <c r="DF79" s="528">
        <f t="shared" si="69"/>
        <v>4440</v>
      </c>
      <c r="DG79" s="523"/>
      <c r="DH79" s="530">
        <f t="shared" si="70"/>
        <v>4440</v>
      </c>
      <c r="DP79" s="795" t="s">
        <v>4122</v>
      </c>
      <c r="DQ79" s="796">
        <v>0</v>
      </c>
      <c r="DR79" s="403">
        <f t="shared" si="85"/>
        <v>0</v>
      </c>
      <c r="DS79" s="514"/>
      <c r="DT79" s="511">
        <f t="shared" si="14"/>
        <v>0</v>
      </c>
      <c r="DU79" s="166"/>
      <c r="DV79" s="738" t="s">
        <v>5783</v>
      </c>
      <c r="DW79" s="163">
        <v>80</v>
      </c>
      <c r="DX79" s="528">
        <f>ROUND(((DW79-(DW79/6))/$DD$3)*$DE$3,2)</f>
        <v>80</v>
      </c>
      <c r="DY79" s="529"/>
      <c r="DZ79" s="530">
        <f>IF(DY79="",DX79,
IF(AND($DW$10&gt;=VLOOKUP(DY79,$DV$5:$DZ$9,2,0),$DW$10&lt;=VLOOKUP(DY79,$DV$5:$DZ$9,3,0)),
(DX79*(1-VLOOKUP(DY79,$DV$5:$DZ$9,4,0))),
DX79))</f>
        <v>80</v>
      </c>
      <c r="EB79" s="738" t="s">
        <v>4284</v>
      </c>
      <c r="EC79" s="166">
        <v>250</v>
      </c>
      <c r="ED79" s="522">
        <f t="shared" si="86"/>
        <v>250</v>
      </c>
      <c r="EE79" s="523"/>
      <c r="EF79" s="524">
        <f t="shared" si="87"/>
        <v>250</v>
      </c>
      <c r="EG79" s="165"/>
      <c r="EH79" s="739" t="s">
        <v>3394</v>
      </c>
      <c r="EI79" s="164">
        <v>1720</v>
      </c>
      <c r="EJ79" s="531">
        <f t="shared" si="63"/>
        <v>1720</v>
      </c>
      <c r="EK79" s="526"/>
      <c r="EL79" s="527">
        <f t="shared" si="64"/>
        <v>1720</v>
      </c>
    </row>
    <row r="80" spans="2:142">
      <c r="B80" s="30"/>
      <c r="C80" s="410"/>
      <c r="D80" s="415"/>
      <c r="E80" s="29"/>
      <c r="L80" s="58" t="s">
        <v>1340</v>
      </c>
      <c r="M80" s="48" t="s">
        <v>1696</v>
      </c>
      <c r="N80" s="94" t="s">
        <v>2082</v>
      </c>
      <c r="O80" s="423" t="s">
        <v>728</v>
      </c>
      <c r="Q80" s="58" t="s">
        <v>1340</v>
      </c>
      <c r="R80" s="98" t="s">
        <v>196</v>
      </c>
      <c r="S80" s="94" t="s">
        <v>140</v>
      </c>
      <c r="U80" s="764" t="s">
        <v>3395</v>
      </c>
      <c r="V80" s="151" t="s">
        <v>87</v>
      </c>
      <c r="W80" s="435" t="s">
        <v>5427</v>
      </c>
      <c r="AK80" s="777" t="s">
        <v>6106</v>
      </c>
      <c r="AL80" s="478" t="s">
        <v>6456</v>
      </c>
      <c r="AM80" s="584" t="s">
        <v>6108</v>
      </c>
      <c r="AO80" s="778" t="s">
        <v>6192</v>
      </c>
      <c r="AP80" s="152" t="s">
        <v>177</v>
      </c>
      <c r="AQ80" s="586" t="s">
        <v>2324</v>
      </c>
      <c r="AU80" s="234" t="s">
        <v>1387</v>
      </c>
      <c r="AV80" s="148" t="s">
        <v>535</v>
      </c>
      <c r="AW80" s="138" t="str">
        <f t="shared" si="47"/>
        <v>ДП ЛАДА C.4/6</v>
      </c>
      <c r="AY80" s="234" t="s">
        <v>2359</v>
      </c>
      <c r="AZ80" s="137" t="s">
        <v>1719</v>
      </c>
      <c r="BA80" s="138" t="str">
        <f>CONCATENATE(AY80,".",AZ80)</f>
        <v>ДП Геометрія.6/6.фальц</v>
      </c>
      <c r="BK80" s="250" t="s">
        <v>2651</v>
      </c>
      <c r="BL80" s="137" t="s">
        <v>557</v>
      </c>
      <c r="BM80" s="138" t="str">
        <f t="shared" si="90"/>
        <v>ДП Міра.Резист</v>
      </c>
      <c r="BS80" s="44" t="s">
        <v>2420</v>
      </c>
      <c r="BT80" s="254" t="s">
        <v>316</v>
      </c>
      <c r="BU80" s="139" t="str">
        <f t="shared" si="83"/>
        <v>ДП Ідея.3/3.ДСП тр.</v>
      </c>
      <c r="BW80" s="165" t="s">
        <v>2355</v>
      </c>
      <c r="BX80" s="247" t="s">
        <v>458</v>
      </c>
      <c r="BY80" s="138" t="str">
        <f t="shared" si="78"/>
        <v>ДП Геометрія.4/4.Сатин</v>
      </c>
      <c r="CA80" s="742" t="s">
        <v>3190</v>
      </c>
      <c r="CB80" s="137" t="s">
        <v>4294</v>
      </c>
      <c r="CC80" s="138" t="str">
        <f>CONCATENATE(CA80,".",CB80)</f>
        <v>ДП КУПАВА.фальц.робоча.Soft цл +2завіс</v>
      </c>
      <c r="CE80" s="228"/>
      <c r="CF80" s="222"/>
      <c r="CG80" s="223"/>
      <c r="CI80" s="146" t="s">
        <v>4364</v>
      </c>
      <c r="CJ80" s="137" t="s">
        <v>4827</v>
      </c>
      <c r="CK80" s="138" t="str">
        <f t="shared" si="88"/>
        <v>Glass цл +2завіс.Ліва</v>
      </c>
      <c r="CM80" s="424" t="s">
        <v>3260</v>
      </c>
      <c r="CN80" s="62" t="s">
        <v>4106</v>
      </c>
      <c r="CO80" s="70" t="str">
        <f t="shared" si="89"/>
        <v>ДП ЛАДА A.фальц,.неробоча,.(ні)</v>
      </c>
      <c r="CW80" s="572"/>
      <c r="CX80" s="21"/>
      <c r="CY80" s="708" t="s">
        <v>324</v>
      </c>
      <c r="CZ80" s="573" t="s">
        <v>3348</v>
      </c>
      <c r="DA80" s="707" t="s">
        <v>3362</v>
      </c>
      <c r="DB80" s="21"/>
      <c r="DD80" s="165" t="s">
        <v>2377</v>
      </c>
      <c r="DE80" s="166">
        <v>4440</v>
      </c>
      <c r="DF80" s="528">
        <f t="shared" si="69"/>
        <v>4440</v>
      </c>
      <c r="DG80" s="523"/>
      <c r="DH80" s="530">
        <f t="shared" si="70"/>
        <v>4440</v>
      </c>
      <c r="DP80" s="797" t="s">
        <v>829</v>
      </c>
      <c r="DQ80" s="728">
        <v>0</v>
      </c>
      <c r="DR80" s="528">
        <f t="shared" si="85"/>
        <v>0</v>
      </c>
      <c r="DS80" s="529"/>
      <c r="DT80" s="530">
        <f t="shared" si="14"/>
        <v>0</v>
      </c>
      <c r="DU80" s="166"/>
      <c r="DV80" s="738" t="s">
        <v>4352</v>
      </c>
      <c r="DW80" s="166">
        <v>550</v>
      </c>
      <c r="DX80" s="522">
        <f t="shared" si="76"/>
        <v>550</v>
      </c>
      <c r="DY80" s="523"/>
      <c r="DZ80" s="524">
        <f t="shared" si="77"/>
        <v>550</v>
      </c>
      <c r="EB80" s="108" t="s">
        <v>1155</v>
      </c>
      <c r="EC80" s="164">
        <v>170</v>
      </c>
      <c r="ED80" s="531">
        <f t="shared" si="86"/>
        <v>170</v>
      </c>
      <c r="EE80" s="526"/>
      <c r="EF80" s="527">
        <f t="shared" si="87"/>
        <v>170</v>
      </c>
      <c r="EG80" s="165"/>
      <c r="EH80" s="538"/>
      <c r="EI80" s="539"/>
      <c r="EJ80" s="650"/>
      <c r="EK80" s="651"/>
      <c r="EL80" s="652"/>
    </row>
    <row r="81" spans="2:142">
      <c r="B81" s="30"/>
      <c r="C81" s="745" t="s">
        <v>3112</v>
      </c>
      <c r="D81" s="415" t="s">
        <v>729</v>
      </c>
      <c r="E81" s="29"/>
      <c r="L81" s="58" t="s">
        <v>1341</v>
      </c>
      <c r="M81" s="48" t="s">
        <v>1696</v>
      </c>
      <c r="N81" s="94" t="s">
        <v>2082</v>
      </c>
      <c r="O81" s="423" t="s">
        <v>728</v>
      </c>
      <c r="Q81" s="58" t="s">
        <v>1341</v>
      </c>
      <c r="R81" s="98" t="s">
        <v>197</v>
      </c>
      <c r="S81" s="94" t="s">
        <v>141</v>
      </c>
      <c r="U81" s="764" t="s">
        <v>3396</v>
      </c>
      <c r="V81" s="151" t="s">
        <v>88</v>
      </c>
      <c r="W81" s="435" t="s">
        <v>5428</v>
      </c>
      <c r="AK81" s="777" t="s">
        <v>6107</v>
      </c>
      <c r="AL81" s="478" t="s">
        <v>6457</v>
      </c>
      <c r="AM81" s="584" t="s">
        <v>6109</v>
      </c>
      <c r="AO81" s="591"/>
      <c r="AP81" s="475"/>
      <c r="AQ81" s="592"/>
      <c r="AU81" s="234" t="s">
        <v>1387</v>
      </c>
      <c r="AV81" s="148" t="s">
        <v>1318</v>
      </c>
      <c r="AW81" s="138" t="str">
        <f t="shared" si="47"/>
        <v>ДП ЛАДА C.4/7</v>
      </c>
      <c r="AY81" s="234" t="s">
        <v>2359</v>
      </c>
      <c r="AZ81" s="137" t="s">
        <v>1721</v>
      </c>
      <c r="BA81" s="138" t="str">
        <f>CONCATENATE(AY81,".",AZ81)</f>
        <v>ДП Геометрія.6/6.б/з фальц</v>
      </c>
      <c r="BK81" s="250" t="s">
        <v>2651</v>
      </c>
      <c r="BL81" s="137" t="s">
        <v>62</v>
      </c>
      <c r="BM81" s="138" t="str">
        <f t="shared" si="90"/>
        <v>ДП Міра.LINE-3D</v>
      </c>
      <c r="BS81" s="133" t="s">
        <v>2421</v>
      </c>
      <c r="BT81" s="101" t="s">
        <v>4066</v>
      </c>
      <c r="BU81" s="135" t="str">
        <f t="shared" si="83"/>
        <v>ДП Ідея.4/0.Сотове</v>
      </c>
      <c r="BW81" s="165" t="s">
        <v>2355</v>
      </c>
      <c r="BX81" s="770" t="s">
        <v>3851</v>
      </c>
      <c r="BY81" s="138" t="str">
        <f t="shared" si="78"/>
        <v>ДП Геометрія.4/4.Графіт</v>
      </c>
      <c r="CA81" s="742" t="s">
        <v>3190</v>
      </c>
      <c r="CB81" s="137" t="s">
        <v>4297</v>
      </c>
      <c r="CC81" s="138" t="str">
        <f>CONCATENATE(CA81,".",CB81)</f>
        <v>ДП КУПАВА.фальц.робоча.Soft ст +2завіс</v>
      </c>
      <c r="CE81" s="146" t="s">
        <v>3263</v>
      </c>
      <c r="CF81" s="137"/>
      <c r="CG81" s="138" t="str">
        <f t="shared" si="59"/>
        <v>ДП ЛАДА B.фальц,.робоча..</v>
      </c>
      <c r="CI81" s="147" t="s">
        <v>4364</v>
      </c>
      <c r="CJ81" s="62" t="s">
        <v>4857</v>
      </c>
      <c r="CK81" s="139" t="str">
        <f t="shared" si="88"/>
        <v>Glass цл +2завіс.Права</v>
      </c>
      <c r="CM81" s="86" t="s">
        <v>3261</v>
      </c>
      <c r="CN81" s="56" t="s">
        <v>941</v>
      </c>
      <c r="CO81" s="70" t="str">
        <f t="shared" si="89"/>
        <v>ДП ЛАДА A.б/з фальц..робоча..Verto-FIT Comfort</v>
      </c>
      <c r="CW81" s="572"/>
      <c r="CX81" s="21"/>
      <c r="CY81" s="709" t="s">
        <v>325</v>
      </c>
      <c r="CZ81" s="710" t="s">
        <v>3348</v>
      </c>
      <c r="DA81" s="711" t="s">
        <v>3364</v>
      </c>
      <c r="DB81" s="21"/>
      <c r="DD81" s="165" t="s">
        <v>2378</v>
      </c>
      <c r="DE81" s="166">
        <v>4440</v>
      </c>
      <c r="DF81" s="528">
        <f t="shared" si="69"/>
        <v>4440</v>
      </c>
      <c r="DG81" s="523"/>
      <c r="DH81" s="530">
        <f t="shared" si="70"/>
        <v>4440</v>
      </c>
      <c r="DP81" s="798" t="s">
        <v>830</v>
      </c>
      <c r="DQ81" s="726">
        <v>370</v>
      </c>
      <c r="DR81" s="522">
        <f>ROUND(((DQ81-(DQ81/6))/$DD$3)*$DE$3,2)</f>
        <v>370</v>
      </c>
      <c r="DS81" s="523"/>
      <c r="DT81" s="524">
        <f>IF(DS81="",DR81,
IF(AND($DQ$10&gt;=VLOOKUP(DS81,$DP$5:$DT$9,2,0),$DQ$10&lt;=VLOOKUP(DS81,$DP$5:$DT$9,3,0)),
(DR81*(1-VLOOKUP(DS81,$DP$5:$DT$9,4,0))),
DR81))</f>
        <v>370</v>
      </c>
      <c r="DU81" s="166"/>
      <c r="DV81" s="738" t="s">
        <v>4354</v>
      </c>
      <c r="DW81" s="166">
        <v>550</v>
      </c>
      <c r="DX81" s="522">
        <f t="shared" si="76"/>
        <v>550</v>
      </c>
      <c r="DY81" s="523"/>
      <c r="DZ81" s="524">
        <f t="shared" si="77"/>
        <v>550</v>
      </c>
      <c r="EB81" s="162" t="s">
        <v>379</v>
      </c>
      <c r="EC81" s="163">
        <v>0</v>
      </c>
      <c r="ED81" s="537">
        <f t="shared" si="86"/>
        <v>0</v>
      </c>
      <c r="EE81" s="529"/>
      <c r="EF81" s="530">
        <f t="shared" si="87"/>
        <v>0</v>
      </c>
      <c r="EG81" s="165"/>
      <c r="EH81" s="737" t="s">
        <v>4938</v>
      </c>
      <c r="EI81" s="163">
        <v>0</v>
      </c>
      <c r="EJ81" s="537">
        <f t="shared" ref="EJ81:EJ96" si="91">ROUND(((EI81-(EI81/6))/$DD$3)*$DE$3,2)</f>
        <v>0</v>
      </c>
      <c r="EK81" s="529"/>
      <c r="EL81" s="530">
        <f t="shared" ref="EL81:EL96" si="92">IF(EK81="",EJ81,
IF(AND($EI$10&gt;=VLOOKUP(EK81,$EH$5:$EL$9,2,0),$EI$10&lt;=VLOOKUP(EK81,$EH$5:$EL$9,3,0)),
(EJ81*(1-VLOOKUP(EK81,$EH$5:$EL$9,4,0))),
EJ81))</f>
        <v>0</v>
      </c>
    </row>
    <row r="82" spans="2:142">
      <c r="B82" s="30"/>
      <c r="C82" s="745" t="s">
        <v>3117</v>
      </c>
      <c r="D82" s="415" t="s">
        <v>729</v>
      </c>
      <c r="E82" s="29"/>
      <c r="L82" s="58" t="s">
        <v>1342</v>
      </c>
      <c r="M82" s="48" t="s">
        <v>1696</v>
      </c>
      <c r="N82" s="94" t="s">
        <v>2082</v>
      </c>
      <c r="O82" s="423" t="s">
        <v>728</v>
      </c>
      <c r="Q82" s="58" t="s">
        <v>1342</v>
      </c>
      <c r="R82" s="98" t="s">
        <v>198</v>
      </c>
      <c r="S82" s="94" t="s">
        <v>142</v>
      </c>
      <c r="U82" s="764" t="s">
        <v>3397</v>
      </c>
      <c r="V82" s="151" t="s">
        <v>89</v>
      </c>
      <c r="W82" s="435" t="s">
        <v>5429</v>
      </c>
      <c r="AK82" s="591"/>
      <c r="AL82" s="475"/>
      <c r="AM82" s="592"/>
      <c r="AO82" s="583"/>
      <c r="AP82" s="478"/>
      <c r="AQ82" s="584"/>
      <c r="AU82" s="234" t="s">
        <v>1387</v>
      </c>
      <c r="AV82" s="148" t="s">
        <v>1319</v>
      </c>
      <c r="AW82" s="138" t="str">
        <f t="shared" si="47"/>
        <v>ДП ЛАДА C.4/8</v>
      </c>
      <c r="AY82" s="224" t="s">
        <v>2359</v>
      </c>
      <c r="AZ82" s="62" t="s">
        <v>1720</v>
      </c>
      <c r="BA82" s="139" t="str">
        <f>CONCATENATE(AY82,".",AZ82)</f>
        <v>ДП Геометрія.6/6.купе</v>
      </c>
      <c r="BK82" s="250" t="s">
        <v>2651</v>
      </c>
      <c r="BL82" s="62" t="s">
        <v>5071</v>
      </c>
      <c r="BM82" s="139" t="str">
        <f t="shared" si="90"/>
        <v>ДП Міра.Е-шпон</v>
      </c>
      <c r="BS82" s="44" t="s">
        <v>2421</v>
      </c>
      <c r="BT82" s="254" t="s">
        <v>316</v>
      </c>
      <c r="BU82" s="139" t="str">
        <f t="shared" si="83"/>
        <v>ДП Ідея.4/0.ДСП тр.</v>
      </c>
      <c r="BW82" s="108" t="s">
        <v>2355</v>
      </c>
      <c r="BX82" s="248" t="s">
        <v>832</v>
      </c>
      <c r="BY82" s="139" t="str">
        <f t="shared" si="78"/>
        <v>ДП Геометрія.4/4.Бронза</v>
      </c>
      <c r="CA82" s="742" t="s">
        <v>3190</v>
      </c>
      <c r="CB82" s="21"/>
      <c r="CC82" s="21"/>
      <c r="CE82" s="146" t="s">
        <v>3263</v>
      </c>
      <c r="CF82" s="137" t="s">
        <v>4261</v>
      </c>
      <c r="CG82" s="138" t="str">
        <f t="shared" si="59"/>
        <v>ДП ЛАДА B.фальц,.робоча..ВВ</v>
      </c>
      <c r="CI82" s="146" t="s">
        <v>5640</v>
      </c>
      <c r="CJ82" s="137" t="s">
        <v>4827</v>
      </c>
      <c r="CK82" s="138" t="str">
        <f t="shared" si="88"/>
        <v>Glass ст зов Лів +2завіс.Ліва</v>
      </c>
      <c r="CM82" s="86" t="s">
        <v>3262</v>
      </c>
      <c r="CN82" s="56" t="s">
        <v>841</v>
      </c>
      <c r="CO82" s="70" t="str">
        <f t="shared" si="89"/>
        <v>ДП ЛАДА A.купе..робоча..Verto-FIT</v>
      </c>
      <c r="CW82" s="121"/>
      <c r="CX82" s="21"/>
      <c r="CY82" s="712"/>
      <c r="CZ82" s="713"/>
      <c r="DA82" s="714"/>
      <c r="DB82" s="21"/>
      <c r="DD82" s="108" t="s">
        <v>2379</v>
      </c>
      <c r="DE82" s="166">
        <v>4440</v>
      </c>
      <c r="DF82" s="528">
        <f t="shared" si="69"/>
        <v>4440</v>
      </c>
      <c r="DG82" s="526"/>
      <c r="DH82" s="530">
        <f t="shared" si="70"/>
        <v>4440</v>
      </c>
      <c r="DP82" s="799" t="s">
        <v>3867</v>
      </c>
      <c r="DQ82" s="726">
        <v>410</v>
      </c>
      <c r="DR82" s="522">
        <f t="shared" si="85"/>
        <v>410</v>
      </c>
      <c r="DS82" s="523"/>
      <c r="DT82" s="524">
        <f t="shared" si="14"/>
        <v>410</v>
      </c>
      <c r="DU82" s="166"/>
      <c r="DV82" s="738" t="s">
        <v>4356</v>
      </c>
      <c r="DW82" s="166">
        <v>800</v>
      </c>
      <c r="DX82" s="522">
        <f>ROUND(((DW82-(DW82/6))/$DD$3)*$DE$3,2)</f>
        <v>800</v>
      </c>
      <c r="DY82" s="523"/>
      <c r="DZ82" s="524">
        <f>IF(DY82="",DX82,
IF(AND($DW$10&gt;=VLOOKUP(DY82,$DV$5:$DZ$9,2,0),$DW$10&lt;=VLOOKUP(DY82,$DV$5:$DZ$9,3,0)),
(DX82*(1-VLOOKUP(DY82,$DV$5:$DZ$9,4,0))),
DX82))</f>
        <v>800</v>
      </c>
      <c r="EB82" s="738" t="s">
        <v>4285</v>
      </c>
      <c r="EC82" s="166">
        <v>250</v>
      </c>
      <c r="ED82" s="522">
        <f t="shared" si="86"/>
        <v>250</v>
      </c>
      <c r="EE82" s="523"/>
      <c r="EF82" s="524">
        <f t="shared" si="87"/>
        <v>250</v>
      </c>
      <c r="EG82" s="165"/>
      <c r="EH82" s="739" t="s">
        <v>4939</v>
      </c>
      <c r="EI82" s="20">
        <v>1310</v>
      </c>
      <c r="EJ82" s="531">
        <f t="shared" si="91"/>
        <v>1310</v>
      </c>
      <c r="EK82" s="526"/>
      <c r="EL82" s="527">
        <f t="shared" si="92"/>
        <v>1310</v>
      </c>
    </row>
    <row r="83" spans="2:142">
      <c r="B83" s="30"/>
      <c r="C83" s="745" t="s">
        <v>3114</v>
      </c>
      <c r="D83" s="415" t="s">
        <v>729</v>
      </c>
      <c r="E83" s="29"/>
      <c r="L83" s="58" t="s">
        <v>1345</v>
      </c>
      <c r="M83" s="48" t="s">
        <v>1696</v>
      </c>
      <c r="N83" s="94" t="s">
        <v>2082</v>
      </c>
      <c r="O83" s="423" t="s">
        <v>728</v>
      </c>
      <c r="Q83" s="58" t="s">
        <v>1345</v>
      </c>
      <c r="R83" s="98" t="s">
        <v>185</v>
      </c>
      <c r="S83" s="94" t="s">
        <v>143</v>
      </c>
      <c r="U83" s="764" t="s">
        <v>3398</v>
      </c>
      <c r="V83" s="151" t="s">
        <v>90</v>
      </c>
      <c r="W83" s="435" t="s">
        <v>5430</v>
      </c>
      <c r="AK83" s="789" t="s">
        <v>5702</v>
      </c>
      <c r="AL83" s="477" t="s">
        <v>1773</v>
      </c>
      <c r="AM83" s="589" t="s">
        <v>5703</v>
      </c>
      <c r="AO83" s="593"/>
      <c r="AP83" s="577"/>
      <c r="AQ83" s="594"/>
      <c r="AU83" s="234" t="s">
        <v>1387</v>
      </c>
      <c r="AV83" s="148" t="s">
        <v>190</v>
      </c>
      <c r="AW83" s="138" t="str">
        <f t="shared" si="47"/>
        <v>ДП ЛАДА C.5/0</v>
      </c>
      <c r="AY83" s="432"/>
      <c r="AZ83" s="222"/>
      <c r="BA83" s="223"/>
      <c r="BK83" s="231" t="s">
        <v>1075</v>
      </c>
      <c r="BL83" s="134" t="s">
        <v>409</v>
      </c>
      <c r="BM83" s="135" t="str">
        <f t="shared" si="90"/>
        <v>ДП ЛАДА-ЛОФТ.Verto-Cell</v>
      </c>
      <c r="BS83" s="133" t="s">
        <v>2422</v>
      </c>
      <c r="BT83" s="101" t="s">
        <v>4066</v>
      </c>
      <c r="BU83" s="135" t="str">
        <f t="shared" si="83"/>
        <v>ДП Ідея.4/1.Сотове</v>
      </c>
      <c r="BW83" s="60" t="s">
        <v>2356</v>
      </c>
      <c r="BX83" s="780" t="s">
        <v>4106</v>
      </c>
      <c r="BY83" s="70" t="str">
        <f t="shared" si="78"/>
        <v>ДП Геометрія.5/0.(ні)</v>
      </c>
      <c r="CA83" s="742" t="s">
        <v>3190</v>
      </c>
      <c r="CB83" s="137" t="s">
        <v>4304</v>
      </c>
      <c r="CC83" s="138" t="str">
        <f>CONCATENATE(CA83,".",CB83)</f>
        <v>ДП КУПАВА.фальц.робоча.Soft цл +3завіс</v>
      </c>
      <c r="CE83" s="147" t="s">
        <v>3263</v>
      </c>
      <c r="CF83" s="62" t="s">
        <v>739</v>
      </c>
      <c r="CG83" s="139" t="str">
        <f t="shared" si="59"/>
        <v>ДП ЛАДА B.фальц,.робоча..ВП</v>
      </c>
      <c r="CI83" s="147" t="s">
        <v>5639</v>
      </c>
      <c r="CJ83" s="62" t="s">
        <v>4857</v>
      </c>
      <c r="CK83" s="139" t="str">
        <f t="shared" si="88"/>
        <v>Glass ст зов Пр +2завіс.Права</v>
      </c>
      <c r="CM83" s="432"/>
      <c r="CN83" s="427"/>
      <c r="CO83" s="428"/>
      <c r="CW83" s="121"/>
      <c r="CX83" s="21"/>
      <c r="CY83" s="673" t="s">
        <v>3348</v>
      </c>
      <c r="CZ83" s="715" t="s">
        <v>3357</v>
      </c>
      <c r="DA83" s="674" t="s">
        <v>3362</v>
      </c>
      <c r="DB83" s="21"/>
      <c r="DD83" s="165" t="s">
        <v>2380</v>
      </c>
      <c r="DE83" s="166">
        <v>4360</v>
      </c>
      <c r="DF83" s="528">
        <f t="shared" si="69"/>
        <v>4360</v>
      </c>
      <c r="DG83" s="523"/>
      <c r="DH83" s="530">
        <f t="shared" si="70"/>
        <v>4360</v>
      </c>
      <c r="DP83" s="800" t="s">
        <v>1825</v>
      </c>
      <c r="DQ83" s="727">
        <v>410</v>
      </c>
      <c r="DR83" s="525">
        <f t="shared" si="85"/>
        <v>410</v>
      </c>
      <c r="DS83" s="526"/>
      <c r="DT83" s="527">
        <f t="shared" si="14"/>
        <v>410</v>
      </c>
      <c r="DU83" s="166"/>
      <c r="DV83" s="739" t="s">
        <v>4359</v>
      </c>
      <c r="DW83" s="164">
        <v>800</v>
      </c>
      <c r="DX83" s="525">
        <f>ROUND(((DW83-(DW83/6))/$DD$3)*$DE$3,2)</f>
        <v>800</v>
      </c>
      <c r="DY83" s="526"/>
      <c r="DZ83" s="527">
        <f>IF(DY83="",DX83,
IF(AND($DW$10&gt;=VLOOKUP(DY83,$DV$5:$DZ$9,2,0),$DW$10&lt;=VLOOKUP(DY83,$DV$5:$DZ$9,3,0)),
(DX83*(1-VLOOKUP(DY83,$DV$5:$DZ$9,4,0))),
DX83))</f>
        <v>800</v>
      </c>
      <c r="EB83" s="108" t="s">
        <v>1000</v>
      </c>
      <c r="EC83" s="164">
        <v>170</v>
      </c>
      <c r="ED83" s="531">
        <f t="shared" si="86"/>
        <v>170</v>
      </c>
      <c r="EE83" s="526"/>
      <c r="EF83" s="527">
        <f t="shared" si="87"/>
        <v>170</v>
      </c>
      <c r="EG83" s="165"/>
      <c r="EH83" s="738" t="s">
        <v>3399</v>
      </c>
      <c r="EI83" s="166">
        <v>0</v>
      </c>
      <c r="EJ83" s="522">
        <f t="shared" si="91"/>
        <v>0</v>
      </c>
      <c r="EK83" s="523"/>
      <c r="EL83" s="524">
        <f t="shared" si="92"/>
        <v>0</v>
      </c>
    </row>
    <row r="84" spans="2:142">
      <c r="B84" s="30"/>
      <c r="C84" s="745" t="s">
        <v>3118</v>
      </c>
      <c r="D84" s="415" t="s">
        <v>729</v>
      </c>
      <c r="E84" s="29"/>
      <c r="L84" s="58" t="s">
        <v>1346</v>
      </c>
      <c r="M84" s="48" t="s">
        <v>1696</v>
      </c>
      <c r="N84" s="94" t="s">
        <v>2082</v>
      </c>
      <c r="O84" s="423" t="s">
        <v>728</v>
      </c>
      <c r="Q84" s="58" t="s">
        <v>1346</v>
      </c>
      <c r="R84" s="98" t="s">
        <v>186</v>
      </c>
      <c r="S84" s="94" t="s">
        <v>144</v>
      </c>
      <c r="U84" s="764" t="s">
        <v>3400</v>
      </c>
      <c r="V84" s="151" t="s">
        <v>91</v>
      </c>
      <c r="W84" s="435" t="s">
        <v>5431</v>
      </c>
      <c r="AK84" s="777" t="s">
        <v>5704</v>
      </c>
      <c r="AL84" s="478" t="s">
        <v>5705</v>
      </c>
      <c r="AM84" s="584" t="s">
        <v>5706</v>
      </c>
      <c r="AO84" s="583"/>
      <c r="AP84" s="478"/>
      <c r="AQ84" s="584"/>
      <c r="AU84" s="234" t="s">
        <v>1387</v>
      </c>
      <c r="AV84" s="148" t="s">
        <v>191</v>
      </c>
      <c r="AW84" s="138" t="str">
        <f t="shared" ref="AW84:AW147" si="93">CONCATENATE(AU84,".",AV84)</f>
        <v>ДП ЛАДА C.5/1</v>
      </c>
      <c r="AY84" s="231" t="s">
        <v>2416</v>
      </c>
      <c r="AZ84" s="137" t="s">
        <v>1719</v>
      </c>
      <c r="BA84" s="138" t="str">
        <f t="shared" ref="BA84:BA129" si="94">CONCATENATE(AY84,".",AZ84)</f>
        <v>ДП Ідея.1.фальц</v>
      </c>
      <c r="BK84" s="234" t="s">
        <v>1075</v>
      </c>
      <c r="BL84" s="137"/>
      <c r="BM84" s="138" t="str">
        <f t="shared" si="90"/>
        <v>ДП ЛАДА-ЛОФТ.</v>
      </c>
      <c r="BS84" s="44" t="s">
        <v>2422</v>
      </c>
      <c r="BT84" s="254" t="s">
        <v>316</v>
      </c>
      <c r="BU84" s="139" t="str">
        <f t="shared" si="83"/>
        <v>ДП Ідея.4/1.ДСП тр.</v>
      </c>
      <c r="BW84" s="162" t="s">
        <v>2357</v>
      </c>
      <c r="BX84" s="246" t="s">
        <v>459</v>
      </c>
      <c r="BY84" s="135" t="str">
        <f t="shared" si="78"/>
        <v>ДП Геометрія.5/5.Кризет</v>
      </c>
      <c r="CA84" s="742" t="s">
        <v>3190</v>
      </c>
      <c r="CB84" s="137" t="s">
        <v>4307</v>
      </c>
      <c r="CC84" s="138" t="str">
        <f>CONCATENATE(CA84,".",CB84)</f>
        <v>ДП КУПАВА.фальц.робоча.Soft ст +3завіс</v>
      </c>
      <c r="CE84" s="146" t="s">
        <v>3264</v>
      </c>
      <c r="CF84" s="137"/>
      <c r="CG84" s="138" t="str">
        <f t="shared" si="59"/>
        <v>ДП ЛАДА B.фальц..робоча..</v>
      </c>
      <c r="CI84" s="146" t="s">
        <v>5642</v>
      </c>
      <c r="CJ84" s="137" t="s">
        <v>4827</v>
      </c>
      <c r="CK84" s="138" t="str">
        <f>CONCATENATE(CI84,".",CJ84)</f>
        <v>Glass ст вн Лів +2завіс.Ліва</v>
      </c>
      <c r="CM84" s="742" t="s">
        <v>3263</v>
      </c>
      <c r="CN84" s="137" t="s">
        <v>975</v>
      </c>
      <c r="CO84" s="138" t="str">
        <f t="shared" ref="CO84:CO95" si="95">CONCATENATE(CM84,".",CN84)</f>
        <v>ДП ЛАДА B.фальц,.робоча..Standard-MDF</v>
      </c>
      <c r="CR84" s="213"/>
      <c r="CS84" s="220"/>
      <c r="CW84" s="121"/>
      <c r="CX84" s="21"/>
      <c r="CY84" s="673" t="s">
        <v>3357</v>
      </c>
      <c r="CZ84" s="715" t="s">
        <v>3357</v>
      </c>
      <c r="DA84" s="674" t="s">
        <v>3362</v>
      </c>
      <c r="DB84" s="21"/>
      <c r="DD84" s="165" t="s">
        <v>2381</v>
      </c>
      <c r="DE84" s="166">
        <v>4360</v>
      </c>
      <c r="DF84" s="528">
        <f t="shared" si="69"/>
        <v>4360</v>
      </c>
      <c r="DG84" s="523"/>
      <c r="DH84" s="530">
        <f t="shared" si="70"/>
        <v>4360</v>
      </c>
      <c r="DP84" s="256"/>
      <c r="DQ84" s="257"/>
      <c r="DR84" s="517"/>
      <c r="DS84" s="532"/>
      <c r="DT84" s="259"/>
      <c r="DU84" s="166"/>
      <c r="DV84" s="738" t="s">
        <v>6233</v>
      </c>
      <c r="DW84" s="166">
        <v>1</v>
      </c>
      <c r="DX84" s="522">
        <f t="shared" si="76"/>
        <v>1</v>
      </c>
      <c r="DY84" s="523"/>
      <c r="DZ84" s="524">
        <f t="shared" si="77"/>
        <v>1</v>
      </c>
      <c r="EB84" s="256"/>
      <c r="EC84" s="257"/>
      <c r="ED84" s="258"/>
      <c r="EE84" s="257"/>
      <c r="EF84" s="259"/>
      <c r="EG84" s="165"/>
      <c r="EH84" s="739" t="s">
        <v>3401</v>
      </c>
      <c r="EI84" s="164">
        <v>1310</v>
      </c>
      <c r="EJ84" s="531">
        <f t="shared" si="91"/>
        <v>1310</v>
      </c>
      <c r="EK84" s="526"/>
      <c r="EL84" s="527">
        <f t="shared" si="92"/>
        <v>1310</v>
      </c>
    </row>
    <row r="85" spans="2:142">
      <c r="B85" s="30"/>
      <c r="C85" s="410"/>
      <c r="D85" s="411"/>
      <c r="E85" s="29"/>
      <c r="L85" s="58" t="s">
        <v>1347</v>
      </c>
      <c r="M85" s="48" t="s">
        <v>1696</v>
      </c>
      <c r="N85" s="94" t="s">
        <v>2082</v>
      </c>
      <c r="O85" s="423" t="s">
        <v>728</v>
      </c>
      <c r="Q85" s="58" t="s">
        <v>1347</v>
      </c>
      <c r="R85" s="98" t="s">
        <v>199</v>
      </c>
      <c r="S85" s="94" t="s">
        <v>145</v>
      </c>
      <c r="U85" s="764" t="s">
        <v>3402</v>
      </c>
      <c r="V85" s="151" t="s">
        <v>92</v>
      </c>
      <c r="W85" s="435" t="s">
        <v>5432</v>
      </c>
      <c r="AK85" s="777" t="s">
        <v>5716</v>
      </c>
      <c r="AL85" s="478" t="s">
        <v>1774</v>
      </c>
      <c r="AM85" s="584" t="s">
        <v>5717</v>
      </c>
      <c r="AO85" s="777" t="s">
        <v>4842</v>
      </c>
      <c r="AP85" s="151" t="s">
        <v>5495</v>
      </c>
      <c r="AQ85" s="584" t="s">
        <v>2321</v>
      </c>
      <c r="AU85" s="234" t="s">
        <v>1387</v>
      </c>
      <c r="AV85" s="148" t="s">
        <v>192</v>
      </c>
      <c r="AW85" s="138" t="str">
        <f t="shared" si="93"/>
        <v>ДП ЛАДА C.5/2</v>
      </c>
      <c r="AY85" s="234" t="s">
        <v>2416</v>
      </c>
      <c r="AZ85" s="137" t="s">
        <v>1721</v>
      </c>
      <c r="BA85" s="138" t="str">
        <f t="shared" si="94"/>
        <v>ДП Ідея.1.б/з фальц</v>
      </c>
      <c r="BK85" s="234" t="s">
        <v>1075</v>
      </c>
      <c r="BL85" s="137" t="s">
        <v>1894</v>
      </c>
      <c r="BM85" s="138" t="str">
        <f>CONCATENATE(BK85,".",BL85)</f>
        <v>ДП ЛАДА-ЛОФТ.Uni-Mat.</v>
      </c>
      <c r="BS85" s="133" t="s">
        <v>2423</v>
      </c>
      <c r="BT85" s="101" t="s">
        <v>4066</v>
      </c>
      <c r="BU85" s="135" t="str">
        <f t="shared" si="83"/>
        <v>ДП Ідея.4/2.Сотове</v>
      </c>
      <c r="BW85" s="165" t="s">
        <v>2357</v>
      </c>
      <c r="BX85" s="770" t="s">
        <v>4203</v>
      </c>
      <c r="BY85" s="138" t="str">
        <f>CONCATENATE(BW85,".",BX85)</f>
        <v>ДП Геометрія.5/5.Жалюзі</v>
      </c>
      <c r="CA85" s="742" t="s">
        <v>3190</v>
      </c>
      <c r="CB85" s="137"/>
      <c r="CC85" s="138"/>
      <c r="CE85" s="146" t="s">
        <v>3264</v>
      </c>
      <c r="CF85" s="137" t="s">
        <v>4261</v>
      </c>
      <c r="CG85" s="138" t="str">
        <f t="shared" si="59"/>
        <v>ДП ЛАДА B.фальц..робоча..ВВ</v>
      </c>
      <c r="CI85" s="147" t="s">
        <v>5641</v>
      </c>
      <c r="CJ85" s="62" t="s">
        <v>4857</v>
      </c>
      <c r="CK85" s="139" t="str">
        <f>CONCATENATE(CI85,".",CJ85)</f>
        <v>Glass ст вн Пр +2завіс.Права</v>
      </c>
      <c r="CM85" s="742" t="s">
        <v>3263</v>
      </c>
      <c r="CN85" s="137" t="s">
        <v>840</v>
      </c>
      <c r="CO85" s="138" t="str">
        <f t="shared" si="95"/>
        <v>ДП ЛАДА B.фальц,.робоча..Standard</v>
      </c>
      <c r="CR85" s="213"/>
      <c r="CS85" s="220"/>
      <c r="CW85" s="121"/>
      <c r="CX85" s="21"/>
      <c r="CY85" s="673" t="s">
        <v>3403</v>
      </c>
      <c r="CZ85" s="715" t="s">
        <v>3357</v>
      </c>
      <c r="DA85" s="674" t="s">
        <v>3362</v>
      </c>
      <c r="DB85" s="21"/>
      <c r="DD85" s="165" t="s">
        <v>2382</v>
      </c>
      <c r="DE85" s="166">
        <v>4620</v>
      </c>
      <c r="DF85" s="528">
        <f t="shared" si="69"/>
        <v>4620</v>
      </c>
      <c r="DG85" s="523"/>
      <c r="DH85" s="530">
        <f t="shared" si="70"/>
        <v>4620</v>
      </c>
      <c r="DP85" s="795" t="s">
        <v>4221</v>
      </c>
      <c r="DQ85" s="796">
        <v>0</v>
      </c>
      <c r="DR85" s="403">
        <f t="shared" si="85"/>
        <v>0</v>
      </c>
      <c r="DS85" s="514"/>
      <c r="DT85" s="511">
        <f t="shared" si="14"/>
        <v>0</v>
      </c>
      <c r="DU85" s="166"/>
      <c r="DV85" s="739" t="s">
        <v>6234</v>
      </c>
      <c r="DW85" s="164">
        <v>1</v>
      </c>
      <c r="DX85" s="525">
        <f t="shared" si="76"/>
        <v>1</v>
      </c>
      <c r="DY85" s="526"/>
      <c r="DZ85" s="527">
        <f t="shared" si="77"/>
        <v>1</v>
      </c>
      <c r="EB85" s="736" t="s">
        <v>2937</v>
      </c>
      <c r="EC85" s="105">
        <v>0</v>
      </c>
      <c r="ED85" s="536">
        <f>ROUND(((EC85-(EC85/6))/$DD$3)*$DE$3,2)</f>
        <v>0</v>
      </c>
      <c r="EE85" s="514"/>
      <c r="EF85" s="511">
        <f>IF(EE85="",ED85,
IF(AND($EC$10&gt;=VLOOKUP(EE85,$EB$5:$EF$9,2,0),$EC$10&lt;=VLOOKUP(EE85,$EB$5:$EF$9,3,0)),
(ED85*(1-VLOOKUP(EE85,$EB$5:$EF$9,4,0))),
ED85))</f>
        <v>0</v>
      </c>
      <c r="EG85" s="165"/>
      <c r="EH85" s="738" t="s">
        <v>3404</v>
      </c>
      <c r="EI85" s="166">
        <v>0</v>
      </c>
      <c r="EJ85" s="522">
        <f>ROUND(((EI85-(EI85/6))/$DD$3)*$DE$3,2)</f>
        <v>0</v>
      </c>
      <c r="EK85" s="523"/>
      <c r="EL85" s="524">
        <f>IF(EK85="",EJ85,
IF(AND($EI$10&gt;=VLOOKUP(EK85,$EH$5:$EL$9,2,0),$EI$10&lt;=VLOOKUP(EK85,$EH$5:$EL$9,3,0)),
(EJ85*(1-VLOOKUP(EK85,$EH$5:$EL$9,4,0))),
EJ85))</f>
        <v>0</v>
      </c>
    </row>
    <row r="86" spans="2:142">
      <c r="B86" s="30"/>
      <c r="C86" s="410" t="s">
        <v>71</v>
      </c>
      <c r="D86" s="415" t="s">
        <v>728</v>
      </c>
      <c r="E86" s="29"/>
      <c r="L86" s="58" t="s">
        <v>1348</v>
      </c>
      <c r="M86" s="48" t="s">
        <v>1696</v>
      </c>
      <c r="N86" s="94" t="s">
        <v>2082</v>
      </c>
      <c r="O86" s="423" t="s">
        <v>728</v>
      </c>
      <c r="Q86" s="58" t="s">
        <v>1348</v>
      </c>
      <c r="R86" s="98" t="s">
        <v>200</v>
      </c>
      <c r="S86" s="94" t="s">
        <v>146</v>
      </c>
      <c r="U86" s="765" t="s">
        <v>3405</v>
      </c>
      <c r="V86" s="152" t="s">
        <v>93</v>
      </c>
      <c r="W86" s="599" t="s">
        <v>5433</v>
      </c>
      <c r="AK86" s="777" t="s">
        <v>5718</v>
      </c>
      <c r="AL86" s="478" t="s">
        <v>5719</v>
      </c>
      <c r="AM86" s="584" t="s">
        <v>5720</v>
      </c>
      <c r="AO86" s="778" t="s">
        <v>4872</v>
      </c>
      <c r="AP86" s="152" t="s">
        <v>177</v>
      </c>
      <c r="AQ86" s="586" t="s">
        <v>2324</v>
      </c>
      <c r="AU86" s="234" t="s">
        <v>1387</v>
      </c>
      <c r="AV86" s="148" t="s">
        <v>193</v>
      </c>
      <c r="AW86" s="138" t="str">
        <f t="shared" si="93"/>
        <v>ДП ЛАДА C.5/3</v>
      </c>
      <c r="AY86" s="224" t="s">
        <v>2416</v>
      </c>
      <c r="AZ86" s="62" t="s">
        <v>1720</v>
      </c>
      <c r="BA86" s="139" t="str">
        <f t="shared" si="94"/>
        <v>ДП Ідея.1.купе</v>
      </c>
      <c r="BK86" s="234" t="s">
        <v>1075</v>
      </c>
      <c r="BL86" s="137" t="s">
        <v>557</v>
      </c>
      <c r="BM86" s="138" t="str">
        <f t="shared" si="90"/>
        <v>ДП ЛАДА-ЛОФТ.Резист</v>
      </c>
      <c r="BS86" s="44" t="s">
        <v>2423</v>
      </c>
      <c r="BT86" s="254" t="s">
        <v>316</v>
      </c>
      <c r="BU86" s="139" t="str">
        <f t="shared" si="83"/>
        <v>ДП Ідея.4/2.ДСП тр.</v>
      </c>
      <c r="BW86" s="165" t="s">
        <v>2357</v>
      </c>
      <c r="BX86" s="247" t="s">
        <v>458</v>
      </c>
      <c r="BY86" s="138" t="str">
        <f t="shared" si="78"/>
        <v>ДП Геометрія.5/5.Сатин</v>
      </c>
      <c r="CA86" s="742" t="s">
        <v>3190</v>
      </c>
      <c r="CB86" s="137" t="s">
        <v>4300</v>
      </c>
      <c r="CC86" s="138" t="str">
        <f>CONCATENATE(CA86,".",CB86)</f>
        <v>ДП КУПАВА.фальц.робоча.Magnet цл +2завіс</v>
      </c>
      <c r="CE86" s="147" t="s">
        <v>3264</v>
      </c>
      <c r="CF86" s="62" t="s">
        <v>739</v>
      </c>
      <c r="CG86" s="139" t="str">
        <f t="shared" si="59"/>
        <v>ДП ЛАДА B.фальц..робоча..ВП</v>
      </c>
      <c r="CI86" s="429"/>
      <c r="CJ86" s="430"/>
      <c r="CK86" s="431"/>
      <c r="CM86" s="742" t="s">
        <v>3263</v>
      </c>
      <c r="CN86" s="137" t="s">
        <v>841</v>
      </c>
      <c r="CO86" s="138" t="str">
        <f t="shared" si="95"/>
        <v>ДП ЛАДА B.фальц,.робоча..Verto-FIT</v>
      </c>
      <c r="CR86" s="213"/>
      <c r="CS86" s="220"/>
      <c r="CW86" s="121"/>
      <c r="CX86" s="21"/>
      <c r="CY86" s="673" t="s">
        <v>3350</v>
      </c>
      <c r="CZ86" s="715" t="s">
        <v>3364</v>
      </c>
      <c r="DA86" s="674" t="s">
        <v>3364</v>
      </c>
      <c r="DB86" s="21"/>
      <c r="DD86" s="165" t="s">
        <v>2383</v>
      </c>
      <c r="DE86" s="166">
        <v>4620</v>
      </c>
      <c r="DF86" s="528">
        <f t="shared" si="69"/>
        <v>4620</v>
      </c>
      <c r="DG86" s="523"/>
      <c r="DH86" s="530">
        <f t="shared" si="70"/>
        <v>4620</v>
      </c>
      <c r="DP86" s="795" t="s">
        <v>4222</v>
      </c>
      <c r="DQ86" s="796">
        <v>0</v>
      </c>
      <c r="DR86" s="403">
        <f t="shared" si="85"/>
        <v>0</v>
      </c>
      <c r="DS86" s="514"/>
      <c r="DT86" s="511">
        <f t="shared" si="14"/>
        <v>0</v>
      </c>
      <c r="DU86" s="166"/>
      <c r="DV86" s="737" t="s">
        <v>4360</v>
      </c>
      <c r="DW86" s="163">
        <v>0</v>
      </c>
      <c r="DX86" s="528">
        <f t="shared" si="76"/>
        <v>0</v>
      </c>
      <c r="DY86" s="529"/>
      <c r="DZ86" s="530">
        <f t="shared" si="77"/>
        <v>0</v>
      </c>
      <c r="EB86" s="60" t="s">
        <v>897</v>
      </c>
      <c r="EC86" s="105">
        <v>0</v>
      </c>
      <c r="ED86" s="536">
        <f>ROUND(((EC86-(EC86/6))/$DD$3)*$DE$3,2)</f>
        <v>0</v>
      </c>
      <c r="EE86" s="514"/>
      <c r="EF86" s="511">
        <f>IF(EE86="",ED86,
IF(AND($EC$10&gt;=VLOOKUP(EE86,$EB$5:$EF$9,2,0),$EC$10&lt;=VLOOKUP(EE86,$EB$5:$EF$9,3,0)),
(ED86*(1-VLOOKUP(EE86,$EB$5:$EF$9,4,0))),
ED86))</f>
        <v>0</v>
      </c>
      <c r="EG86" s="165"/>
      <c r="EH86" s="739" t="s">
        <v>3406</v>
      </c>
      <c r="EI86" s="164">
        <v>1310</v>
      </c>
      <c r="EJ86" s="531">
        <f>ROUND(((EI86-(EI86/6))/$DD$3)*$DE$3,2)</f>
        <v>1310</v>
      </c>
      <c r="EK86" s="526"/>
      <c r="EL86" s="527">
        <f>IF(EK86="",EJ86,
IF(AND($EI$10&gt;=VLOOKUP(EK86,$EH$5:$EL$9,2,0),$EI$10&lt;=VLOOKUP(EK86,$EH$5:$EL$9,3,0)),
(EJ86*(1-VLOOKUP(EK86,$EH$5:$EL$9,4,0))),
EJ86))</f>
        <v>1310</v>
      </c>
    </row>
    <row r="87" spans="2:142">
      <c r="B87" s="30"/>
      <c r="C87" s="745" t="s">
        <v>3119</v>
      </c>
      <c r="D87" s="415" t="s">
        <v>728</v>
      </c>
      <c r="E87" s="29"/>
      <c r="L87" s="58" t="s">
        <v>1349</v>
      </c>
      <c r="M87" s="48" t="s">
        <v>1696</v>
      </c>
      <c r="N87" s="94" t="s">
        <v>2082</v>
      </c>
      <c r="O87" s="423" t="s">
        <v>728</v>
      </c>
      <c r="Q87" s="58" t="s">
        <v>1349</v>
      </c>
      <c r="R87" s="98" t="s">
        <v>532</v>
      </c>
      <c r="S87" s="94" t="s">
        <v>1015</v>
      </c>
      <c r="U87" s="815"/>
      <c r="V87" s="816"/>
      <c r="W87" s="808"/>
      <c r="AK87" s="778" t="s">
        <v>5732</v>
      </c>
      <c r="AL87" s="590" t="s">
        <v>1775</v>
      </c>
      <c r="AM87" s="586" t="s">
        <v>5733</v>
      </c>
      <c r="AO87" s="777" t="s">
        <v>4843</v>
      </c>
      <c r="AP87" s="151" t="s">
        <v>5495</v>
      </c>
      <c r="AQ87" s="584" t="s">
        <v>2321</v>
      </c>
      <c r="AU87" s="234" t="s">
        <v>1387</v>
      </c>
      <c r="AV87" s="148" t="s">
        <v>203</v>
      </c>
      <c r="AW87" s="138" t="str">
        <f t="shared" si="93"/>
        <v>ДП ЛАДА C.5/4</v>
      </c>
      <c r="AY87" s="234" t="s">
        <v>2417</v>
      </c>
      <c r="AZ87" s="137" t="s">
        <v>1719</v>
      </c>
      <c r="BA87" s="138" t="str">
        <f t="shared" si="94"/>
        <v>ДП Ідея.3/0.фальц</v>
      </c>
      <c r="BK87" s="234" t="s">
        <v>1075</v>
      </c>
      <c r="BL87" s="137" t="s">
        <v>62</v>
      </c>
      <c r="BM87" s="138" t="str">
        <f t="shared" si="90"/>
        <v>ДП ЛАДА-ЛОФТ.LINE-3D</v>
      </c>
      <c r="BS87" s="133" t="s">
        <v>2424</v>
      </c>
      <c r="BT87" s="101" t="s">
        <v>4066</v>
      </c>
      <c r="BU87" s="135" t="str">
        <f t="shared" si="83"/>
        <v>ДП Ідея.4/3.Сотове</v>
      </c>
      <c r="BW87" s="165" t="s">
        <v>2357</v>
      </c>
      <c r="BX87" s="770" t="s">
        <v>3851</v>
      </c>
      <c r="BY87" s="138" t="str">
        <f t="shared" si="78"/>
        <v>ДП Геометрія.5/5.Графіт</v>
      </c>
      <c r="CA87" s="742" t="s">
        <v>3190</v>
      </c>
      <c r="CB87" s="137" t="s">
        <v>4305</v>
      </c>
      <c r="CC87" s="138" t="str">
        <f>CONCATENATE(CA87,".",CB87)</f>
        <v>ДП КУПАВА.фальц.робоча.Magnet ст +2завіс</v>
      </c>
      <c r="CE87" s="146" t="s">
        <v>3265</v>
      </c>
      <c r="CF87" s="137"/>
      <c r="CG87" s="138" t="str">
        <f t="shared" si="59"/>
        <v>ДП ЛАДА B.фальц,.неробоча,.</v>
      </c>
      <c r="CI87" s="145" t="s">
        <v>4323</v>
      </c>
      <c r="CJ87" s="134" t="s">
        <v>4827</v>
      </c>
      <c r="CK87" s="135" t="str">
        <f t="shared" ref="CK87:CK102" si="96">CONCATENATE(CI87,".",CJ87)</f>
        <v>Пл Stand +2завіс.Ліва</v>
      </c>
      <c r="CM87" s="424" t="s">
        <v>3263</v>
      </c>
      <c r="CN87" s="62" t="s">
        <v>371</v>
      </c>
      <c r="CO87" s="139" t="str">
        <f t="shared" si="95"/>
        <v>ДП ЛАДА B.фальц,.робоча..Verto-FIT Plus</v>
      </c>
      <c r="CR87" s="213"/>
      <c r="CS87" s="220"/>
      <c r="CX87" s="21"/>
      <c r="CY87" s="673" t="s">
        <v>3407</v>
      </c>
      <c r="CZ87" s="715" t="s">
        <v>3364</v>
      </c>
      <c r="DA87" s="674" t="s">
        <v>3364</v>
      </c>
      <c r="DB87" s="21"/>
      <c r="DD87" s="165" t="s">
        <v>2384</v>
      </c>
      <c r="DE87" s="166">
        <v>4620</v>
      </c>
      <c r="DF87" s="528">
        <f t="shared" si="69"/>
        <v>4620</v>
      </c>
      <c r="DG87" s="523"/>
      <c r="DH87" s="530">
        <f t="shared" si="70"/>
        <v>4620</v>
      </c>
      <c r="DP87" s="795" t="s">
        <v>4123</v>
      </c>
      <c r="DQ87" s="796">
        <v>0</v>
      </c>
      <c r="DR87" s="403">
        <f t="shared" si="85"/>
        <v>0</v>
      </c>
      <c r="DS87" s="514"/>
      <c r="DT87" s="511">
        <f t="shared" si="14"/>
        <v>0</v>
      </c>
      <c r="DU87" s="166"/>
      <c r="DV87" s="738" t="s">
        <v>4362</v>
      </c>
      <c r="DW87" s="166">
        <v>0</v>
      </c>
      <c r="DX87" s="522">
        <f t="shared" si="76"/>
        <v>0</v>
      </c>
      <c r="DY87" s="523"/>
      <c r="DZ87" s="524">
        <f t="shared" si="77"/>
        <v>0</v>
      </c>
      <c r="EB87" s="736" t="s">
        <v>2958</v>
      </c>
      <c r="EC87" s="105">
        <v>0</v>
      </c>
      <c r="ED87" s="536">
        <f>ROUND(((EC87-(EC87/6))/$DD$3)*$DE$3,2)</f>
        <v>0</v>
      </c>
      <c r="EE87" s="514"/>
      <c r="EF87" s="511">
        <f>IF(EE87="",ED87,
IF(AND($EC$10&gt;=VLOOKUP(EE87,$EB$5:$EF$9,2,0),$EC$10&lt;=VLOOKUP(EE87,$EB$5:$EF$9,3,0)),
(ED87*(1-VLOOKUP(EE87,$EB$5:$EF$9,4,0))),
ED87))</f>
        <v>0</v>
      </c>
      <c r="EG87" s="165"/>
      <c r="EH87" s="738" t="s">
        <v>3408</v>
      </c>
      <c r="EI87" s="166">
        <v>0</v>
      </c>
      <c r="EJ87" s="522">
        <f>ROUND(((EI87-(EI87/6))/$DD$3)*$DE$3,2)</f>
        <v>0</v>
      </c>
      <c r="EK87" s="523"/>
      <c r="EL87" s="524">
        <f>IF(EK87="",EJ87,
IF(AND($EI$10&gt;=VLOOKUP(EK87,$EH$5:$EL$9,2,0),$EI$10&lt;=VLOOKUP(EK87,$EH$5:$EL$9,3,0)),
(EJ87*(1-VLOOKUP(EK87,$EH$5:$EL$9,4,0))),
EJ87))</f>
        <v>0</v>
      </c>
    </row>
    <row r="88" spans="2:142">
      <c r="B88" s="30"/>
      <c r="C88" s="410" t="s">
        <v>72</v>
      </c>
      <c r="D88" s="415" t="s">
        <v>728</v>
      </c>
      <c r="E88" s="29"/>
      <c r="L88" s="58" t="s">
        <v>1350</v>
      </c>
      <c r="M88" s="48" t="s">
        <v>1696</v>
      </c>
      <c r="N88" s="94" t="s">
        <v>2082</v>
      </c>
      <c r="O88" s="423" t="s">
        <v>728</v>
      </c>
      <c r="Q88" s="58" t="s">
        <v>1350</v>
      </c>
      <c r="R88" s="98" t="s">
        <v>1316</v>
      </c>
      <c r="S88" s="94" t="s">
        <v>1317</v>
      </c>
      <c r="U88" s="763" t="s">
        <v>3409</v>
      </c>
      <c r="V88" s="101" t="s">
        <v>239</v>
      </c>
      <c r="W88" s="100" t="s">
        <v>2178</v>
      </c>
      <c r="AK88" s="777" t="s">
        <v>5728</v>
      </c>
      <c r="AL88" s="478" t="s">
        <v>5734</v>
      </c>
      <c r="AM88" s="584" t="s">
        <v>5735</v>
      </c>
      <c r="AO88" s="778" t="s">
        <v>4873</v>
      </c>
      <c r="AP88" s="152" t="s">
        <v>177</v>
      </c>
      <c r="AQ88" s="586" t="s">
        <v>2324</v>
      </c>
      <c r="AU88" s="234" t="s">
        <v>1387</v>
      </c>
      <c r="AV88" s="148" t="s">
        <v>204</v>
      </c>
      <c r="AW88" s="138" t="str">
        <f t="shared" si="93"/>
        <v>ДП ЛАДА C.5/5</v>
      </c>
      <c r="AY88" s="234" t="s">
        <v>2417</v>
      </c>
      <c r="AZ88" s="137" t="s">
        <v>1721</v>
      </c>
      <c r="BA88" s="138" t="str">
        <f t="shared" si="94"/>
        <v>ДП Ідея.3/0.б/з фальц</v>
      </c>
      <c r="BK88" s="224" t="s">
        <v>1075</v>
      </c>
      <c r="BL88" s="62" t="s">
        <v>5071</v>
      </c>
      <c r="BM88" s="139" t="str">
        <f t="shared" si="90"/>
        <v>ДП ЛАДА-ЛОФТ.Е-шпон</v>
      </c>
      <c r="BS88" s="44" t="s">
        <v>2424</v>
      </c>
      <c r="BT88" s="254" t="s">
        <v>316</v>
      </c>
      <c r="BU88" s="139" t="str">
        <f t="shared" si="83"/>
        <v>ДП Ідея.4/3.ДСП тр.</v>
      </c>
      <c r="BW88" s="108" t="s">
        <v>2357</v>
      </c>
      <c r="BX88" s="248" t="s">
        <v>832</v>
      </c>
      <c r="BY88" s="139" t="str">
        <f t="shared" si="78"/>
        <v>ДП Геометрія.5/5.Бронза</v>
      </c>
      <c r="CA88" s="742" t="s">
        <v>3190</v>
      </c>
      <c r="CB88" s="137"/>
      <c r="CC88" s="138"/>
      <c r="CE88" s="146" t="s">
        <v>3265</v>
      </c>
      <c r="CF88" s="137" t="s">
        <v>4261</v>
      </c>
      <c r="CG88" s="138" t="str">
        <f t="shared" si="59"/>
        <v>ДП ЛАДА B.фальц,.неробоча,.ВВ</v>
      </c>
      <c r="CI88" s="147" t="s">
        <v>4323</v>
      </c>
      <c r="CJ88" s="62" t="s">
        <v>4857</v>
      </c>
      <c r="CK88" s="139" t="str">
        <f t="shared" si="96"/>
        <v>Пл Stand +2завіс.Права</v>
      </c>
      <c r="CM88" s="742" t="s">
        <v>3264</v>
      </c>
      <c r="CN88" s="137" t="s">
        <v>975</v>
      </c>
      <c r="CO88" s="138" t="str">
        <f>CONCATENATE(CM88,".",CN88)</f>
        <v>ДП ЛАДА B.фальц..робоча..Standard-MDF</v>
      </c>
      <c r="CR88" s="213"/>
      <c r="CS88" s="220"/>
      <c r="CX88" s="21"/>
      <c r="CY88" s="716"/>
      <c r="CZ88" s="717"/>
      <c r="DA88" s="718"/>
      <c r="DB88" s="21"/>
      <c r="DD88" s="165" t="s">
        <v>2385</v>
      </c>
      <c r="DE88" s="166">
        <v>4620</v>
      </c>
      <c r="DF88" s="528">
        <f t="shared" si="69"/>
        <v>4620</v>
      </c>
      <c r="DG88" s="523"/>
      <c r="DH88" s="530">
        <f t="shared" si="70"/>
        <v>4620</v>
      </c>
      <c r="DP88" s="795" t="s">
        <v>4223</v>
      </c>
      <c r="DQ88" s="796">
        <v>0</v>
      </c>
      <c r="DR88" s="403">
        <f t="shared" si="85"/>
        <v>0</v>
      </c>
      <c r="DS88" s="514"/>
      <c r="DT88" s="511">
        <f t="shared" si="14"/>
        <v>0</v>
      </c>
      <c r="DU88" s="166"/>
      <c r="DV88" s="738" t="s">
        <v>4363</v>
      </c>
      <c r="DW88" s="164">
        <v>0</v>
      </c>
      <c r="DX88" s="522">
        <f>ROUND(((DW88-(DW88/6))/$DD$3)*$DE$3,2)</f>
        <v>0</v>
      </c>
      <c r="DY88" s="523"/>
      <c r="DZ88" s="524">
        <f>IF(DY88="",DX88,
IF(AND($DW$10&gt;=VLOOKUP(DY88,$DV$5:$DZ$9,2,0),$DW$10&lt;=VLOOKUP(DY88,$DV$5:$DZ$9,3,0)),
(DX88*(1-VLOOKUP(DY88,$DV$5:$DZ$9,4,0))),
DX88))</f>
        <v>0</v>
      </c>
      <c r="EB88" s="108" t="s">
        <v>892</v>
      </c>
      <c r="EC88" s="164">
        <v>0</v>
      </c>
      <c r="ED88" s="531">
        <f>ROUND(((EC88-(EC88/6))/$DD$3)*$DE$3,2)</f>
        <v>0</v>
      </c>
      <c r="EE88" s="526"/>
      <c r="EF88" s="530">
        <f>IF(EE88="",ED88,
IF(AND($EC$10&gt;=VLOOKUP(EE88,$EB$5:$EF$9,2,0),$EC$10&lt;=VLOOKUP(EE88,$EB$5:$EF$9,3,0)),
(ED88*(1-VLOOKUP(EE88,$EB$5:$EF$9,4,0))),
ED88))</f>
        <v>0</v>
      </c>
      <c r="EG88" s="165"/>
      <c r="EH88" s="739" t="s">
        <v>3410</v>
      </c>
      <c r="EI88" s="164">
        <v>1510</v>
      </c>
      <c r="EJ88" s="531">
        <f>ROUND(((EI88-(EI88/6))/$DD$3)*$DE$3,2)</f>
        <v>1510</v>
      </c>
      <c r="EK88" s="526"/>
      <c r="EL88" s="527">
        <f>IF(EK88="",EJ88,
IF(AND($EI$10&gt;=VLOOKUP(EK88,$EH$5:$EL$9,2,0),$EI$10&lt;=VLOOKUP(EK88,$EH$5:$EL$9,3,0)),
(EJ88*(1-VLOOKUP(EK88,$EH$5:$EL$9,4,0))),
EJ88))</f>
        <v>1510</v>
      </c>
    </row>
    <row r="89" spans="2:142">
      <c r="B89" s="30"/>
      <c r="C89" s="745" t="s">
        <v>3120</v>
      </c>
      <c r="D89" s="415" t="s">
        <v>728</v>
      </c>
      <c r="E89" s="29"/>
      <c r="L89" s="58"/>
      <c r="M89" s="48"/>
      <c r="N89" s="94"/>
      <c r="O89" s="423"/>
      <c r="Q89" s="58"/>
      <c r="R89" s="98"/>
      <c r="S89" s="94"/>
      <c r="U89" s="764" t="s">
        <v>3411</v>
      </c>
      <c r="V89" s="151" t="s">
        <v>240</v>
      </c>
      <c r="W89" s="159" t="s">
        <v>2179</v>
      </c>
      <c r="AK89" s="777" t="s">
        <v>4366</v>
      </c>
      <c r="AL89" s="478" t="s">
        <v>1776</v>
      </c>
      <c r="AM89" s="584" t="s">
        <v>2292</v>
      </c>
      <c r="AO89" s="777" t="s">
        <v>4844</v>
      </c>
      <c r="AP89" s="151" t="s">
        <v>5495</v>
      </c>
      <c r="AQ89" s="584" t="s">
        <v>2321</v>
      </c>
      <c r="AU89" s="224" t="s">
        <v>1387</v>
      </c>
      <c r="AV89" s="149" t="s">
        <v>1320</v>
      </c>
      <c r="AW89" s="139" t="str">
        <f t="shared" si="93"/>
        <v>ДП ЛАДА C.5/6</v>
      </c>
      <c r="AY89" s="224" t="s">
        <v>2417</v>
      </c>
      <c r="AZ89" s="62" t="s">
        <v>1720</v>
      </c>
      <c r="BA89" s="139" t="str">
        <f t="shared" si="94"/>
        <v>ДП Ідея.3/0.купе</v>
      </c>
      <c r="BK89" s="251" t="s">
        <v>2725</v>
      </c>
      <c r="BL89" s="134" t="s">
        <v>409</v>
      </c>
      <c r="BM89" s="135" t="str">
        <f t="shared" si="90"/>
        <v>ДП Лінда.Verto-Cell</v>
      </c>
      <c r="BS89" s="133" t="s">
        <v>2425</v>
      </c>
      <c r="BT89" s="101" t="s">
        <v>4066</v>
      </c>
      <c r="BU89" s="135" t="str">
        <f t="shared" si="83"/>
        <v>ДП Ідея.4/4.Сотове</v>
      </c>
      <c r="BW89" s="60" t="s">
        <v>2358</v>
      </c>
      <c r="BX89" s="780" t="s">
        <v>4106</v>
      </c>
      <c r="BY89" s="70" t="str">
        <f t="shared" si="78"/>
        <v>ДП Геометрія.6/0.(ні)</v>
      </c>
      <c r="CA89" s="742" t="s">
        <v>3190</v>
      </c>
      <c r="CB89" s="137" t="s">
        <v>4316</v>
      </c>
      <c r="CC89" s="138" t="str">
        <f>CONCATENATE(CA89,".",CB89)</f>
        <v>ДП КУПАВА.фальц.робоча.Magnet цл +3завіс</v>
      </c>
      <c r="CE89" s="147" t="s">
        <v>3265</v>
      </c>
      <c r="CF89" s="62" t="s">
        <v>739</v>
      </c>
      <c r="CG89" s="139" t="str">
        <f t="shared" si="59"/>
        <v>ДП ЛАДА B.фальц,.неробоча,.ВП</v>
      </c>
      <c r="CI89" s="145" t="s">
        <v>4330</v>
      </c>
      <c r="CJ89" s="134" t="s">
        <v>4827</v>
      </c>
      <c r="CK89" s="135" t="str">
        <f t="shared" si="96"/>
        <v>Пл Soft +2завіс.Ліва</v>
      </c>
      <c r="CM89" s="742" t="s">
        <v>3264</v>
      </c>
      <c r="CN89" s="137" t="s">
        <v>840</v>
      </c>
      <c r="CO89" s="138" t="str">
        <f>CONCATENATE(CM89,".",CN89)</f>
        <v>ДП ЛАДА B.фальц..робоча..Standard</v>
      </c>
      <c r="CY89" s="57" t="s">
        <v>4106</v>
      </c>
      <c r="CZ89" s="56" t="s">
        <v>4106</v>
      </c>
      <c r="DA89" s="70" t="s">
        <v>858</v>
      </c>
      <c r="DD89" s="165" t="s">
        <v>2386</v>
      </c>
      <c r="DE89" s="166">
        <v>4620</v>
      </c>
      <c r="DF89" s="528">
        <f t="shared" si="69"/>
        <v>4620</v>
      </c>
      <c r="DG89" s="523"/>
      <c r="DH89" s="530">
        <f t="shared" si="70"/>
        <v>4620</v>
      </c>
      <c r="DP89" s="797" t="s">
        <v>831</v>
      </c>
      <c r="DQ89" s="728">
        <v>0</v>
      </c>
      <c r="DR89" s="528">
        <f t="shared" si="85"/>
        <v>0</v>
      </c>
      <c r="DS89" s="529"/>
      <c r="DT89" s="530">
        <f t="shared" si="14"/>
        <v>0</v>
      </c>
      <c r="DU89" s="166"/>
      <c r="DV89" s="738" t="s">
        <v>6235</v>
      </c>
      <c r="DW89" s="164">
        <v>0</v>
      </c>
      <c r="DX89" s="522">
        <f t="shared" si="76"/>
        <v>0</v>
      </c>
      <c r="DY89" s="523"/>
      <c r="DZ89" s="524">
        <f t="shared" si="77"/>
        <v>0</v>
      </c>
      <c r="EB89" s="256"/>
      <c r="EC89" s="257"/>
      <c r="ED89" s="258"/>
      <c r="EE89" s="257"/>
      <c r="EF89" s="259"/>
      <c r="EG89" s="165"/>
      <c r="EH89" s="738" t="s">
        <v>3412</v>
      </c>
      <c r="EI89" s="166">
        <v>0</v>
      </c>
      <c r="EJ89" s="522">
        <f t="shared" si="91"/>
        <v>0</v>
      </c>
      <c r="EK89" s="523"/>
      <c r="EL89" s="524">
        <f t="shared" si="92"/>
        <v>0</v>
      </c>
    </row>
    <row r="90" spans="2:142">
      <c r="B90" s="30"/>
      <c r="C90" s="745" t="s">
        <v>3115</v>
      </c>
      <c r="D90" s="415" t="s">
        <v>728</v>
      </c>
      <c r="E90" s="29"/>
      <c r="L90" s="58" t="s">
        <v>1354</v>
      </c>
      <c r="M90" s="48" t="s">
        <v>1696</v>
      </c>
      <c r="N90" s="94" t="s">
        <v>2082</v>
      </c>
      <c r="O90" s="423" t="s">
        <v>728</v>
      </c>
      <c r="Q90" s="58" t="s">
        <v>1354</v>
      </c>
      <c r="R90" s="98" t="s">
        <v>187</v>
      </c>
      <c r="S90" s="94" t="s">
        <v>147</v>
      </c>
      <c r="U90" s="764" t="s">
        <v>3413</v>
      </c>
      <c r="V90" s="151" t="s">
        <v>241</v>
      </c>
      <c r="W90" s="159" t="s">
        <v>2180</v>
      </c>
      <c r="AK90" s="778" t="s">
        <v>4368</v>
      </c>
      <c r="AL90" s="590" t="s">
        <v>1777</v>
      </c>
      <c r="AM90" s="586" t="s">
        <v>2293</v>
      </c>
      <c r="AO90" s="778" t="s">
        <v>4874</v>
      </c>
      <c r="AP90" s="152" t="s">
        <v>177</v>
      </c>
      <c r="AQ90" s="586" t="s">
        <v>2324</v>
      </c>
      <c r="AU90" s="234" t="s">
        <v>1386</v>
      </c>
      <c r="AV90" s="148" t="s">
        <v>205</v>
      </c>
      <c r="AW90" s="138" t="str">
        <f t="shared" si="93"/>
        <v>ДП ЛАДА D.6/0</v>
      </c>
      <c r="AY90" s="234" t="s">
        <v>2418</v>
      </c>
      <c r="AZ90" s="137" t="s">
        <v>1719</v>
      </c>
      <c r="BA90" s="138" t="str">
        <f t="shared" si="94"/>
        <v>ДП Ідея.3/1.фальц</v>
      </c>
      <c r="BK90" s="250" t="s">
        <v>2725</v>
      </c>
      <c r="BL90" s="137"/>
      <c r="BM90" s="138" t="str">
        <f t="shared" si="90"/>
        <v>ДП Лінда.</v>
      </c>
      <c r="BS90" s="44" t="s">
        <v>2425</v>
      </c>
      <c r="BT90" s="254" t="s">
        <v>316</v>
      </c>
      <c r="BU90" s="139" t="str">
        <f t="shared" si="83"/>
        <v>ДП Ідея.4/4.ДСП тр.</v>
      </c>
      <c r="BW90" s="162" t="s">
        <v>2359</v>
      </c>
      <c r="BX90" s="246" t="s">
        <v>459</v>
      </c>
      <c r="BY90" s="135" t="str">
        <f t="shared" si="78"/>
        <v>ДП Геометрія.6/6.Кризет</v>
      </c>
      <c r="CA90" s="424" t="s">
        <v>3190</v>
      </c>
      <c r="CB90" s="62" t="s">
        <v>4319</v>
      </c>
      <c r="CC90" s="139" t="str">
        <f>CONCATENATE(CA90,".",CB90)</f>
        <v>ДП КУПАВА.фальц.робоча.Magnet ст +3завіс</v>
      </c>
      <c r="CE90" s="146" t="s">
        <v>3266</v>
      </c>
      <c r="CF90" s="137"/>
      <c r="CG90" s="138" t="str">
        <f t="shared" si="59"/>
        <v>ДП ЛАДА B.фальц..неробоча..</v>
      </c>
      <c r="CI90" s="147" t="s">
        <v>4330</v>
      </c>
      <c r="CJ90" s="62" t="s">
        <v>4857</v>
      </c>
      <c r="CK90" s="139" t="str">
        <f t="shared" si="96"/>
        <v>Пл Soft +2завіс.Права</v>
      </c>
      <c r="CM90" s="742" t="s">
        <v>3264</v>
      </c>
      <c r="CN90" s="137" t="s">
        <v>841</v>
      </c>
      <c r="CO90" s="138" t="str">
        <f>CONCATENATE(CM90,".",CN90)</f>
        <v>ДП ЛАДА B.фальц..робоча..Verto-FIT</v>
      </c>
      <c r="CY90" s="145" t="s">
        <v>5748</v>
      </c>
      <c r="CZ90" s="134" t="s">
        <v>4323</v>
      </c>
      <c r="DA90" s="135" t="s">
        <v>858</v>
      </c>
      <c r="DD90" s="165" t="s">
        <v>2387</v>
      </c>
      <c r="DE90" s="166">
        <v>4620</v>
      </c>
      <c r="DF90" s="528">
        <f t="shared" si="69"/>
        <v>4620</v>
      </c>
      <c r="DG90" s="523"/>
      <c r="DH90" s="530">
        <f t="shared" si="70"/>
        <v>4620</v>
      </c>
      <c r="DP90" s="799" t="s">
        <v>3868</v>
      </c>
      <c r="DQ90" s="726">
        <v>410</v>
      </c>
      <c r="DR90" s="522">
        <f>ROUND(((DQ90-(DQ90/6))/$DD$3)*$DE$3,2)</f>
        <v>410</v>
      </c>
      <c r="DS90" s="523"/>
      <c r="DT90" s="524">
        <f>IF(DS90="",DR90,
IF(AND($DQ$10&gt;=VLOOKUP(DS90,$DP$5:$DT$9,2,0),$DQ$10&lt;=VLOOKUP(DS90,$DP$5:$DT$9,3,0)),
(DR90*(1-VLOOKUP(DS90,$DP$5:$DT$9,4,0))),
DR90))</f>
        <v>410</v>
      </c>
      <c r="DU90" s="166"/>
      <c r="DV90" s="737" t="s">
        <v>4365</v>
      </c>
      <c r="DW90" s="166">
        <v>80</v>
      </c>
      <c r="DX90" s="528">
        <f t="shared" si="76"/>
        <v>80</v>
      </c>
      <c r="DY90" s="529"/>
      <c r="DZ90" s="530">
        <f t="shared" si="77"/>
        <v>80</v>
      </c>
      <c r="EB90" s="739" t="s">
        <v>3012</v>
      </c>
      <c r="EC90" s="164">
        <v>0</v>
      </c>
      <c r="ED90" s="531">
        <f>ROUND(((EC90-(EC90/6))/$DD$3)*$DE$3,2)</f>
        <v>0</v>
      </c>
      <c r="EE90" s="526"/>
      <c r="EF90" s="530">
        <f>IF(EE90="",ED90,
IF(AND($EC$10&gt;=VLOOKUP(EE90,$EB$5:$EF$9,2,0),$EC$10&lt;=VLOOKUP(EE90,$EB$5:$EF$9,3,0)),
(ED90*(1-VLOOKUP(EE90,$EB$5:$EF$9,4,0))),
ED90))</f>
        <v>0</v>
      </c>
      <c r="EG90" s="165"/>
      <c r="EH90" s="739" t="s">
        <v>3414</v>
      </c>
      <c r="EI90" s="164">
        <v>1560</v>
      </c>
      <c r="EJ90" s="531">
        <f t="shared" si="91"/>
        <v>1560</v>
      </c>
      <c r="EK90" s="526"/>
      <c r="EL90" s="527">
        <f t="shared" si="92"/>
        <v>1560</v>
      </c>
    </row>
    <row r="91" spans="2:142">
      <c r="B91" s="30"/>
      <c r="C91" s="745" t="s">
        <v>3121</v>
      </c>
      <c r="D91" s="415" t="s">
        <v>728</v>
      </c>
      <c r="E91" s="29"/>
      <c r="L91" s="58" t="s">
        <v>1355</v>
      </c>
      <c r="M91" s="48" t="s">
        <v>1696</v>
      </c>
      <c r="N91" s="94" t="s">
        <v>2082</v>
      </c>
      <c r="O91" s="423" t="s">
        <v>728</v>
      </c>
      <c r="Q91" s="58" t="s">
        <v>1355</v>
      </c>
      <c r="R91" s="98" t="s">
        <v>188</v>
      </c>
      <c r="S91" s="94" t="s">
        <v>137</v>
      </c>
      <c r="U91" s="764" t="s">
        <v>3415</v>
      </c>
      <c r="V91" s="151" t="s">
        <v>242</v>
      </c>
      <c r="W91" s="159" t="s">
        <v>2181</v>
      </c>
      <c r="AK91" s="777" t="s">
        <v>4371</v>
      </c>
      <c r="AL91" s="478" t="s">
        <v>1778</v>
      </c>
      <c r="AM91" s="584" t="s">
        <v>2294</v>
      </c>
      <c r="AO91" s="777" t="s">
        <v>5635</v>
      </c>
      <c r="AP91" s="151" t="s">
        <v>5495</v>
      </c>
      <c r="AQ91" s="584" t="s">
        <v>2321</v>
      </c>
      <c r="AU91" s="234" t="s">
        <v>1386</v>
      </c>
      <c r="AV91" s="148" t="s">
        <v>206</v>
      </c>
      <c r="AW91" s="138" t="str">
        <f t="shared" si="93"/>
        <v>ДП ЛАДА D.6/1</v>
      </c>
      <c r="AY91" s="234" t="s">
        <v>2418</v>
      </c>
      <c r="AZ91" s="137" t="s">
        <v>1721</v>
      </c>
      <c r="BA91" s="138" t="str">
        <f t="shared" si="94"/>
        <v>ДП Ідея.3/1.б/з фальц</v>
      </c>
      <c r="BK91" s="250" t="s">
        <v>2725</v>
      </c>
      <c r="BL91" s="137" t="s">
        <v>1894</v>
      </c>
      <c r="BM91" s="138" t="str">
        <f>CONCATENATE(BK91,".",BL91)</f>
        <v>ДП Лінда.Uni-Mat.</v>
      </c>
      <c r="BS91" s="133" t="s">
        <v>2426</v>
      </c>
      <c r="BT91" s="101" t="s">
        <v>4066</v>
      </c>
      <c r="BU91" s="135" t="str">
        <f t="shared" si="83"/>
        <v>ДП Ідея.6/0.Сотове</v>
      </c>
      <c r="BW91" s="165" t="s">
        <v>2359</v>
      </c>
      <c r="BX91" s="770" t="s">
        <v>4203</v>
      </c>
      <c r="BY91" s="138" t="str">
        <f>CONCATENATE(BW91,".",BX91)</f>
        <v>ДП Геометрія.6/6.Жалюзі</v>
      </c>
      <c r="CA91" s="742" t="s">
        <v>3196</v>
      </c>
      <c r="CB91" s="137" t="s">
        <v>4106</v>
      </c>
      <c r="CC91" s="138" t="str">
        <f>CONCATENATE(CA91,".",CB91)</f>
        <v>ДП КУПАВА.фальц.неробоча.(ні)</v>
      </c>
      <c r="CE91" s="146" t="s">
        <v>3266</v>
      </c>
      <c r="CF91" s="137" t="s">
        <v>4261</v>
      </c>
      <c r="CG91" s="138" t="str">
        <f t="shared" si="59"/>
        <v>ДП ЛАДА B.фальц..неробоча..ВВ</v>
      </c>
      <c r="CI91" s="145" t="s">
        <v>4335</v>
      </c>
      <c r="CJ91" s="134" t="s">
        <v>4827</v>
      </c>
      <c r="CK91" s="135" t="str">
        <f>CONCATENATE(CI91,".",CJ91)</f>
        <v>Пл Magnet +2завіс.Ліва</v>
      </c>
      <c r="CM91" s="424" t="s">
        <v>3264</v>
      </c>
      <c r="CN91" s="62" t="s">
        <v>371</v>
      </c>
      <c r="CO91" s="139" t="str">
        <f>CONCATENATE(CM91,".",CN91)</f>
        <v>ДП ЛАДА B.фальц..робоча..Verto-FIT Plus</v>
      </c>
      <c r="CY91" s="145" t="s">
        <v>5749</v>
      </c>
      <c r="CZ91" s="134" t="s">
        <v>4323</v>
      </c>
      <c r="DA91" s="135" t="s">
        <v>858</v>
      </c>
      <c r="DD91" s="165" t="s">
        <v>2388</v>
      </c>
      <c r="DE91" s="166">
        <v>4620</v>
      </c>
      <c r="DF91" s="528">
        <f t="shared" si="69"/>
        <v>4620</v>
      </c>
      <c r="DG91" s="523"/>
      <c r="DH91" s="530">
        <f t="shared" si="70"/>
        <v>4620</v>
      </c>
      <c r="DP91" s="800" t="s">
        <v>1826</v>
      </c>
      <c r="DQ91" s="727">
        <v>410</v>
      </c>
      <c r="DR91" s="531">
        <f t="shared" si="85"/>
        <v>410</v>
      </c>
      <c r="DS91" s="526"/>
      <c r="DT91" s="527">
        <f t="shared" si="14"/>
        <v>410</v>
      </c>
      <c r="DU91" s="166"/>
      <c r="DV91" s="738" t="s">
        <v>4367</v>
      </c>
      <c r="DW91" s="166">
        <v>80</v>
      </c>
      <c r="DX91" s="522">
        <f t="shared" si="76"/>
        <v>80</v>
      </c>
      <c r="DY91" s="523"/>
      <c r="DZ91" s="524">
        <f t="shared" si="77"/>
        <v>80</v>
      </c>
      <c r="EB91" s="739" t="s">
        <v>3013</v>
      </c>
      <c r="EC91" s="164">
        <v>0</v>
      </c>
      <c r="ED91" s="531">
        <f>ROUND(((EC91-(EC91/6))/$DD$3)*$DE$3,2)</f>
        <v>0</v>
      </c>
      <c r="EE91" s="526"/>
      <c r="EF91" s="530">
        <f>IF(EE91="",ED91,
IF(AND($EC$10&gt;=VLOOKUP(EE91,$EB$5:$EF$9,2,0),$EC$10&lt;=VLOOKUP(EE91,$EB$5:$EF$9,3,0)),
(ED91*(1-VLOOKUP(EE91,$EB$5:$EF$9,4,0))),
ED91))</f>
        <v>0</v>
      </c>
      <c r="EG91" s="165"/>
      <c r="EH91" s="738" t="s">
        <v>3416</v>
      </c>
      <c r="EI91" s="166">
        <v>0</v>
      </c>
      <c r="EJ91" s="522">
        <f t="shared" si="91"/>
        <v>0</v>
      </c>
      <c r="EK91" s="523"/>
      <c r="EL91" s="524">
        <f t="shared" si="92"/>
        <v>0</v>
      </c>
    </row>
    <row r="92" spans="2:142">
      <c r="B92" s="30"/>
      <c r="C92" s="745" t="s">
        <v>3116</v>
      </c>
      <c r="D92" s="415" t="s">
        <v>728</v>
      </c>
      <c r="E92" s="29"/>
      <c r="L92" s="58" t="s">
        <v>1356</v>
      </c>
      <c r="M92" s="48" t="s">
        <v>1696</v>
      </c>
      <c r="N92" s="94" t="s">
        <v>2082</v>
      </c>
      <c r="O92" s="423" t="s">
        <v>728</v>
      </c>
      <c r="Q92" s="58" t="s">
        <v>1356</v>
      </c>
      <c r="R92" s="98" t="s">
        <v>189</v>
      </c>
      <c r="S92" s="94" t="s">
        <v>148</v>
      </c>
      <c r="U92" s="764" t="s">
        <v>3417</v>
      </c>
      <c r="V92" s="151" t="s">
        <v>243</v>
      </c>
      <c r="W92" s="159" t="s">
        <v>2182</v>
      </c>
      <c r="AK92" s="777" t="s">
        <v>4373</v>
      </c>
      <c r="AL92" s="478" t="s">
        <v>1779</v>
      </c>
      <c r="AM92" s="584" t="s">
        <v>2295</v>
      </c>
      <c r="AO92" s="778" t="s">
        <v>5636</v>
      </c>
      <c r="AP92" s="152" t="s">
        <v>177</v>
      </c>
      <c r="AQ92" s="586" t="s">
        <v>2324</v>
      </c>
      <c r="AU92" s="234" t="s">
        <v>1386</v>
      </c>
      <c r="AV92" s="148" t="s">
        <v>1324</v>
      </c>
      <c r="AW92" s="138" t="str">
        <f t="shared" si="93"/>
        <v>ДП ЛАДА D.6/2</v>
      </c>
      <c r="AY92" s="224" t="s">
        <v>2418</v>
      </c>
      <c r="AZ92" s="62" t="s">
        <v>1720</v>
      </c>
      <c r="BA92" s="139" t="str">
        <f t="shared" si="94"/>
        <v>ДП Ідея.3/1.купе</v>
      </c>
      <c r="BK92" s="250" t="s">
        <v>2725</v>
      </c>
      <c r="BL92" s="137" t="s">
        <v>557</v>
      </c>
      <c r="BM92" s="138" t="str">
        <f t="shared" si="90"/>
        <v>ДП Лінда.Резист</v>
      </c>
      <c r="BS92" s="44" t="s">
        <v>2426</v>
      </c>
      <c r="BT92" s="254" t="s">
        <v>316</v>
      </c>
      <c r="BU92" s="139" t="str">
        <f t="shared" si="83"/>
        <v>ДП Ідея.6/0.ДСП тр.</v>
      </c>
      <c r="BW92" s="165" t="s">
        <v>2359</v>
      </c>
      <c r="BX92" s="247" t="s">
        <v>458</v>
      </c>
      <c r="BY92" s="138" t="str">
        <f t="shared" si="78"/>
        <v>ДП Геометрія.6/6.Сатин</v>
      </c>
      <c r="CA92" s="742" t="s">
        <v>3196</v>
      </c>
      <c r="CB92" s="137"/>
      <c r="CC92" s="21"/>
      <c r="CE92" s="147" t="s">
        <v>3266</v>
      </c>
      <c r="CF92" s="62" t="s">
        <v>739</v>
      </c>
      <c r="CG92" s="139" t="str">
        <f t="shared" si="59"/>
        <v>ДП ЛАДА B.фальц..неробоча..ВП</v>
      </c>
      <c r="CI92" s="147" t="s">
        <v>4335</v>
      </c>
      <c r="CJ92" s="62" t="s">
        <v>4857</v>
      </c>
      <c r="CK92" s="139" t="str">
        <f>CONCATENATE(CI92,".",CJ92)</f>
        <v>Пл Magnet +2завіс.Права</v>
      </c>
      <c r="CM92" s="57" t="s">
        <v>3265</v>
      </c>
      <c r="CN92" s="56" t="s">
        <v>4106</v>
      </c>
      <c r="CO92" s="70" t="str">
        <f t="shared" si="95"/>
        <v>ДП ЛАДА B.фальц,.неробоча,.(ні)</v>
      </c>
      <c r="CY92" s="146" t="s">
        <v>5750</v>
      </c>
      <c r="CZ92" s="137" t="s">
        <v>4323</v>
      </c>
      <c r="DA92" s="138" t="s">
        <v>858</v>
      </c>
      <c r="DD92" s="108" t="s">
        <v>2389</v>
      </c>
      <c r="DE92" s="166">
        <v>4620</v>
      </c>
      <c r="DF92" s="528">
        <f t="shared" si="69"/>
        <v>4620</v>
      </c>
      <c r="DG92" s="526"/>
      <c r="DH92" s="530">
        <f t="shared" si="70"/>
        <v>4620</v>
      </c>
      <c r="DP92" s="256"/>
      <c r="DQ92" s="257"/>
      <c r="DR92" s="517"/>
      <c r="DS92" s="532"/>
      <c r="DT92" s="259"/>
      <c r="DU92" s="166"/>
      <c r="DV92" s="739" t="s">
        <v>4370</v>
      </c>
      <c r="DW92" s="164">
        <v>80</v>
      </c>
      <c r="DX92" s="531">
        <f>ROUND(((DW92-(DW92/6))/$DD$3)*$DE$3,2)</f>
        <v>80</v>
      </c>
      <c r="DY92" s="526"/>
      <c r="DZ92" s="527">
        <f>IF(DY92="",DX92,
IF(AND($DW$10&gt;=VLOOKUP(DY92,$DV$5:$DZ$9,2,0),$DW$10&lt;=VLOOKUP(DY92,$DV$5:$DZ$9,3,0)),
(DX92*(1-VLOOKUP(DY92,$DV$5:$DZ$9,4,0))),
DX92))</f>
        <v>80</v>
      </c>
      <c r="EB92" s="256"/>
      <c r="EC92" s="257"/>
      <c r="ED92" s="258"/>
      <c r="EE92" s="257"/>
      <c r="EF92" s="259"/>
      <c r="EG92" s="165"/>
      <c r="EH92" s="739" t="s">
        <v>3418</v>
      </c>
      <c r="EI92" s="164">
        <v>1650</v>
      </c>
      <c r="EJ92" s="531">
        <f t="shared" si="91"/>
        <v>1650</v>
      </c>
      <c r="EK92" s="526"/>
      <c r="EL92" s="527">
        <f t="shared" si="92"/>
        <v>1650</v>
      </c>
    </row>
    <row r="93" spans="2:142">
      <c r="B93" s="30"/>
      <c r="C93" s="745" t="s">
        <v>3122</v>
      </c>
      <c r="D93" s="415" t="s">
        <v>728</v>
      </c>
      <c r="E93" s="29"/>
      <c r="L93" s="58" t="s">
        <v>1357</v>
      </c>
      <c r="M93" s="48" t="s">
        <v>1696</v>
      </c>
      <c r="N93" s="94" t="s">
        <v>2082</v>
      </c>
      <c r="O93" s="423" t="s">
        <v>728</v>
      </c>
      <c r="Q93" s="58" t="s">
        <v>1357</v>
      </c>
      <c r="R93" s="98" t="s">
        <v>201</v>
      </c>
      <c r="S93" s="94" t="s">
        <v>149</v>
      </c>
      <c r="U93" s="764" t="s">
        <v>3419</v>
      </c>
      <c r="V93" s="151" t="s">
        <v>85</v>
      </c>
      <c r="W93" s="435" t="s">
        <v>5425</v>
      </c>
      <c r="AK93" s="777" t="s">
        <v>6110</v>
      </c>
      <c r="AL93" s="478" t="s">
        <v>6458</v>
      </c>
      <c r="AM93" s="584" t="s">
        <v>6112</v>
      </c>
      <c r="AO93" s="778" t="s">
        <v>5637</v>
      </c>
      <c r="AP93" s="151" t="s">
        <v>5495</v>
      </c>
      <c r="AQ93" s="584" t="s">
        <v>2321</v>
      </c>
      <c r="AU93" s="234" t="s">
        <v>1386</v>
      </c>
      <c r="AV93" s="148" t="s">
        <v>207</v>
      </c>
      <c r="AW93" s="138" t="str">
        <f t="shared" si="93"/>
        <v>ДП ЛАДА D.6/3</v>
      </c>
      <c r="AY93" s="234" t="s">
        <v>2419</v>
      </c>
      <c r="AZ93" s="137" t="s">
        <v>1719</v>
      </c>
      <c r="BA93" s="138" t="str">
        <f t="shared" si="94"/>
        <v>ДП Ідея.3/2.фальц</v>
      </c>
      <c r="BK93" s="250" t="s">
        <v>2725</v>
      </c>
      <c r="BL93" s="137" t="s">
        <v>62</v>
      </c>
      <c r="BM93" s="138" t="str">
        <f t="shared" si="90"/>
        <v>ДП Лінда.LINE-3D</v>
      </c>
      <c r="BS93" s="133" t="s">
        <v>2427</v>
      </c>
      <c r="BT93" s="101" t="s">
        <v>4066</v>
      </c>
      <c r="BU93" s="135" t="str">
        <f t="shared" si="83"/>
        <v>ДП Ідея.6/6.Сотове</v>
      </c>
      <c r="BW93" s="165" t="s">
        <v>2359</v>
      </c>
      <c r="BX93" s="770" t="s">
        <v>3851</v>
      </c>
      <c r="BY93" s="138" t="str">
        <f t="shared" si="78"/>
        <v>ДП Геометрія.6/6.Графіт</v>
      </c>
      <c r="CA93" s="742" t="s">
        <v>3196</v>
      </c>
      <c r="CB93" s="137" t="s">
        <v>4323</v>
      </c>
      <c r="CC93" s="138" t="str">
        <f>CONCATENATE(CA93,".",CB93)</f>
        <v>ДП КУПАВА.фальц.неробоча.Пл Stand +2завіс</v>
      </c>
      <c r="CE93" s="146" t="s">
        <v>3267</v>
      </c>
      <c r="CF93" s="137"/>
      <c r="CG93" s="138" t="str">
        <f t="shared" si="59"/>
        <v>ДП ЛАДА B.б/з фальц..робоча..</v>
      </c>
      <c r="CI93" s="145" t="s">
        <v>6162</v>
      </c>
      <c r="CJ93" s="134" t="s">
        <v>4827</v>
      </c>
      <c r="CK93" s="135" t="str">
        <f t="shared" si="96"/>
        <v>Пл Magnet (чор.) +2завіс.Ліва</v>
      </c>
      <c r="CM93" s="57" t="s">
        <v>3266</v>
      </c>
      <c r="CN93" s="56" t="s">
        <v>4106</v>
      </c>
      <c r="CO93" s="70" t="str">
        <f t="shared" si="95"/>
        <v>ДП ЛАДА B.фальц..неробоча..(ні)</v>
      </c>
      <c r="CY93" s="146" t="s">
        <v>5751</v>
      </c>
      <c r="CZ93" s="137" t="s">
        <v>4323</v>
      </c>
      <c r="DA93" s="138" t="s">
        <v>858</v>
      </c>
      <c r="DD93" s="636"/>
      <c r="DE93" s="637"/>
      <c r="DF93" s="638"/>
      <c r="DG93" s="639"/>
      <c r="DH93" s="640"/>
      <c r="DP93" s="736" t="s">
        <v>4124</v>
      </c>
      <c r="DQ93" s="105">
        <v>0</v>
      </c>
      <c r="DR93" s="403">
        <f t="shared" si="85"/>
        <v>0</v>
      </c>
      <c r="DS93" s="514"/>
      <c r="DT93" s="511">
        <f t="shared" ref="DT93:DT184" si="97">IF(DS93="",DR93,
IF(AND($DQ$10&gt;=VLOOKUP(DS93,$DP$5:$DT$9,2,0),$DQ$10&lt;=VLOOKUP(DS93,$DP$5:$DT$9,3,0)),
(DR93*(1-VLOOKUP(DS93,$DP$5:$DT$9,4,0))),
DR93))</f>
        <v>0</v>
      </c>
      <c r="DU93" s="166"/>
      <c r="DV93" s="739" t="s">
        <v>6236</v>
      </c>
      <c r="DW93" s="164">
        <v>80</v>
      </c>
      <c r="DX93" s="531">
        <f t="shared" si="76"/>
        <v>80</v>
      </c>
      <c r="DY93" s="526"/>
      <c r="DZ93" s="527">
        <f t="shared" si="77"/>
        <v>80</v>
      </c>
      <c r="EB93" s="60"/>
      <c r="EC93" s="105"/>
      <c r="ED93" s="119"/>
      <c r="EE93" s="103"/>
      <c r="EF93" s="107"/>
      <c r="EG93" s="165"/>
      <c r="EH93" s="738" t="s">
        <v>5079</v>
      </c>
      <c r="EI93" s="166">
        <v>0</v>
      </c>
      <c r="EJ93" s="522">
        <f>ROUND(((EI93-(EI93/6))/$DD$3)*$DE$3,2)</f>
        <v>0</v>
      </c>
      <c r="EK93" s="523"/>
      <c r="EL93" s="524">
        <f>IF(EK93="",EJ93,
IF(AND($EI$10&gt;=VLOOKUP(EK93,$EH$5:$EL$9,2,0),$EI$10&lt;=VLOOKUP(EK93,$EH$5:$EL$9,3,0)),
(EJ93*(1-VLOOKUP(EK93,$EH$5:$EL$9,4,0))),
EJ93))</f>
        <v>0</v>
      </c>
    </row>
    <row r="94" spans="2:142">
      <c r="B94" s="30"/>
      <c r="C94" s="410" t="s">
        <v>1889</v>
      </c>
      <c r="D94" s="415" t="s">
        <v>728</v>
      </c>
      <c r="E94" s="29"/>
      <c r="L94" s="58" t="s">
        <v>1358</v>
      </c>
      <c r="M94" s="48" t="s">
        <v>1696</v>
      </c>
      <c r="N94" s="94" t="s">
        <v>2082</v>
      </c>
      <c r="O94" s="423" t="s">
        <v>728</v>
      </c>
      <c r="Q94" s="58" t="s">
        <v>1358</v>
      </c>
      <c r="R94" s="98" t="s">
        <v>202</v>
      </c>
      <c r="S94" s="94" t="s">
        <v>150</v>
      </c>
      <c r="U94" s="764" t="s">
        <v>3420</v>
      </c>
      <c r="V94" s="151" t="s">
        <v>86</v>
      </c>
      <c r="W94" s="435" t="s">
        <v>5426</v>
      </c>
      <c r="AK94" s="777" t="s">
        <v>6111</v>
      </c>
      <c r="AL94" s="478" t="s">
        <v>6459</v>
      </c>
      <c r="AM94" s="584" t="s">
        <v>6113</v>
      </c>
      <c r="AO94" s="778" t="s">
        <v>5638</v>
      </c>
      <c r="AP94" s="152" t="s">
        <v>177</v>
      </c>
      <c r="AQ94" s="586" t="s">
        <v>2324</v>
      </c>
      <c r="AU94" s="234" t="s">
        <v>1386</v>
      </c>
      <c r="AV94" s="148" t="s">
        <v>1325</v>
      </c>
      <c r="AW94" s="138" t="str">
        <f t="shared" si="93"/>
        <v>ДП ЛАДА D.6/4</v>
      </c>
      <c r="AY94" s="234" t="s">
        <v>2419</v>
      </c>
      <c r="AZ94" s="137" t="s">
        <v>1721</v>
      </c>
      <c r="BA94" s="138" t="str">
        <f t="shared" si="94"/>
        <v>ДП Ідея.3/2.б/з фальц</v>
      </c>
      <c r="BK94" s="250" t="s">
        <v>2725</v>
      </c>
      <c r="BL94" s="62" t="s">
        <v>5071</v>
      </c>
      <c r="BM94" s="139" t="str">
        <f t="shared" si="90"/>
        <v>ДП Лінда.Е-шпон</v>
      </c>
      <c r="BS94" s="44" t="s">
        <v>2427</v>
      </c>
      <c r="BT94" s="254" t="s">
        <v>316</v>
      </c>
      <c r="BU94" s="139" t="str">
        <f t="shared" si="83"/>
        <v>ДП Ідея.6/6.ДСП тр.</v>
      </c>
      <c r="BW94" s="108" t="s">
        <v>2359</v>
      </c>
      <c r="BX94" s="248" t="s">
        <v>832</v>
      </c>
      <c r="BY94" s="139" t="str">
        <f t="shared" si="78"/>
        <v>ДП Геометрія.6/6.Бронза</v>
      </c>
      <c r="CA94" s="742" t="s">
        <v>3196</v>
      </c>
      <c r="CB94" s="137" t="s">
        <v>4325</v>
      </c>
      <c r="CC94" s="138" t="str">
        <f>CONCATENATE(CA94,".",CB94)</f>
        <v>ДП КУПАВА.фальц.неробоча.Пл Stand +3завіс</v>
      </c>
      <c r="CE94" s="146" t="s">
        <v>3267</v>
      </c>
      <c r="CF94" s="137" t="s">
        <v>4261</v>
      </c>
      <c r="CG94" s="138" t="str">
        <f t="shared" si="59"/>
        <v>ДП ЛАДА B.б/з фальц..робоча..ВВ</v>
      </c>
      <c r="CI94" s="147" t="s">
        <v>6162</v>
      </c>
      <c r="CJ94" s="62" t="s">
        <v>4857</v>
      </c>
      <c r="CK94" s="139" t="str">
        <f t="shared" si="96"/>
        <v>Пл Magnet (чор.) +2завіс.Права</v>
      </c>
      <c r="CM94" s="57" t="s">
        <v>3267</v>
      </c>
      <c r="CN94" s="56" t="s">
        <v>941</v>
      </c>
      <c r="CO94" s="70" t="str">
        <f t="shared" si="95"/>
        <v>ДП ЛАДА B.б/з фальц..робоча..Verto-FIT Comfort</v>
      </c>
      <c r="CQ94" s="213"/>
      <c r="CR94" s="213"/>
      <c r="CY94" s="146" t="s">
        <v>5752</v>
      </c>
      <c r="CZ94" s="137" t="s">
        <v>4323</v>
      </c>
      <c r="DA94" s="138" t="s">
        <v>858</v>
      </c>
      <c r="DD94" s="737" t="s">
        <v>4940</v>
      </c>
      <c r="DE94" s="163">
        <v>2490</v>
      </c>
      <c r="DF94" s="528">
        <f>ROUND(((DE94-(DE94/6))/$DD$3)*$DE$3,2)</f>
        <v>2490</v>
      </c>
      <c r="DG94" s="529"/>
      <c r="DH94" s="530">
        <f t="shared" si="70"/>
        <v>2490</v>
      </c>
      <c r="DP94" s="162" t="s">
        <v>2390</v>
      </c>
      <c r="DQ94" s="163">
        <v>0</v>
      </c>
      <c r="DR94" s="528">
        <f t="shared" si="85"/>
        <v>0</v>
      </c>
      <c r="DS94" s="529"/>
      <c r="DT94" s="530">
        <f t="shared" si="97"/>
        <v>0</v>
      </c>
      <c r="DU94" s="166"/>
      <c r="DV94" s="738" t="s">
        <v>4372</v>
      </c>
      <c r="DW94" s="166">
        <v>800.00000000000011</v>
      </c>
      <c r="DX94" s="522">
        <f t="shared" ref="DX94:DX99" si="98">ROUND(((DW94-(DW94/6))/$DD$3)*$DE$3,2)</f>
        <v>800</v>
      </c>
      <c r="DY94" s="523"/>
      <c r="DZ94" s="524">
        <f t="shared" ref="DZ94:DZ99" si="99">IF(DY94="",DX94,
IF(AND($DW$10&gt;=VLOOKUP(DY94,$DV$5:$DZ$9,2,0),$DW$10&lt;=VLOOKUP(DY94,$DV$5:$DZ$9,3,0)),
(DX94*(1-VLOOKUP(DY94,$DV$5:$DZ$9,4,0))),
DX94))</f>
        <v>800</v>
      </c>
      <c r="EB94" s="60"/>
      <c r="EC94" s="105"/>
      <c r="ED94" s="119"/>
      <c r="EE94" s="103"/>
      <c r="EF94" s="107"/>
      <c r="EG94" s="165"/>
      <c r="EH94" s="739" t="s">
        <v>5080</v>
      </c>
      <c r="EI94" s="164">
        <v>1760</v>
      </c>
      <c r="EJ94" s="531">
        <f>ROUND(((EI94-(EI94/6))/$DD$3)*$DE$3,2)</f>
        <v>1760</v>
      </c>
      <c r="EK94" s="526"/>
      <c r="EL94" s="527">
        <f>IF(EK94="",EJ94,
IF(AND($EI$10&gt;=VLOOKUP(EK94,$EH$5:$EL$9,2,0),$EI$10&lt;=VLOOKUP(EK94,$EH$5:$EL$9,3,0)),
(EJ94*(1-VLOOKUP(EK94,$EH$5:$EL$9,4,0))),
EJ94))</f>
        <v>1760</v>
      </c>
    </row>
    <row r="95" spans="2:142">
      <c r="B95" s="30"/>
      <c r="C95" s="745" t="s">
        <v>3123</v>
      </c>
      <c r="D95" s="415" t="s">
        <v>728</v>
      </c>
      <c r="E95" s="29"/>
      <c r="L95" s="58" t="s">
        <v>1359</v>
      </c>
      <c r="M95" s="48" t="s">
        <v>1696</v>
      </c>
      <c r="N95" s="94" t="s">
        <v>2082</v>
      </c>
      <c r="O95" s="423" t="s">
        <v>728</v>
      </c>
      <c r="Q95" s="58" t="s">
        <v>1359</v>
      </c>
      <c r="R95" s="98" t="s">
        <v>534</v>
      </c>
      <c r="S95" s="94" t="s">
        <v>1017</v>
      </c>
      <c r="U95" s="764" t="s">
        <v>3421</v>
      </c>
      <c r="V95" s="151" t="s">
        <v>87</v>
      </c>
      <c r="W95" s="435" t="s">
        <v>5427</v>
      </c>
      <c r="AK95" s="591"/>
      <c r="AL95" s="475"/>
      <c r="AM95" s="592"/>
      <c r="AO95" s="591"/>
      <c r="AP95" s="475"/>
      <c r="AQ95" s="592"/>
      <c r="AU95" s="234" t="s">
        <v>1386</v>
      </c>
      <c r="AV95" s="148" t="s">
        <v>646</v>
      </c>
      <c r="AW95" s="138" t="str">
        <f t="shared" si="93"/>
        <v>ДП ЛАДА D.7/0</v>
      </c>
      <c r="AY95" s="224" t="s">
        <v>2419</v>
      </c>
      <c r="AZ95" s="62" t="s">
        <v>1720</v>
      </c>
      <c r="BA95" s="139" t="str">
        <f t="shared" si="94"/>
        <v>ДП Ідея.3/2.купе</v>
      </c>
      <c r="BK95" s="744" t="s">
        <v>2868</v>
      </c>
      <c r="BL95" s="134" t="s">
        <v>409</v>
      </c>
      <c r="BM95" s="135" t="str">
        <f t="shared" si="90"/>
        <v>ДП Тіана.Verto-Cell</v>
      </c>
      <c r="BS95" s="133" t="s">
        <v>2428</v>
      </c>
      <c r="BT95" s="101" t="s">
        <v>4066</v>
      </c>
      <c r="BU95" s="135" t="str">
        <f t="shared" si="83"/>
        <v>ДП Ідея.7/0.Сотове</v>
      </c>
      <c r="BW95" s="432"/>
      <c r="BX95" s="432"/>
      <c r="BY95" s="432"/>
      <c r="CA95" s="742" t="s">
        <v>3196</v>
      </c>
      <c r="CB95" s="137"/>
      <c r="CC95" s="138"/>
      <c r="CE95" s="147" t="s">
        <v>3267</v>
      </c>
      <c r="CF95" s="62" t="s">
        <v>739</v>
      </c>
      <c r="CG95" s="139" t="str">
        <f t="shared" si="59"/>
        <v>ДП ЛАДА B.б/з фальц..робоча..ВП</v>
      </c>
      <c r="CI95" s="145" t="s">
        <v>4325</v>
      </c>
      <c r="CJ95" s="134" t="s">
        <v>4827</v>
      </c>
      <c r="CK95" s="135" t="str">
        <f t="shared" si="96"/>
        <v>Пл Stand +3завіс.Ліва</v>
      </c>
      <c r="CM95" s="86" t="s">
        <v>3268</v>
      </c>
      <c r="CN95" s="56" t="s">
        <v>841</v>
      </c>
      <c r="CO95" s="70" t="str">
        <f t="shared" si="95"/>
        <v>ДП ЛАДА B.купе..робоча..Verto-FIT</v>
      </c>
      <c r="CQ95" s="213"/>
      <c r="CR95" s="213"/>
      <c r="CY95" s="146" t="s">
        <v>5753</v>
      </c>
      <c r="CZ95" s="137" t="s">
        <v>4323</v>
      </c>
      <c r="DA95" s="138" t="s">
        <v>858</v>
      </c>
      <c r="DD95" s="738" t="s">
        <v>4941</v>
      </c>
      <c r="DE95" s="166">
        <v>4790</v>
      </c>
      <c r="DF95" s="528">
        <f t="shared" ref="DF95:DF149" si="100">ROUND(((DE95-(DE95/6))/$DD$3)*$DE$3,2)</f>
        <v>4790</v>
      </c>
      <c r="DG95" s="523"/>
      <c r="DH95" s="530">
        <f>IF(DG95="",DF95,
IF(AND($DE$10&gt;=VLOOKUP(DG95,$DD$5:$DH$9,2,0),$DE$10&lt;=VLOOKUP(DG95,$DD$5:$DH$9,3,0)),
(DF95*(1-VLOOKUP(DG95,$DD$5:$DH$9,4,0))),
DF95))</f>
        <v>4790</v>
      </c>
      <c r="DP95" s="165" t="s">
        <v>2391</v>
      </c>
      <c r="DQ95" s="166">
        <v>340</v>
      </c>
      <c r="DR95" s="522">
        <f>ROUND(((DQ95-(DQ95/6))/$DD$3)*$DE$3,2)</f>
        <v>340</v>
      </c>
      <c r="DS95" s="523"/>
      <c r="DT95" s="524">
        <f>IF(DS95="",DR95,
IF(AND($DQ$10&gt;=VLOOKUP(DS95,$DP$5:$DT$9,2,0),$DQ$10&lt;=VLOOKUP(DS95,$DP$5:$DT$9,3,0)),
(DR95*(1-VLOOKUP(DS95,$DP$5:$DT$9,4,0))),
DR95))</f>
        <v>340</v>
      </c>
      <c r="DU95" s="166"/>
      <c r="DV95" s="738" t="s">
        <v>4374</v>
      </c>
      <c r="DW95" s="166">
        <v>800.00000000000011</v>
      </c>
      <c r="DX95" s="522">
        <f t="shared" si="98"/>
        <v>800</v>
      </c>
      <c r="DY95" s="523"/>
      <c r="DZ95" s="524">
        <f t="shared" si="99"/>
        <v>800</v>
      </c>
      <c r="EB95" s="48"/>
      <c r="EC95" s="48"/>
      <c r="ED95" s="120"/>
      <c r="EE95" s="48"/>
      <c r="EF95" s="48"/>
      <c r="EG95" s="165"/>
      <c r="EH95" s="738" t="s">
        <v>3422</v>
      </c>
      <c r="EI95" s="166">
        <v>0</v>
      </c>
      <c r="EJ95" s="522">
        <f t="shared" si="91"/>
        <v>0</v>
      </c>
      <c r="EK95" s="523"/>
      <c r="EL95" s="524">
        <f t="shared" si="92"/>
        <v>0</v>
      </c>
    </row>
    <row r="96" spans="2:142">
      <c r="B96" s="30"/>
      <c r="C96" s="410"/>
      <c r="D96" s="411"/>
      <c r="E96" s="29"/>
      <c r="L96" s="58" t="s">
        <v>1360</v>
      </c>
      <c r="M96" s="48" t="s">
        <v>1696</v>
      </c>
      <c r="N96" s="94" t="s">
        <v>2082</v>
      </c>
      <c r="O96" s="423" t="s">
        <v>728</v>
      </c>
      <c r="Q96" s="58" t="s">
        <v>1360</v>
      </c>
      <c r="R96" s="98" t="s">
        <v>535</v>
      </c>
      <c r="S96" s="94" t="s">
        <v>1018</v>
      </c>
      <c r="U96" s="764" t="s">
        <v>3423</v>
      </c>
      <c r="V96" s="151" t="s">
        <v>88</v>
      </c>
      <c r="W96" s="435" t="s">
        <v>5428</v>
      </c>
      <c r="AK96" s="583"/>
      <c r="AL96" s="478"/>
      <c r="AM96" s="584"/>
      <c r="AO96" s="583"/>
      <c r="AP96" s="478"/>
      <c r="AQ96" s="584"/>
      <c r="AU96" s="234" t="s">
        <v>1386</v>
      </c>
      <c r="AV96" s="148" t="s">
        <v>648</v>
      </c>
      <c r="AW96" s="138" t="str">
        <f t="shared" si="93"/>
        <v>ДП ЛАДА D.7/1</v>
      </c>
      <c r="AY96" s="234" t="s">
        <v>2420</v>
      </c>
      <c r="AZ96" s="137" t="s">
        <v>1719</v>
      </c>
      <c r="BA96" s="138" t="str">
        <f t="shared" si="94"/>
        <v>ДП Ідея.3/3.фальц</v>
      </c>
      <c r="BK96" s="740" t="s">
        <v>2868</v>
      </c>
      <c r="BL96" s="137"/>
      <c r="BM96" s="138" t="str">
        <f t="shared" si="90"/>
        <v>ДП Тіана.</v>
      </c>
      <c r="BS96" s="44" t="s">
        <v>2428</v>
      </c>
      <c r="BT96" s="254" t="s">
        <v>316</v>
      </c>
      <c r="BU96" s="139" t="str">
        <f t="shared" si="83"/>
        <v>ДП Ідея.7/0.ДСП тр.</v>
      </c>
      <c r="BW96" s="60" t="s">
        <v>2416</v>
      </c>
      <c r="BX96" s="780" t="s">
        <v>4106</v>
      </c>
      <c r="BY96" s="70" t="str">
        <f t="shared" ref="BY96:BY134" si="101">CONCATENATE(BW96,".",BX96)</f>
        <v>ДП Ідея.1.(ні)</v>
      </c>
      <c r="CA96" s="742" t="s">
        <v>3196</v>
      </c>
      <c r="CB96" s="137" t="s">
        <v>4330</v>
      </c>
      <c r="CC96" s="138" t="str">
        <f>CONCATENATE(CA96,".",CB96)</f>
        <v>ДП КУПАВА.фальц.неробоча.Пл Soft +2завіс</v>
      </c>
      <c r="CE96" s="742" t="s">
        <v>3268</v>
      </c>
      <c r="CF96" s="137"/>
      <c r="CG96" s="138" t="str">
        <f t="shared" si="59"/>
        <v>ДП ЛАДА B.купе..робоча..</v>
      </c>
      <c r="CI96" s="147" t="s">
        <v>4325</v>
      </c>
      <c r="CJ96" s="62" t="s">
        <v>4857</v>
      </c>
      <c r="CK96" s="139" t="str">
        <f t="shared" si="96"/>
        <v>Пл Stand +3завіс.Права</v>
      </c>
      <c r="CM96" s="432"/>
      <c r="CN96" s="427"/>
      <c r="CO96" s="428"/>
      <c r="CQ96" s="213"/>
      <c r="CR96" s="213"/>
      <c r="CW96" s="121"/>
      <c r="CY96" s="146" t="s">
        <v>4294</v>
      </c>
      <c r="CZ96" s="137" t="s">
        <v>4330</v>
      </c>
      <c r="DA96" s="138" t="s">
        <v>858</v>
      </c>
      <c r="DD96" s="738" t="s">
        <v>4942</v>
      </c>
      <c r="DE96" s="166">
        <v>4790</v>
      </c>
      <c r="DF96" s="528">
        <f t="shared" si="100"/>
        <v>4790</v>
      </c>
      <c r="DG96" s="523"/>
      <c r="DH96" s="530">
        <f t="shared" si="70"/>
        <v>4790</v>
      </c>
      <c r="DP96" s="738" t="s">
        <v>4204</v>
      </c>
      <c r="DQ96" s="166">
        <v>340</v>
      </c>
      <c r="DR96" s="522">
        <f>ROUND(((DQ96-(DQ96/6))/$DD$3)*$DE$3,2)</f>
        <v>340</v>
      </c>
      <c r="DS96" s="523"/>
      <c r="DT96" s="524">
        <f>IF(DS96="",DR96,
IF(AND($DQ$10&gt;=VLOOKUP(DS96,$DP$5:$DT$9,2,0),$DQ$10&lt;=VLOOKUP(DS96,$DP$5:$DT$9,3,0)),
(DR96*(1-VLOOKUP(DS96,$DP$5:$DT$9,4,0))),
DR96))</f>
        <v>340</v>
      </c>
      <c r="DU96" s="166"/>
      <c r="DV96" s="738" t="s">
        <v>4375</v>
      </c>
      <c r="DW96" s="166">
        <v>800.00000000000011</v>
      </c>
      <c r="DX96" s="522">
        <f t="shared" si="98"/>
        <v>800</v>
      </c>
      <c r="DY96" s="523"/>
      <c r="DZ96" s="524">
        <f t="shared" si="99"/>
        <v>800</v>
      </c>
      <c r="EB96" s="48"/>
      <c r="EC96" s="48"/>
      <c r="ED96" s="120"/>
      <c r="EE96" s="48"/>
      <c r="EF96" s="48"/>
      <c r="EG96" s="165"/>
      <c r="EH96" s="739" t="s">
        <v>3424</v>
      </c>
      <c r="EI96" s="164">
        <v>1760</v>
      </c>
      <c r="EJ96" s="531">
        <f t="shared" si="91"/>
        <v>1760</v>
      </c>
      <c r="EK96" s="526"/>
      <c r="EL96" s="527">
        <f t="shared" si="92"/>
        <v>1760</v>
      </c>
    </row>
    <row r="97" spans="2:142">
      <c r="B97" s="30"/>
      <c r="C97" s="745" t="s">
        <v>2174</v>
      </c>
      <c r="D97" s="415" t="s">
        <v>729</v>
      </c>
      <c r="E97" s="29"/>
      <c r="L97" s="58" t="s">
        <v>1361</v>
      </c>
      <c r="M97" s="48" t="s">
        <v>1696</v>
      </c>
      <c r="N97" s="94" t="s">
        <v>2082</v>
      </c>
      <c r="O97" s="423" t="s">
        <v>728</v>
      </c>
      <c r="Q97" s="58" t="s">
        <v>1361</v>
      </c>
      <c r="R97" s="98" t="s">
        <v>1318</v>
      </c>
      <c r="S97" s="94" t="s">
        <v>1321</v>
      </c>
      <c r="U97" s="764" t="s">
        <v>3425</v>
      </c>
      <c r="V97" s="151" t="s">
        <v>89</v>
      </c>
      <c r="W97" s="435" t="s">
        <v>5429</v>
      </c>
      <c r="AK97" s="593"/>
      <c r="AL97" s="577"/>
      <c r="AM97" s="594"/>
      <c r="AO97" s="593"/>
      <c r="AP97" s="577"/>
      <c r="AQ97" s="594"/>
      <c r="AU97" s="556" t="s">
        <v>1386</v>
      </c>
      <c r="AV97" s="555" t="s">
        <v>655</v>
      </c>
      <c r="AW97" s="174" t="str">
        <f t="shared" si="93"/>
        <v>ДП ЛАДА D.7/2</v>
      </c>
      <c r="AY97" s="234" t="s">
        <v>2420</v>
      </c>
      <c r="AZ97" s="137" t="s">
        <v>1721</v>
      </c>
      <c r="BA97" s="138" t="str">
        <f t="shared" si="94"/>
        <v>ДП Ідея.3/3.б/з фальц</v>
      </c>
      <c r="BK97" s="740" t="s">
        <v>2868</v>
      </c>
      <c r="BL97" s="137" t="s">
        <v>1894</v>
      </c>
      <c r="BM97" s="138" t="str">
        <f>CONCATENATE(BK97,".",BL97)</f>
        <v>ДП Тіана.Uni-Mat.</v>
      </c>
      <c r="BS97" s="133" t="s">
        <v>2429</v>
      </c>
      <c r="BT97" s="101" t="s">
        <v>4066</v>
      </c>
      <c r="BU97" s="135" t="str">
        <f t="shared" si="83"/>
        <v>ДП Ідея.7/1.Сотове</v>
      </c>
      <c r="BW97" s="60" t="s">
        <v>2417</v>
      </c>
      <c r="BX97" s="780" t="s">
        <v>4106</v>
      </c>
      <c r="BY97" s="70" t="str">
        <f t="shared" si="101"/>
        <v>ДП Ідея.3/0.(ні)</v>
      </c>
      <c r="CA97" s="742" t="s">
        <v>3196</v>
      </c>
      <c r="CB97" s="137" t="s">
        <v>4333</v>
      </c>
      <c r="CC97" s="138" t="str">
        <f>CONCATENATE(CA97,".",CB97)</f>
        <v>ДП КУПАВА.фальц.неробоча.Пл Soft +3завіс</v>
      </c>
      <c r="CE97" s="424" t="s">
        <v>3268</v>
      </c>
      <c r="CF97" s="62" t="s">
        <v>4261</v>
      </c>
      <c r="CG97" s="139" t="str">
        <f t="shared" si="59"/>
        <v>ДП ЛАДА B.купе..робоча..ВВ</v>
      </c>
      <c r="CI97" s="145" t="s">
        <v>4333</v>
      </c>
      <c r="CJ97" s="134" t="s">
        <v>4827</v>
      </c>
      <c r="CK97" s="135" t="str">
        <f t="shared" si="96"/>
        <v>Пл Soft +3завіс.Ліва</v>
      </c>
      <c r="CM97" s="742" t="s">
        <v>3269</v>
      </c>
      <c r="CN97" s="137" t="s">
        <v>975</v>
      </c>
      <c r="CO97" s="138" t="str">
        <f t="shared" ref="CO97:CO103" si="102">CONCATENATE(CM97,".",CN97)</f>
        <v>ДП ЛАДА C.фальц..робоча..Standard-MDF</v>
      </c>
      <c r="CW97" s="121"/>
      <c r="CY97" s="146" t="s">
        <v>4297</v>
      </c>
      <c r="CZ97" s="137" t="s">
        <v>4330</v>
      </c>
      <c r="DA97" s="138" t="s">
        <v>858</v>
      </c>
      <c r="DD97" s="738" t="s">
        <v>4943</v>
      </c>
      <c r="DE97" s="166">
        <v>4790</v>
      </c>
      <c r="DF97" s="528">
        <f t="shared" si="100"/>
        <v>4790</v>
      </c>
      <c r="DG97" s="523"/>
      <c r="DH97" s="530">
        <f t="shared" si="70"/>
        <v>4790</v>
      </c>
      <c r="DP97" s="738" t="s">
        <v>3869</v>
      </c>
      <c r="DQ97" s="166">
        <v>550</v>
      </c>
      <c r="DR97" s="522">
        <f t="shared" si="85"/>
        <v>550</v>
      </c>
      <c r="DS97" s="523"/>
      <c r="DT97" s="524">
        <f t="shared" si="97"/>
        <v>550</v>
      </c>
      <c r="DU97" s="166"/>
      <c r="DV97" s="738" t="s">
        <v>4376</v>
      </c>
      <c r="DW97" s="166">
        <v>800.00000000000011</v>
      </c>
      <c r="DX97" s="522">
        <f t="shared" si="98"/>
        <v>800</v>
      </c>
      <c r="DY97" s="523"/>
      <c r="DZ97" s="524">
        <f t="shared" si="99"/>
        <v>800</v>
      </c>
      <c r="EB97" s="48"/>
      <c r="EC97" s="48"/>
      <c r="ED97" s="120"/>
      <c r="EE97" s="48"/>
      <c r="EF97" s="48"/>
      <c r="EG97" s="165"/>
      <c r="EH97" s="538"/>
      <c r="EI97" s="539"/>
      <c r="EJ97" s="650"/>
      <c r="EK97" s="651"/>
      <c r="EL97" s="652"/>
    </row>
    <row r="98" spans="2:142">
      <c r="B98" s="30"/>
      <c r="C98" s="745" t="s">
        <v>3131</v>
      </c>
      <c r="D98" s="415" t="s">
        <v>729</v>
      </c>
      <c r="E98" s="29"/>
      <c r="L98" s="58" t="s">
        <v>1362</v>
      </c>
      <c r="M98" s="48" t="s">
        <v>1696</v>
      </c>
      <c r="N98" s="94" t="s">
        <v>2082</v>
      </c>
      <c r="O98" s="423" t="s">
        <v>728</v>
      </c>
      <c r="Q98" s="58" t="s">
        <v>1362</v>
      </c>
      <c r="R98" s="98" t="s">
        <v>1319</v>
      </c>
      <c r="S98" s="94" t="s">
        <v>1322</v>
      </c>
      <c r="U98" s="764" t="s">
        <v>3426</v>
      </c>
      <c r="V98" s="151" t="s">
        <v>90</v>
      </c>
      <c r="W98" s="435" t="s">
        <v>5430</v>
      </c>
      <c r="AK98" s="583"/>
      <c r="AL98" s="478"/>
      <c r="AM98" s="584"/>
      <c r="AO98" s="583"/>
      <c r="AP98" s="478"/>
      <c r="AQ98" s="584"/>
      <c r="AU98" s="250" t="s">
        <v>2496</v>
      </c>
      <c r="AV98" s="151" t="s">
        <v>194</v>
      </c>
      <c r="AW98" s="138" t="str">
        <f t="shared" si="93"/>
        <v>ДП Ніка.1/0</v>
      </c>
      <c r="AY98" s="224" t="s">
        <v>2420</v>
      </c>
      <c r="AZ98" s="62" t="s">
        <v>1720</v>
      </c>
      <c r="BA98" s="139" t="str">
        <f t="shared" si="94"/>
        <v>ДП Ідея.3/3.купе</v>
      </c>
      <c r="BK98" s="740" t="s">
        <v>2868</v>
      </c>
      <c r="BL98" s="137" t="s">
        <v>557</v>
      </c>
      <c r="BM98" s="138" t="str">
        <f t="shared" si="90"/>
        <v>ДП Тіана.Резист</v>
      </c>
      <c r="BS98" s="44" t="s">
        <v>2429</v>
      </c>
      <c r="BT98" s="254" t="s">
        <v>316</v>
      </c>
      <c r="BU98" s="139" t="str">
        <f t="shared" si="83"/>
        <v>ДП Ідея.7/1.ДСП тр.</v>
      </c>
      <c r="BW98" s="162" t="s">
        <v>2418</v>
      </c>
      <c r="BX98" s="246" t="s">
        <v>458</v>
      </c>
      <c r="BY98" s="135" t="str">
        <f t="shared" si="101"/>
        <v>ДП Ідея.3/1.Сатин</v>
      </c>
      <c r="CA98" s="742" t="s">
        <v>3196</v>
      </c>
      <c r="CB98" s="137"/>
      <c r="CC98" s="138"/>
      <c r="CE98" s="228"/>
      <c r="CF98" s="222"/>
      <c r="CG98" s="223"/>
      <c r="CI98" s="147" t="s">
        <v>4333</v>
      </c>
      <c r="CJ98" s="62" t="s">
        <v>4857</v>
      </c>
      <c r="CK98" s="139" t="str">
        <f t="shared" si="96"/>
        <v>Пл Soft +3завіс.Права</v>
      </c>
      <c r="CM98" s="742" t="s">
        <v>3269</v>
      </c>
      <c r="CN98" s="137" t="s">
        <v>840</v>
      </c>
      <c r="CO98" s="138" t="str">
        <f t="shared" si="102"/>
        <v>ДП ЛАДА C.фальц..робоча..Standard</v>
      </c>
      <c r="CQ98" s="220"/>
      <c r="CR98" s="220"/>
      <c r="CW98" s="121"/>
      <c r="CY98" s="146" t="s">
        <v>4300</v>
      </c>
      <c r="CZ98" s="137" t="s">
        <v>4335</v>
      </c>
      <c r="DA98" s="138" t="s">
        <v>858</v>
      </c>
      <c r="DD98" s="738" t="s">
        <v>4944</v>
      </c>
      <c r="DE98" s="166">
        <v>4790</v>
      </c>
      <c r="DF98" s="528">
        <f t="shared" si="100"/>
        <v>4790</v>
      </c>
      <c r="DG98" s="523"/>
      <c r="DH98" s="530">
        <f t="shared" si="70"/>
        <v>4790</v>
      </c>
      <c r="DP98" s="108" t="s">
        <v>2392</v>
      </c>
      <c r="DQ98" s="166">
        <v>550</v>
      </c>
      <c r="DR98" s="525">
        <f t="shared" si="85"/>
        <v>550</v>
      </c>
      <c r="DS98" s="526"/>
      <c r="DT98" s="527">
        <f t="shared" si="97"/>
        <v>550</v>
      </c>
      <c r="DU98" s="166"/>
      <c r="DV98" s="738" t="s">
        <v>4377</v>
      </c>
      <c r="DW98" s="166">
        <v>800.00000000000011</v>
      </c>
      <c r="DX98" s="522">
        <f t="shared" si="98"/>
        <v>800</v>
      </c>
      <c r="DY98" s="523"/>
      <c r="DZ98" s="524">
        <f t="shared" si="99"/>
        <v>800</v>
      </c>
      <c r="EB98" s="554"/>
      <c r="EC98" s="554"/>
      <c r="ED98" s="653"/>
      <c r="EE98" s="554"/>
      <c r="EF98" s="554"/>
      <c r="EG98" s="165"/>
      <c r="EH98" s="737" t="s">
        <v>4945</v>
      </c>
      <c r="EI98" s="163">
        <v>0</v>
      </c>
      <c r="EJ98" s="537">
        <f t="shared" ref="EJ98:EJ116" si="103">ROUND(((EI98-(EI98/6))/$DD$3)*$DE$3,2)</f>
        <v>0</v>
      </c>
      <c r="EK98" s="529"/>
      <c r="EL98" s="530">
        <f t="shared" ref="EL98:EL128" si="104">IF(EK98="",EJ98,
IF(AND($EI$10&gt;=VLOOKUP(EK98,$EH$5:$EL$9,2,0),$EI$10&lt;=VLOOKUP(EK98,$EH$5:$EL$9,3,0)),
(EJ98*(1-VLOOKUP(EK98,$EH$5:$EL$9,4,0))),
EJ98))</f>
        <v>0</v>
      </c>
    </row>
    <row r="99" spans="2:142">
      <c r="B99" s="30"/>
      <c r="C99" s="745" t="s">
        <v>3132</v>
      </c>
      <c r="D99" s="415" t="s">
        <v>729</v>
      </c>
      <c r="E99" s="29"/>
      <c r="L99" s="58" t="s">
        <v>1363</v>
      </c>
      <c r="M99" s="48" t="s">
        <v>1696</v>
      </c>
      <c r="N99" s="94" t="s">
        <v>2082</v>
      </c>
      <c r="O99" s="423" t="s">
        <v>728</v>
      </c>
      <c r="Q99" s="58" t="s">
        <v>1363</v>
      </c>
      <c r="R99" s="98" t="s">
        <v>190</v>
      </c>
      <c r="S99" s="94" t="s">
        <v>151</v>
      </c>
      <c r="U99" s="764" t="s">
        <v>3427</v>
      </c>
      <c r="V99" s="151" t="s">
        <v>91</v>
      </c>
      <c r="W99" s="435" t="s">
        <v>5431</v>
      </c>
      <c r="AK99" s="777" t="s">
        <v>6114</v>
      </c>
      <c r="AL99" s="151" t="s">
        <v>6460</v>
      </c>
      <c r="AM99" s="584" t="s">
        <v>6116</v>
      </c>
      <c r="AO99" s="789" t="s">
        <v>4845</v>
      </c>
      <c r="AP99" s="101" t="s">
        <v>5495</v>
      </c>
      <c r="AQ99" s="589" t="s">
        <v>2321</v>
      </c>
      <c r="AU99" s="250" t="s">
        <v>2496</v>
      </c>
      <c r="AV99" s="151" t="s">
        <v>195</v>
      </c>
      <c r="AW99" s="138" t="str">
        <f t="shared" si="93"/>
        <v>ДП Ніка.1/1</v>
      </c>
      <c r="AY99" s="234" t="s">
        <v>2421</v>
      </c>
      <c r="AZ99" s="137" t="s">
        <v>1719</v>
      </c>
      <c r="BA99" s="138" t="str">
        <f t="shared" si="94"/>
        <v>ДП Ідея.4/0.фальц</v>
      </c>
      <c r="BK99" s="740" t="s">
        <v>2868</v>
      </c>
      <c r="BL99" s="137" t="s">
        <v>62</v>
      </c>
      <c r="BM99" s="138" t="str">
        <f t="shared" si="90"/>
        <v>ДП Тіана.LINE-3D</v>
      </c>
      <c r="BS99" s="426"/>
      <c r="BT99" s="427"/>
      <c r="BU99" s="428"/>
      <c r="BW99" s="165" t="s">
        <v>2418</v>
      </c>
      <c r="BX99" s="770" t="s">
        <v>4203</v>
      </c>
      <c r="BY99" s="138" t="str">
        <f t="shared" si="101"/>
        <v>ДП Ідея.3/1.Жалюзі</v>
      </c>
      <c r="CA99" s="742" t="s">
        <v>3196</v>
      </c>
      <c r="CB99" s="137" t="s">
        <v>4335</v>
      </c>
      <c r="CC99" s="138" t="str">
        <f>CONCATENATE(CA99,".",CB99)</f>
        <v>ДП КУПАВА.фальц.неробоча.Пл Magnet +2завіс</v>
      </c>
      <c r="CE99" s="742" t="s">
        <v>3269</v>
      </c>
      <c r="CF99" s="137"/>
      <c r="CG99" s="138" t="str">
        <f t="shared" ref="CG99:CG109" si="105">CONCATENATE(CE99,".",CF99)</f>
        <v>ДП ЛАДА C.фальц..робоча..</v>
      </c>
      <c r="CI99" s="145" t="s">
        <v>4336</v>
      </c>
      <c r="CJ99" s="134" t="s">
        <v>4827</v>
      </c>
      <c r="CK99" s="135" t="str">
        <f>CONCATENATE(CI99,".",CJ99)</f>
        <v>Пл Magnet +3завіс.Ліва</v>
      </c>
      <c r="CM99" s="742" t="s">
        <v>3269</v>
      </c>
      <c r="CN99" s="137" t="s">
        <v>841</v>
      </c>
      <c r="CO99" s="138" t="str">
        <f t="shared" si="102"/>
        <v>ДП ЛАДА C.фальц..робоча..Verto-FIT</v>
      </c>
      <c r="CQ99" s="220"/>
      <c r="CR99" s="220"/>
      <c r="CS99" s="213"/>
      <c r="CW99" s="121"/>
      <c r="CY99" s="146" t="s">
        <v>4305</v>
      </c>
      <c r="CZ99" s="137" t="s">
        <v>4335</v>
      </c>
      <c r="DA99" s="138" t="s">
        <v>858</v>
      </c>
      <c r="DD99" s="738" t="s">
        <v>4946</v>
      </c>
      <c r="DE99" s="166">
        <v>4990.0000000000009</v>
      </c>
      <c r="DF99" s="528">
        <f t="shared" si="100"/>
        <v>4990</v>
      </c>
      <c r="DG99" s="523"/>
      <c r="DH99" s="530">
        <f t="shared" si="70"/>
        <v>4990</v>
      </c>
      <c r="DP99" s="736" t="s">
        <v>4125</v>
      </c>
      <c r="DQ99" s="105">
        <v>0</v>
      </c>
      <c r="DR99" s="403">
        <f t="shared" si="85"/>
        <v>0</v>
      </c>
      <c r="DS99" s="514"/>
      <c r="DT99" s="511">
        <f t="shared" si="97"/>
        <v>0</v>
      </c>
      <c r="DU99" s="166"/>
      <c r="DV99" s="739" t="s">
        <v>4378</v>
      </c>
      <c r="DW99" s="164">
        <v>800.00000000000011</v>
      </c>
      <c r="DX99" s="525">
        <f t="shared" si="98"/>
        <v>800</v>
      </c>
      <c r="DY99" s="526"/>
      <c r="DZ99" s="527">
        <f t="shared" si="99"/>
        <v>800</v>
      </c>
      <c r="EG99" s="165"/>
      <c r="EH99" s="739" t="s">
        <v>4947</v>
      </c>
      <c r="EI99" s="164">
        <v>1350</v>
      </c>
      <c r="EJ99" s="531">
        <f t="shared" si="103"/>
        <v>1350</v>
      </c>
      <c r="EK99" s="526"/>
      <c r="EL99" s="527">
        <f t="shared" si="104"/>
        <v>1350</v>
      </c>
    </row>
    <row r="100" spans="2:142">
      <c r="B100" s="30"/>
      <c r="C100" s="829" t="s">
        <v>5620</v>
      </c>
      <c r="D100" s="415" t="s">
        <v>729</v>
      </c>
      <c r="E100" s="29"/>
      <c r="L100" s="58" t="s">
        <v>1364</v>
      </c>
      <c r="M100" s="48" t="s">
        <v>1696</v>
      </c>
      <c r="N100" s="94" t="s">
        <v>2082</v>
      </c>
      <c r="O100" s="423" t="s">
        <v>728</v>
      </c>
      <c r="Q100" s="58" t="s">
        <v>1364</v>
      </c>
      <c r="R100" s="98" t="s">
        <v>191</v>
      </c>
      <c r="S100" s="94" t="s">
        <v>740</v>
      </c>
      <c r="U100" s="764" t="s">
        <v>3428</v>
      </c>
      <c r="V100" s="151" t="s">
        <v>92</v>
      </c>
      <c r="W100" s="435" t="s">
        <v>5432</v>
      </c>
      <c r="AK100" s="778" t="s">
        <v>6115</v>
      </c>
      <c r="AL100" s="152" t="s">
        <v>6461</v>
      </c>
      <c r="AM100" s="586" t="s">
        <v>6117</v>
      </c>
      <c r="AO100" s="778" t="s">
        <v>4875</v>
      </c>
      <c r="AP100" s="152" t="s">
        <v>177</v>
      </c>
      <c r="AQ100" s="586" t="s">
        <v>2324</v>
      </c>
      <c r="AU100" s="250" t="s">
        <v>2496</v>
      </c>
      <c r="AV100" s="151" t="s">
        <v>531</v>
      </c>
      <c r="AW100" s="138" t="str">
        <f t="shared" si="93"/>
        <v>ДП Ніка.1/2</v>
      </c>
      <c r="AY100" s="234" t="s">
        <v>2421</v>
      </c>
      <c r="AZ100" s="137" t="s">
        <v>1721</v>
      </c>
      <c r="BA100" s="138" t="str">
        <f t="shared" si="94"/>
        <v>ДП Ідея.4/0.б/з фальц</v>
      </c>
      <c r="BK100" s="741" t="s">
        <v>2868</v>
      </c>
      <c r="BL100" s="62" t="s">
        <v>5071</v>
      </c>
      <c r="BM100" s="139" t="str">
        <f t="shared" si="90"/>
        <v>ДП Тіана.Е-шпон</v>
      </c>
      <c r="BS100" s="133" t="s">
        <v>2430</v>
      </c>
      <c r="BT100" s="101" t="s">
        <v>4066</v>
      </c>
      <c r="BU100" s="135" t="str">
        <f>CONCATENATE(BS100,".",BT100)</f>
        <v>ДП Ідея-ЛОФТ.1.Сотове</v>
      </c>
      <c r="BW100" s="165" t="s">
        <v>2418</v>
      </c>
      <c r="BX100" s="770" t="s">
        <v>3851</v>
      </c>
      <c r="BY100" s="138" t="str">
        <f>CONCATENATE(BW100,".",BX100)</f>
        <v>ДП Ідея.3/1.Графіт</v>
      </c>
      <c r="CA100" s="742" t="s">
        <v>3196</v>
      </c>
      <c r="CB100" s="62" t="s">
        <v>4336</v>
      </c>
      <c r="CC100" s="139" t="str">
        <f>CONCATENATE(CA100,".",CB100)</f>
        <v>ДП КУПАВА.фальц.неробоча.Пл Magnet +3завіс</v>
      </c>
      <c r="CE100" s="742" t="s">
        <v>3269</v>
      </c>
      <c r="CF100" s="137" t="s">
        <v>4261</v>
      </c>
      <c r="CG100" s="138" t="str">
        <f t="shared" si="105"/>
        <v>ДП ЛАДА C.фальц..робоча..ВВ</v>
      </c>
      <c r="CI100" s="147" t="s">
        <v>4336</v>
      </c>
      <c r="CJ100" s="62" t="s">
        <v>4857</v>
      </c>
      <c r="CK100" s="139" t="str">
        <f>CONCATENATE(CI100,".",CJ100)</f>
        <v>Пл Magnet +3завіс.Права</v>
      </c>
      <c r="CM100" s="424" t="s">
        <v>3269</v>
      </c>
      <c r="CN100" s="62" t="s">
        <v>371</v>
      </c>
      <c r="CO100" s="139" t="str">
        <f t="shared" si="102"/>
        <v>ДП ЛАДА C.фальц..робоча..Verto-FIT Plus</v>
      </c>
      <c r="CQ100" s="220"/>
      <c r="CR100" s="220"/>
      <c r="CS100" s="213"/>
      <c r="CW100" s="121"/>
      <c r="CY100" s="146" t="s">
        <v>6204</v>
      </c>
      <c r="CZ100" s="137" t="s">
        <v>6162</v>
      </c>
      <c r="DA100" s="138" t="s">
        <v>858</v>
      </c>
      <c r="DD100" s="738" t="s">
        <v>4948</v>
      </c>
      <c r="DE100" s="166">
        <v>4990.0000000000009</v>
      </c>
      <c r="DF100" s="528">
        <f t="shared" si="100"/>
        <v>4990</v>
      </c>
      <c r="DG100" s="523"/>
      <c r="DH100" s="530">
        <f t="shared" si="70"/>
        <v>4990</v>
      </c>
      <c r="DP100" s="162" t="s">
        <v>2393</v>
      </c>
      <c r="DQ100" s="163">
        <v>0</v>
      </c>
      <c r="DR100" s="528">
        <f t="shared" si="85"/>
        <v>0</v>
      </c>
      <c r="DS100" s="529"/>
      <c r="DT100" s="530">
        <f t="shared" si="97"/>
        <v>0</v>
      </c>
      <c r="DU100" s="166"/>
      <c r="DV100" s="738" t="s">
        <v>6237</v>
      </c>
      <c r="DW100" s="166">
        <v>1</v>
      </c>
      <c r="DX100" s="522">
        <f t="shared" si="76"/>
        <v>1</v>
      </c>
      <c r="DY100" s="523"/>
      <c r="DZ100" s="524">
        <f t="shared" si="77"/>
        <v>1</v>
      </c>
      <c r="EG100" s="165"/>
      <c r="EH100" s="738" t="s">
        <v>3429</v>
      </c>
      <c r="EI100" s="166">
        <v>0</v>
      </c>
      <c r="EJ100" s="522">
        <f t="shared" si="103"/>
        <v>0</v>
      </c>
      <c r="EK100" s="523"/>
      <c r="EL100" s="524">
        <f t="shared" si="104"/>
        <v>0</v>
      </c>
    </row>
    <row r="101" spans="2:142">
      <c r="B101" s="30"/>
      <c r="C101" s="829" t="s">
        <v>5623</v>
      </c>
      <c r="D101" s="415" t="s">
        <v>729</v>
      </c>
      <c r="E101" s="29"/>
      <c r="L101" s="58" t="s">
        <v>1365</v>
      </c>
      <c r="M101" s="48" t="s">
        <v>1696</v>
      </c>
      <c r="N101" s="94" t="s">
        <v>2082</v>
      </c>
      <c r="O101" s="423" t="s">
        <v>728</v>
      </c>
      <c r="Q101" s="58" t="s">
        <v>1365</v>
      </c>
      <c r="R101" s="98" t="s">
        <v>192</v>
      </c>
      <c r="S101" s="94" t="s">
        <v>741</v>
      </c>
      <c r="U101" s="765" t="s">
        <v>3430</v>
      </c>
      <c r="V101" s="152" t="s">
        <v>93</v>
      </c>
      <c r="W101" s="599" t="s">
        <v>5433</v>
      </c>
      <c r="AK101" s="777" t="s">
        <v>4379</v>
      </c>
      <c r="AL101" s="151" t="s">
        <v>979</v>
      </c>
      <c r="AM101" s="584" t="s">
        <v>2296</v>
      </c>
      <c r="AO101" s="789" t="s">
        <v>4846</v>
      </c>
      <c r="AP101" s="101" t="s">
        <v>5495</v>
      </c>
      <c r="AQ101" s="589" t="s">
        <v>2321</v>
      </c>
      <c r="AU101" s="250" t="s">
        <v>2496</v>
      </c>
      <c r="AV101" s="151" t="s">
        <v>1314</v>
      </c>
      <c r="AW101" s="138" t="str">
        <f t="shared" si="93"/>
        <v>ДП Ніка.1/3</v>
      </c>
      <c r="AY101" s="224" t="s">
        <v>2421</v>
      </c>
      <c r="AZ101" s="62" t="s">
        <v>1720</v>
      </c>
      <c r="BA101" s="139" t="str">
        <f t="shared" si="94"/>
        <v>ДП Ідея.4/0.купе</v>
      </c>
      <c r="BK101" s="740" t="s">
        <v>2794</v>
      </c>
      <c r="BL101" s="134" t="s">
        <v>409</v>
      </c>
      <c r="BM101" s="135" t="str">
        <f t="shared" si="90"/>
        <v>ДП Єва.Verto-Cell</v>
      </c>
      <c r="BS101" s="44" t="s">
        <v>2430</v>
      </c>
      <c r="BT101" s="254" t="s">
        <v>316</v>
      </c>
      <c r="BU101" s="139" t="str">
        <f>CONCATENATE(BS101,".",BT101)</f>
        <v>ДП Ідея-ЛОФТ.1.ДСП тр.</v>
      </c>
      <c r="BW101" s="108" t="s">
        <v>2418</v>
      </c>
      <c r="BX101" s="248" t="s">
        <v>832</v>
      </c>
      <c r="BY101" s="139" t="str">
        <f>CONCATENATE(BW101,".",BX101)</f>
        <v>ДП Ідея.3/1.Бронза</v>
      </c>
      <c r="CA101" s="145" t="s">
        <v>3198</v>
      </c>
      <c r="CB101" s="137" t="s">
        <v>4106</v>
      </c>
      <c r="CC101" s="238" t="str">
        <f>CONCATENATE(CA101,".",CB101)</f>
        <v>ДП КУПАВА.б/з фальц.робоча.(ні)</v>
      </c>
      <c r="CE101" s="424" t="s">
        <v>3269</v>
      </c>
      <c r="CF101" s="62" t="s">
        <v>739</v>
      </c>
      <c r="CG101" s="139" t="str">
        <f t="shared" si="105"/>
        <v>ДП ЛАДА C.фальц..робоча..ВП</v>
      </c>
      <c r="CI101" s="145" t="s">
        <v>6164</v>
      </c>
      <c r="CJ101" s="134" t="s">
        <v>4827</v>
      </c>
      <c r="CK101" s="135" t="str">
        <f t="shared" si="96"/>
        <v>Пл Magnet (чор.) +3завіс.Ліва</v>
      </c>
      <c r="CM101" s="424" t="s">
        <v>3270</v>
      </c>
      <c r="CN101" s="62" t="s">
        <v>4106</v>
      </c>
      <c r="CO101" s="70" t="str">
        <f t="shared" si="102"/>
        <v>ДП ЛАДА C.фальц..неробоча..(ні)</v>
      </c>
      <c r="CQ101" s="220"/>
      <c r="CR101" s="220"/>
      <c r="CS101" s="213"/>
      <c r="CW101" s="121"/>
      <c r="CY101" s="146" t="s">
        <v>6205</v>
      </c>
      <c r="CZ101" s="137" t="s">
        <v>6162</v>
      </c>
      <c r="DA101" s="138" t="s">
        <v>858</v>
      </c>
      <c r="DD101" s="738" t="s">
        <v>4949</v>
      </c>
      <c r="DE101" s="166">
        <v>4990.0000000000009</v>
      </c>
      <c r="DF101" s="528">
        <f t="shared" si="100"/>
        <v>4990</v>
      </c>
      <c r="DG101" s="523"/>
      <c r="DH101" s="530">
        <f t="shared" si="70"/>
        <v>4990</v>
      </c>
      <c r="DP101" s="165" t="s">
        <v>2394</v>
      </c>
      <c r="DQ101" s="166">
        <v>340</v>
      </c>
      <c r="DR101" s="522">
        <f>ROUND(((DQ101-(DQ101/6))/$DD$3)*$DE$3,2)</f>
        <v>340</v>
      </c>
      <c r="DS101" s="523"/>
      <c r="DT101" s="524">
        <f>IF(DS101="",DR101,
IF(AND($DQ$10&gt;=VLOOKUP(DS101,$DP$5:$DT$9,2,0),$DQ$10&lt;=VLOOKUP(DS101,$DP$5:$DT$9,3,0)),
(DR101*(1-VLOOKUP(DS101,$DP$5:$DT$9,4,0))),
DR101))</f>
        <v>340</v>
      </c>
      <c r="DU101" s="166"/>
      <c r="DV101" s="738" t="s">
        <v>6238</v>
      </c>
      <c r="DW101" s="166">
        <v>1</v>
      </c>
      <c r="DX101" s="522">
        <f t="shared" si="76"/>
        <v>1</v>
      </c>
      <c r="DY101" s="523"/>
      <c r="DZ101" s="524">
        <f t="shared" si="77"/>
        <v>1</v>
      </c>
      <c r="EG101" s="165"/>
      <c r="EH101" s="739" t="s">
        <v>3431</v>
      </c>
      <c r="EI101" s="164">
        <v>1350</v>
      </c>
      <c r="EJ101" s="531">
        <f t="shared" si="103"/>
        <v>1350</v>
      </c>
      <c r="EK101" s="526"/>
      <c r="EL101" s="527">
        <f t="shared" si="104"/>
        <v>1350</v>
      </c>
    </row>
    <row r="102" spans="2:142">
      <c r="B102" s="30"/>
      <c r="C102" s="830"/>
      <c r="D102" s="415"/>
      <c r="E102" s="29"/>
      <c r="L102" s="58" t="s">
        <v>1366</v>
      </c>
      <c r="M102" s="48" t="s">
        <v>1696</v>
      </c>
      <c r="N102" s="94" t="s">
        <v>2082</v>
      </c>
      <c r="O102" s="423" t="s">
        <v>728</v>
      </c>
      <c r="Q102" s="58" t="s">
        <v>1366</v>
      </c>
      <c r="R102" s="98" t="s">
        <v>193</v>
      </c>
      <c r="S102" s="94" t="s">
        <v>742</v>
      </c>
      <c r="U102" s="815"/>
      <c r="V102" s="816"/>
      <c r="W102" s="808"/>
      <c r="AK102" s="778" t="s">
        <v>4380</v>
      </c>
      <c r="AL102" s="152" t="s">
        <v>980</v>
      </c>
      <c r="AM102" s="586" t="s">
        <v>2297</v>
      </c>
      <c r="AO102" s="778" t="s">
        <v>4876</v>
      </c>
      <c r="AP102" s="152" t="s">
        <v>177</v>
      </c>
      <c r="AQ102" s="586" t="s">
        <v>2324</v>
      </c>
      <c r="AU102" s="250" t="s">
        <v>2496</v>
      </c>
      <c r="AV102" s="151" t="s">
        <v>1388</v>
      </c>
      <c r="AW102" s="138" t="str">
        <f t="shared" si="93"/>
        <v>ДП Ніка.1/4</v>
      </c>
      <c r="AY102" s="234" t="s">
        <v>2422</v>
      </c>
      <c r="AZ102" s="137" t="s">
        <v>1719</v>
      </c>
      <c r="BA102" s="138" t="str">
        <f t="shared" si="94"/>
        <v>ДП Ідея.4/1.фальц</v>
      </c>
      <c r="BK102" s="740" t="s">
        <v>2794</v>
      </c>
      <c r="BL102" s="137"/>
      <c r="BM102" s="138" t="str">
        <f t="shared" si="90"/>
        <v>ДП Єва.</v>
      </c>
      <c r="BS102" s="426"/>
      <c r="BT102" s="427"/>
      <c r="BU102" s="428"/>
      <c r="BW102" s="162" t="s">
        <v>2419</v>
      </c>
      <c r="BX102" s="246" t="s">
        <v>458</v>
      </c>
      <c r="BY102" s="135" t="str">
        <f t="shared" si="101"/>
        <v>ДП Ідея.3/2.Сатин</v>
      </c>
      <c r="CA102" s="146" t="s">
        <v>3198</v>
      </c>
      <c r="CB102" s="97"/>
      <c r="CC102" s="97"/>
      <c r="CE102" s="746" t="s">
        <v>3270</v>
      </c>
      <c r="CF102" s="137"/>
      <c r="CG102" s="138" t="str">
        <f t="shared" si="105"/>
        <v>ДП ЛАДА C.фальц..неробоча..</v>
      </c>
      <c r="CI102" s="147" t="s">
        <v>6164</v>
      </c>
      <c r="CJ102" s="62" t="s">
        <v>4857</v>
      </c>
      <c r="CK102" s="139" t="str">
        <f t="shared" si="96"/>
        <v>Пл Magnet (чор.) +3завіс.Права</v>
      </c>
      <c r="CM102" s="86" t="s">
        <v>3271</v>
      </c>
      <c r="CN102" s="56" t="s">
        <v>941</v>
      </c>
      <c r="CO102" s="70" t="str">
        <f t="shared" si="102"/>
        <v>ДП ЛАДА C.б/з фальц..робоча..Verto-FIT Comfort</v>
      </c>
      <c r="CS102" s="213"/>
      <c r="CW102" s="121"/>
      <c r="CY102" s="145" t="s">
        <v>5754</v>
      </c>
      <c r="CZ102" s="134" t="s">
        <v>4325</v>
      </c>
      <c r="DA102" s="135" t="s">
        <v>858</v>
      </c>
      <c r="DD102" s="738" t="s">
        <v>4950</v>
      </c>
      <c r="DE102" s="166">
        <v>4990.0000000000009</v>
      </c>
      <c r="DF102" s="528">
        <f t="shared" si="100"/>
        <v>4990</v>
      </c>
      <c r="DG102" s="523"/>
      <c r="DH102" s="530">
        <f t="shared" si="70"/>
        <v>4990</v>
      </c>
      <c r="DP102" s="738" t="s">
        <v>4205</v>
      </c>
      <c r="DQ102" s="166">
        <v>340</v>
      </c>
      <c r="DR102" s="522">
        <f>ROUND(((DQ102-(DQ102/6))/$DD$3)*$DE$3,2)</f>
        <v>340</v>
      </c>
      <c r="DS102" s="523"/>
      <c r="DT102" s="524">
        <f>IF(DS102="",DR102,
IF(AND($DQ$10&gt;=VLOOKUP(DS102,$DP$5:$DT$9,2,0),$DQ$10&lt;=VLOOKUP(DS102,$DP$5:$DT$9,3,0)),
(DR102*(1-VLOOKUP(DS102,$DP$5:$DT$9,4,0))),
DR102))</f>
        <v>340</v>
      </c>
      <c r="DU102" s="166"/>
      <c r="DV102" s="738" t="s">
        <v>6251</v>
      </c>
      <c r="DW102" s="166">
        <v>1</v>
      </c>
      <c r="DX102" s="522">
        <f t="shared" si="76"/>
        <v>1</v>
      </c>
      <c r="DY102" s="523"/>
      <c r="DZ102" s="524">
        <f t="shared" si="77"/>
        <v>1</v>
      </c>
      <c r="EG102" s="165"/>
      <c r="EH102" s="738" t="s">
        <v>3432</v>
      </c>
      <c r="EI102" s="166">
        <v>0</v>
      </c>
      <c r="EJ102" s="522">
        <f>ROUND(((EI102-(EI102/6))/$DD$3)*$DE$3,2)</f>
        <v>0</v>
      </c>
      <c r="EK102" s="523"/>
      <c r="EL102" s="524">
        <f>IF(EK102="",EJ102,
IF(AND($EI$10&gt;=VLOOKUP(EK102,$EH$5:$EL$9,2,0),$EI$10&lt;=VLOOKUP(EK102,$EH$5:$EL$9,3,0)),
(EJ102*(1-VLOOKUP(EK102,$EH$5:$EL$9,4,0))),
EJ102))</f>
        <v>0</v>
      </c>
    </row>
    <row r="103" spans="2:142">
      <c r="B103" s="30"/>
      <c r="C103" s="410" t="s">
        <v>2073</v>
      </c>
      <c r="D103" s="415" t="s">
        <v>728</v>
      </c>
      <c r="E103" s="29"/>
      <c r="L103" s="58" t="s">
        <v>1367</v>
      </c>
      <c r="M103" s="48" t="s">
        <v>1696</v>
      </c>
      <c r="N103" s="94" t="s">
        <v>2082</v>
      </c>
      <c r="O103" s="423" t="s">
        <v>728</v>
      </c>
      <c r="Q103" s="58" t="s">
        <v>1367</v>
      </c>
      <c r="R103" s="98" t="s">
        <v>203</v>
      </c>
      <c r="S103" s="94" t="s">
        <v>743</v>
      </c>
      <c r="U103" s="763" t="s">
        <v>3433</v>
      </c>
      <c r="V103" s="101" t="s">
        <v>239</v>
      </c>
      <c r="W103" s="100" t="s">
        <v>2183</v>
      </c>
      <c r="AK103" s="777" t="s">
        <v>4381</v>
      </c>
      <c r="AL103" s="151" t="s">
        <v>160</v>
      </c>
      <c r="AM103" s="760" t="s">
        <v>5453</v>
      </c>
      <c r="AO103" s="591"/>
      <c r="AP103" s="475"/>
      <c r="AQ103" s="592"/>
      <c r="AU103" s="250" t="s">
        <v>2496</v>
      </c>
      <c r="AV103" s="151" t="s">
        <v>1389</v>
      </c>
      <c r="AW103" s="138" t="str">
        <f t="shared" si="93"/>
        <v>ДП Ніка.1/5</v>
      </c>
      <c r="AY103" s="234" t="s">
        <v>2422</v>
      </c>
      <c r="AZ103" s="137" t="s">
        <v>1721</v>
      </c>
      <c r="BA103" s="138" t="str">
        <f t="shared" si="94"/>
        <v>ДП Ідея.4/1.б/з фальц</v>
      </c>
      <c r="BK103" s="740" t="s">
        <v>2794</v>
      </c>
      <c r="BL103" s="137" t="s">
        <v>1894</v>
      </c>
      <c r="BM103" s="138" t="str">
        <f>CONCATENATE(BK103,".",BL103)</f>
        <v>ДП Єва.Uni-Mat.</v>
      </c>
      <c r="BS103" s="58" t="s">
        <v>1343</v>
      </c>
      <c r="BT103" s="41" t="s">
        <v>4086</v>
      </c>
      <c r="BU103" s="70" t="str">
        <f t="shared" ref="BU103:BU113" si="106">CONCATENATE(BS103,".",BT103)</f>
        <v>ДП ЛАДА A.2А/0.Масив</v>
      </c>
      <c r="BW103" s="165" t="s">
        <v>2419</v>
      </c>
      <c r="BX103" s="770" t="s">
        <v>4203</v>
      </c>
      <c r="BY103" s="138" t="str">
        <f t="shared" si="101"/>
        <v>ДП Ідея.3/2.Жалюзі</v>
      </c>
      <c r="CA103" s="146" t="s">
        <v>3198</v>
      </c>
      <c r="CB103" s="478" t="s">
        <v>4337</v>
      </c>
      <c r="CC103" s="239" t="str">
        <f>CONCATENATE(CA103,".",CB103)</f>
        <v>ДП КУПАВА.б/з фальц.робоча.Magnet цл б/з завіс.</v>
      </c>
      <c r="CE103" s="742" t="s">
        <v>3270</v>
      </c>
      <c r="CF103" s="137" t="s">
        <v>4261</v>
      </c>
      <c r="CG103" s="138" t="str">
        <f t="shared" si="105"/>
        <v>ДП ЛАДА C.фальц..неробоча..ВВ</v>
      </c>
      <c r="CI103" s="228"/>
      <c r="CJ103" s="222"/>
      <c r="CK103" s="223"/>
      <c r="CM103" s="86" t="s">
        <v>3272</v>
      </c>
      <c r="CN103" s="56" t="s">
        <v>841</v>
      </c>
      <c r="CO103" s="70" t="str">
        <f t="shared" si="102"/>
        <v>ДП ЛАДА C.купе..робоча..Verto-FIT</v>
      </c>
      <c r="CW103" s="121"/>
      <c r="CY103" s="145" t="s">
        <v>5755</v>
      </c>
      <c r="CZ103" s="134" t="s">
        <v>4325</v>
      </c>
      <c r="DA103" s="135" t="s">
        <v>858</v>
      </c>
      <c r="DD103" s="738" t="s">
        <v>4951</v>
      </c>
      <c r="DE103" s="166">
        <v>4990.0000000000009</v>
      </c>
      <c r="DF103" s="528">
        <f t="shared" si="100"/>
        <v>4990</v>
      </c>
      <c r="DG103" s="523"/>
      <c r="DH103" s="530">
        <f t="shared" si="70"/>
        <v>4990</v>
      </c>
      <c r="DP103" s="738" t="s">
        <v>3870</v>
      </c>
      <c r="DQ103" s="166">
        <v>550</v>
      </c>
      <c r="DR103" s="522">
        <f t="shared" si="85"/>
        <v>550</v>
      </c>
      <c r="DS103" s="523"/>
      <c r="DT103" s="524">
        <f t="shared" si="97"/>
        <v>550</v>
      </c>
      <c r="DU103" s="166"/>
      <c r="DV103" s="738" t="s">
        <v>6252</v>
      </c>
      <c r="DW103" s="166">
        <v>1</v>
      </c>
      <c r="DX103" s="522">
        <f t="shared" si="76"/>
        <v>1</v>
      </c>
      <c r="DY103" s="523"/>
      <c r="DZ103" s="524">
        <f t="shared" si="77"/>
        <v>1</v>
      </c>
      <c r="EG103" s="165"/>
      <c r="EH103" s="739" t="s">
        <v>3434</v>
      </c>
      <c r="EI103" s="164">
        <v>1350</v>
      </c>
      <c r="EJ103" s="531">
        <f>ROUND(((EI103-(EI103/6))/$DD$3)*$DE$3,2)</f>
        <v>1350</v>
      </c>
      <c r="EK103" s="526"/>
      <c r="EL103" s="527">
        <f>IF(EK103="",EJ103,
IF(AND($EI$10&gt;=VLOOKUP(EK103,$EH$5:$EL$9,2,0),$EI$10&lt;=VLOOKUP(EK103,$EH$5:$EL$9,3,0)),
(EJ103*(1-VLOOKUP(EK103,$EH$5:$EL$9,4,0))),
EJ103))</f>
        <v>1350</v>
      </c>
    </row>
    <row r="104" spans="2:142">
      <c r="B104" s="30"/>
      <c r="C104" s="410" t="s">
        <v>2074</v>
      </c>
      <c r="D104" s="415" t="s">
        <v>728</v>
      </c>
      <c r="E104" s="29"/>
      <c r="L104" s="58" t="s">
        <v>1368</v>
      </c>
      <c r="M104" s="48" t="s">
        <v>1696</v>
      </c>
      <c r="N104" s="94" t="s">
        <v>2082</v>
      </c>
      <c r="O104" s="423" t="s">
        <v>728</v>
      </c>
      <c r="Q104" s="58" t="s">
        <v>1368</v>
      </c>
      <c r="R104" s="98" t="s">
        <v>204</v>
      </c>
      <c r="S104" s="94" t="s">
        <v>744</v>
      </c>
      <c r="U104" s="764" t="s">
        <v>3435</v>
      </c>
      <c r="V104" s="151" t="s">
        <v>240</v>
      </c>
      <c r="W104" s="159" t="s">
        <v>2184</v>
      </c>
      <c r="AK104" s="778" t="s">
        <v>4382</v>
      </c>
      <c r="AL104" s="152" t="s">
        <v>981</v>
      </c>
      <c r="AM104" s="761" t="s">
        <v>5454</v>
      </c>
      <c r="AO104" s="583"/>
      <c r="AP104" s="478"/>
      <c r="AQ104" s="584"/>
      <c r="AU104" s="250" t="s">
        <v>2496</v>
      </c>
      <c r="AV104" s="151" t="s">
        <v>1390</v>
      </c>
      <c r="AW104" s="138" t="str">
        <f t="shared" si="93"/>
        <v>ДП Ніка.1/6</v>
      </c>
      <c r="AY104" s="224" t="s">
        <v>2422</v>
      </c>
      <c r="AZ104" s="62" t="s">
        <v>1720</v>
      </c>
      <c r="BA104" s="139" t="str">
        <f t="shared" si="94"/>
        <v>ДП Ідея.4/1.купе</v>
      </c>
      <c r="BK104" s="740" t="s">
        <v>2794</v>
      </c>
      <c r="BL104" s="137" t="s">
        <v>557</v>
      </c>
      <c r="BM104" s="138" t="str">
        <f t="shared" si="90"/>
        <v>ДП Єва.Резист</v>
      </c>
      <c r="BS104" s="58" t="s">
        <v>1344</v>
      </c>
      <c r="BT104" s="41" t="s">
        <v>4086</v>
      </c>
      <c r="BU104" s="70" t="str">
        <f t="shared" si="106"/>
        <v>ДП ЛАДА A.2А/1.Масив</v>
      </c>
      <c r="BW104" s="165" t="s">
        <v>2419</v>
      </c>
      <c r="BX104" s="770" t="s">
        <v>3851</v>
      </c>
      <c r="BY104" s="138" t="str">
        <f>CONCATENATE(BW104,".",BX104)</f>
        <v>ДП Ідея.3/2.Графіт</v>
      </c>
      <c r="CA104" s="146" t="s">
        <v>3198</v>
      </c>
      <c r="CB104" s="478" t="s">
        <v>4339</v>
      </c>
      <c r="CC104" s="239" t="str">
        <f>CONCATENATE(CA104,".",CB104)</f>
        <v>ДП КУПАВА.б/з фальц.робоча.Magnet ст б/з завіс.</v>
      </c>
      <c r="CE104" s="424" t="s">
        <v>3270</v>
      </c>
      <c r="CF104" s="62" t="s">
        <v>739</v>
      </c>
      <c r="CG104" s="139" t="str">
        <f t="shared" si="105"/>
        <v>ДП ЛАДА C.фальц..неробоча..ВП</v>
      </c>
      <c r="CI104" s="145" t="s">
        <v>462</v>
      </c>
      <c r="CJ104" s="134" t="s">
        <v>4827</v>
      </c>
      <c r="CK104" s="135" t="str">
        <f>CONCATENATE(CI104,".",CJ104)</f>
        <v>Ручка-Захват.Ліва</v>
      </c>
      <c r="CM104" s="432"/>
      <c r="CN104" s="427"/>
      <c r="CO104" s="428"/>
      <c r="CW104" s="121"/>
      <c r="CY104" s="146" t="s">
        <v>5756</v>
      </c>
      <c r="CZ104" s="137" t="s">
        <v>4325</v>
      </c>
      <c r="DA104" s="138" t="s">
        <v>858</v>
      </c>
      <c r="DD104" s="738" t="s">
        <v>4952</v>
      </c>
      <c r="DE104" s="166">
        <v>5450</v>
      </c>
      <c r="DF104" s="528">
        <f t="shared" si="100"/>
        <v>5450</v>
      </c>
      <c r="DG104" s="523"/>
      <c r="DH104" s="530">
        <f t="shared" si="70"/>
        <v>5450</v>
      </c>
      <c r="DP104" s="108" t="s">
        <v>2395</v>
      </c>
      <c r="DQ104" s="166">
        <v>550</v>
      </c>
      <c r="DR104" s="525">
        <f t="shared" si="85"/>
        <v>550</v>
      </c>
      <c r="DS104" s="526"/>
      <c r="DT104" s="527">
        <f t="shared" si="97"/>
        <v>550</v>
      </c>
      <c r="DU104" s="166"/>
      <c r="DV104" s="738" t="s">
        <v>6253</v>
      </c>
      <c r="DW104" s="166">
        <v>1</v>
      </c>
      <c r="DX104" s="522">
        <f t="shared" si="76"/>
        <v>1</v>
      </c>
      <c r="DY104" s="523"/>
      <c r="DZ104" s="524">
        <f t="shared" si="77"/>
        <v>1</v>
      </c>
      <c r="EG104" s="165"/>
      <c r="EH104" s="738" t="s">
        <v>3436</v>
      </c>
      <c r="EI104" s="166">
        <v>0</v>
      </c>
      <c r="EJ104" s="522">
        <f>ROUND(((EI104-(EI104/6))/$DD$3)*$DE$3,2)</f>
        <v>0</v>
      </c>
      <c r="EK104" s="523"/>
      <c r="EL104" s="524">
        <f>IF(EK104="",EJ104,
IF(AND($EI$10&gt;=VLOOKUP(EK104,$EH$5:$EL$9,2,0),$EI$10&lt;=VLOOKUP(EK104,$EH$5:$EL$9,3,0)),
(EJ104*(1-VLOOKUP(EK104,$EH$5:$EL$9,4,0))),
EJ104))</f>
        <v>0</v>
      </c>
    </row>
    <row r="105" spans="2:142">
      <c r="B105" s="30"/>
      <c r="C105" s="410" t="s">
        <v>2075</v>
      </c>
      <c r="D105" s="415" t="s">
        <v>728</v>
      </c>
      <c r="E105" s="29"/>
      <c r="L105" s="58" t="s">
        <v>1369</v>
      </c>
      <c r="M105" s="48" t="s">
        <v>1696</v>
      </c>
      <c r="N105" s="94" t="s">
        <v>2082</v>
      </c>
      <c r="O105" s="423" t="s">
        <v>728</v>
      </c>
      <c r="Q105" s="58" t="s">
        <v>1369</v>
      </c>
      <c r="R105" s="98" t="s">
        <v>1320</v>
      </c>
      <c r="S105" s="94" t="s">
        <v>1323</v>
      </c>
      <c r="U105" s="764" t="s">
        <v>3437</v>
      </c>
      <c r="V105" s="151" t="s">
        <v>241</v>
      </c>
      <c r="W105" s="159" t="s">
        <v>2185</v>
      </c>
      <c r="AK105" s="777" t="s">
        <v>6131</v>
      </c>
      <c r="AL105" s="151" t="s">
        <v>6448</v>
      </c>
      <c r="AM105" s="760" t="s">
        <v>6122</v>
      </c>
      <c r="AO105" s="593"/>
      <c r="AP105" s="577"/>
      <c r="AQ105" s="594"/>
      <c r="AU105" s="250" t="s">
        <v>2496</v>
      </c>
      <c r="AV105" s="151" t="s">
        <v>1391</v>
      </c>
      <c r="AW105" s="138" t="str">
        <f t="shared" si="93"/>
        <v>ДП Ніка.1/7</v>
      </c>
      <c r="AY105" s="234" t="s">
        <v>2423</v>
      </c>
      <c r="AZ105" s="137" t="s">
        <v>1719</v>
      </c>
      <c r="BA105" s="138" t="str">
        <f t="shared" si="94"/>
        <v>ДП Ідея.4/2.фальц</v>
      </c>
      <c r="BK105" s="740" t="s">
        <v>2794</v>
      </c>
      <c r="BL105" s="137" t="s">
        <v>62</v>
      </c>
      <c r="BM105" s="138" t="str">
        <f t="shared" si="90"/>
        <v>ДП Єва.LINE-3D</v>
      </c>
      <c r="BS105" s="58" t="s">
        <v>1351</v>
      </c>
      <c r="BT105" s="41" t="s">
        <v>4086</v>
      </c>
      <c r="BU105" s="70" t="str">
        <f t="shared" si="106"/>
        <v>ДП ЛАДА A.3А/0.Масив</v>
      </c>
      <c r="BW105" s="108" t="s">
        <v>2419</v>
      </c>
      <c r="BX105" s="248" t="s">
        <v>832</v>
      </c>
      <c r="BY105" s="139" t="str">
        <f>CONCATENATE(BW105,".",BX105)</f>
        <v>ДП Ідея.3/2.Бронза</v>
      </c>
      <c r="CA105" s="146" t="s">
        <v>3198</v>
      </c>
      <c r="CB105" s="97"/>
      <c r="CC105" s="97"/>
      <c r="CE105" s="146" t="s">
        <v>3271</v>
      </c>
      <c r="CF105" s="137"/>
      <c r="CG105" s="138" t="str">
        <f t="shared" si="105"/>
        <v>ДП ЛАДА C.б/з фальц..робоча..</v>
      </c>
      <c r="CI105" s="147" t="s">
        <v>462</v>
      </c>
      <c r="CJ105" s="62" t="s">
        <v>4857</v>
      </c>
      <c r="CK105" s="139" t="str">
        <f>CONCATENATE(CI105,".",CJ105)</f>
        <v>Ручка-Захват.Права</v>
      </c>
      <c r="CM105" s="742" t="s">
        <v>3273</v>
      </c>
      <c r="CN105" s="137" t="s">
        <v>975</v>
      </c>
      <c r="CO105" s="138" t="str">
        <f t="shared" ref="CO105:CO111" si="107">CONCATENATE(CM105,".",CN105)</f>
        <v>ДП ЛАДА D.фальц..робоча..Standard-MDF</v>
      </c>
      <c r="CW105" s="121"/>
      <c r="CY105" s="146" t="s">
        <v>5757</v>
      </c>
      <c r="CZ105" s="137" t="s">
        <v>4325</v>
      </c>
      <c r="DA105" s="138" t="s">
        <v>858</v>
      </c>
      <c r="DD105" s="738" t="s">
        <v>4953</v>
      </c>
      <c r="DE105" s="166">
        <v>5450</v>
      </c>
      <c r="DF105" s="528">
        <f t="shared" si="100"/>
        <v>5450</v>
      </c>
      <c r="DG105" s="523"/>
      <c r="DH105" s="530">
        <f t="shared" si="70"/>
        <v>5450</v>
      </c>
      <c r="DP105" s="736" t="s">
        <v>4127</v>
      </c>
      <c r="DQ105" s="105">
        <v>0</v>
      </c>
      <c r="DR105" s="403">
        <f t="shared" si="85"/>
        <v>0</v>
      </c>
      <c r="DS105" s="514"/>
      <c r="DT105" s="511">
        <f t="shared" si="97"/>
        <v>0</v>
      </c>
      <c r="DU105" s="166"/>
      <c r="DV105" s="739" t="s">
        <v>6254</v>
      </c>
      <c r="DW105" s="164">
        <v>1</v>
      </c>
      <c r="DX105" s="525">
        <f t="shared" si="76"/>
        <v>1</v>
      </c>
      <c r="DY105" s="526"/>
      <c r="DZ105" s="527">
        <f t="shared" si="77"/>
        <v>1</v>
      </c>
      <c r="EG105" s="165"/>
      <c r="EH105" s="739" t="s">
        <v>3438</v>
      </c>
      <c r="EI105" s="164">
        <v>1550</v>
      </c>
      <c r="EJ105" s="531">
        <f>ROUND(((EI105-(EI105/6))/$DD$3)*$DE$3,2)</f>
        <v>1550</v>
      </c>
      <c r="EK105" s="526"/>
      <c r="EL105" s="527">
        <f>IF(EK105="",EJ105,
IF(AND($EI$10&gt;=VLOOKUP(EK105,$EH$5:$EL$9,2,0),$EI$10&lt;=VLOOKUP(EK105,$EH$5:$EL$9,3,0)),
(EJ105*(1-VLOOKUP(EK105,$EH$5:$EL$9,4,0))),
EJ105))</f>
        <v>1550</v>
      </c>
    </row>
    <row r="106" spans="2:142" ht="12.75" customHeight="1">
      <c r="B106" s="30"/>
      <c r="C106" s="410" t="s">
        <v>2076</v>
      </c>
      <c r="D106" s="415" t="s">
        <v>728</v>
      </c>
      <c r="E106" s="29"/>
      <c r="L106" s="58"/>
      <c r="M106" s="48"/>
      <c r="N106" s="94"/>
      <c r="O106" s="423"/>
      <c r="Q106" s="58"/>
      <c r="R106" s="98"/>
      <c r="S106" s="94"/>
      <c r="U106" s="764" t="s">
        <v>3439</v>
      </c>
      <c r="V106" s="151" t="s">
        <v>242</v>
      </c>
      <c r="W106" s="159" t="s">
        <v>2186</v>
      </c>
      <c r="AK106" s="778" t="s">
        <v>6130</v>
      </c>
      <c r="AL106" s="152" t="s">
        <v>6449</v>
      </c>
      <c r="AM106" s="761" t="s">
        <v>6123</v>
      </c>
      <c r="AO106" s="583"/>
      <c r="AP106" s="478"/>
      <c r="AQ106" s="584"/>
      <c r="AU106" s="250" t="s">
        <v>2496</v>
      </c>
      <c r="AV106" s="151" t="s">
        <v>1392</v>
      </c>
      <c r="AW106" s="138" t="str">
        <f t="shared" si="93"/>
        <v>ДП Ніка.1/8</v>
      </c>
      <c r="AY106" s="234" t="s">
        <v>2423</v>
      </c>
      <c r="AZ106" s="137" t="s">
        <v>1721</v>
      </c>
      <c r="BA106" s="138" t="str">
        <f t="shared" si="94"/>
        <v>ДП Ідея.4/2.б/з фальц</v>
      </c>
      <c r="BK106" s="741" t="s">
        <v>2794</v>
      </c>
      <c r="BL106" s="62" t="s">
        <v>5071</v>
      </c>
      <c r="BM106" s="139" t="str">
        <f t="shared" si="90"/>
        <v>ДП Єва.Е-шпон</v>
      </c>
      <c r="BS106" s="58" t="s">
        <v>1352</v>
      </c>
      <c r="BT106" s="41" t="s">
        <v>4086</v>
      </c>
      <c r="BU106" s="70" t="str">
        <f t="shared" si="106"/>
        <v>ДП ЛАДА A.3А/1.Масив</v>
      </c>
      <c r="BW106" s="162" t="s">
        <v>2420</v>
      </c>
      <c r="BX106" s="246" t="s">
        <v>458</v>
      </c>
      <c r="BY106" s="135" t="str">
        <f t="shared" si="101"/>
        <v>ДП Ідея.3/3.Сатин</v>
      </c>
      <c r="CA106" s="146" t="s">
        <v>3198</v>
      </c>
      <c r="CB106" s="478" t="s">
        <v>4343</v>
      </c>
      <c r="CC106" s="239" t="str">
        <f>CONCATENATE(CA106,".",CB106)</f>
        <v>ДП КУПАВА.б/з фальц.робоча.Magnet цл +2завіс 3D</v>
      </c>
      <c r="CE106" s="146" t="s">
        <v>3271</v>
      </c>
      <c r="CF106" s="137" t="s">
        <v>4261</v>
      </c>
      <c r="CG106" s="138" t="str">
        <f t="shared" si="105"/>
        <v>ДП ЛАДА C.б/з фальц..робоча..ВВ</v>
      </c>
      <c r="CI106" s="145" t="s">
        <v>684</v>
      </c>
      <c r="CJ106" s="134" t="s">
        <v>4827</v>
      </c>
      <c r="CK106" s="135" t="str">
        <f>CONCATENATE(CI106,".",CJ106)</f>
        <v>Ручка-Замок.Ліва</v>
      </c>
      <c r="CM106" s="742" t="s">
        <v>3273</v>
      </c>
      <c r="CN106" s="137" t="s">
        <v>840</v>
      </c>
      <c r="CO106" s="138" t="str">
        <f t="shared" si="107"/>
        <v>ДП ЛАДА D.фальц..робоча..Standard</v>
      </c>
      <c r="CW106" s="121"/>
      <c r="CY106" s="146" t="s">
        <v>5758</v>
      </c>
      <c r="CZ106" s="137" t="s">
        <v>4325</v>
      </c>
      <c r="DA106" s="138" t="s">
        <v>858</v>
      </c>
      <c r="DD106" s="738" t="s">
        <v>4954</v>
      </c>
      <c r="DE106" s="166">
        <v>4170</v>
      </c>
      <c r="DF106" s="528">
        <f t="shared" si="100"/>
        <v>4170</v>
      </c>
      <c r="DG106" s="523"/>
      <c r="DH106" s="530">
        <f t="shared" si="70"/>
        <v>4170</v>
      </c>
      <c r="DP106" s="162" t="s">
        <v>2396</v>
      </c>
      <c r="DQ106" s="163">
        <v>0</v>
      </c>
      <c r="DR106" s="528">
        <f t="shared" si="85"/>
        <v>0</v>
      </c>
      <c r="DS106" s="529"/>
      <c r="DT106" s="530">
        <f t="shared" si="97"/>
        <v>0</v>
      </c>
      <c r="DU106" s="166"/>
      <c r="DV106" s="165" t="s">
        <v>581</v>
      </c>
      <c r="DW106" s="166">
        <v>0</v>
      </c>
      <c r="DX106" s="522">
        <f t="shared" si="76"/>
        <v>0</v>
      </c>
      <c r="DY106" s="523"/>
      <c r="DZ106" s="524">
        <f t="shared" si="77"/>
        <v>0</v>
      </c>
      <c r="EG106" s="165"/>
      <c r="EH106" s="738" t="s">
        <v>3440</v>
      </c>
      <c r="EI106" s="166">
        <v>0</v>
      </c>
      <c r="EJ106" s="522">
        <f t="shared" si="103"/>
        <v>0</v>
      </c>
      <c r="EK106" s="523"/>
      <c r="EL106" s="524">
        <f t="shared" si="104"/>
        <v>0</v>
      </c>
    </row>
    <row r="107" spans="2:142">
      <c r="B107" s="30"/>
      <c r="C107" s="410" t="s">
        <v>2077</v>
      </c>
      <c r="D107" s="415" t="s">
        <v>728</v>
      </c>
      <c r="E107" s="29"/>
      <c r="L107" s="58" t="s">
        <v>1370</v>
      </c>
      <c r="M107" s="48" t="s">
        <v>1696</v>
      </c>
      <c r="N107" s="94" t="s">
        <v>2082</v>
      </c>
      <c r="O107" s="423" t="s">
        <v>728</v>
      </c>
      <c r="Q107" s="58" t="s">
        <v>1370</v>
      </c>
      <c r="R107" s="98" t="s">
        <v>205</v>
      </c>
      <c r="S107" s="94" t="s">
        <v>1004</v>
      </c>
      <c r="U107" s="764" t="s">
        <v>3441</v>
      </c>
      <c r="V107" s="151" t="s">
        <v>243</v>
      </c>
      <c r="W107" s="159" t="s">
        <v>2187</v>
      </c>
      <c r="AK107" s="777" t="s">
        <v>4383</v>
      </c>
      <c r="AL107" s="151" t="s">
        <v>270</v>
      </c>
      <c r="AM107" s="760" t="s">
        <v>5455</v>
      </c>
      <c r="AO107" s="789" t="s">
        <v>4847</v>
      </c>
      <c r="AP107" s="101" t="s">
        <v>5495</v>
      </c>
      <c r="AQ107" s="589" t="s">
        <v>2321</v>
      </c>
      <c r="AU107" s="250" t="s">
        <v>2496</v>
      </c>
      <c r="AV107" s="151" t="s">
        <v>197</v>
      </c>
      <c r="AW107" s="138" t="str">
        <f t="shared" si="93"/>
        <v>ДП Ніка.2/1</v>
      </c>
      <c r="AY107" s="224" t="s">
        <v>2423</v>
      </c>
      <c r="AZ107" s="62" t="s">
        <v>1720</v>
      </c>
      <c r="BA107" s="139" t="str">
        <f t="shared" si="94"/>
        <v>ДП Ідея.4/2.купе</v>
      </c>
      <c r="BK107" s="251" t="s">
        <v>1187</v>
      </c>
      <c r="BL107" s="134" t="s">
        <v>409</v>
      </c>
      <c r="BM107" s="135" t="str">
        <f t="shared" si="90"/>
        <v>ДП ТРЕНД.Verto-Cell</v>
      </c>
      <c r="BS107" s="58" t="s">
        <v>1353</v>
      </c>
      <c r="BT107" s="41" t="s">
        <v>4086</v>
      </c>
      <c r="BU107" s="70" t="str">
        <f t="shared" si="106"/>
        <v>ДП ЛАДА A.3А/2.Масив</v>
      </c>
      <c r="BW107" s="165" t="s">
        <v>2420</v>
      </c>
      <c r="BX107" s="770" t="s">
        <v>4203</v>
      </c>
      <c r="BY107" s="138" t="str">
        <f t="shared" si="101"/>
        <v>ДП Ідея.3/3.Жалюзі</v>
      </c>
      <c r="CA107" s="146" t="s">
        <v>3198</v>
      </c>
      <c r="CB107" s="478" t="s">
        <v>4347</v>
      </c>
      <c r="CC107" s="239" t="str">
        <f>CONCATENATE(CA107,".",CB107)</f>
        <v>ДП КУПАВА.б/з фальц.робоча.Magnet ст +2завіс 3D</v>
      </c>
      <c r="CE107" s="147" t="s">
        <v>3271</v>
      </c>
      <c r="CF107" s="62" t="s">
        <v>739</v>
      </c>
      <c r="CG107" s="139" t="str">
        <f t="shared" si="105"/>
        <v>ДП ЛАДА C.б/з фальц..робоча..ВП</v>
      </c>
      <c r="CI107" s="147" t="s">
        <v>684</v>
      </c>
      <c r="CJ107" s="62" t="s">
        <v>4857</v>
      </c>
      <c r="CK107" s="139" t="str">
        <f>CONCATENATE(CI107,".",CJ107)</f>
        <v>Ручка-Замок.Права</v>
      </c>
      <c r="CM107" s="742" t="s">
        <v>3273</v>
      </c>
      <c r="CN107" s="137" t="s">
        <v>841</v>
      </c>
      <c r="CO107" s="138" t="str">
        <f t="shared" si="107"/>
        <v>ДП ЛАДА D.фальц..робоча..Verto-FIT</v>
      </c>
      <c r="CW107" s="121"/>
      <c r="CY107" s="146" t="s">
        <v>5759</v>
      </c>
      <c r="CZ107" s="137" t="s">
        <v>4325</v>
      </c>
      <c r="DA107" s="138" t="s">
        <v>858</v>
      </c>
      <c r="DD107" s="739" t="s">
        <v>4955</v>
      </c>
      <c r="DE107" s="166">
        <v>4170</v>
      </c>
      <c r="DF107" s="528">
        <f t="shared" si="100"/>
        <v>4170</v>
      </c>
      <c r="DG107" s="526"/>
      <c r="DH107" s="530">
        <f t="shared" si="70"/>
        <v>4170</v>
      </c>
      <c r="DP107" s="165" t="s">
        <v>2397</v>
      </c>
      <c r="DQ107" s="166">
        <v>340</v>
      </c>
      <c r="DR107" s="522">
        <f>ROUND(((DQ107-(DQ107/6))/$DD$3)*$DE$3,2)</f>
        <v>340</v>
      </c>
      <c r="DS107" s="523"/>
      <c r="DT107" s="524">
        <f>IF(DS107="",DR107,
IF(AND($DQ$10&gt;=VLOOKUP(DS107,$DP$5:$DT$9,2,0),$DQ$10&lt;=VLOOKUP(DS107,$DP$5:$DT$9,3,0)),
(DR107*(1-VLOOKUP(DS107,$DP$5:$DT$9,4,0))),
DR107))</f>
        <v>340</v>
      </c>
      <c r="DU107" s="166"/>
      <c r="DV107" s="108" t="s">
        <v>582</v>
      </c>
      <c r="DW107" s="164">
        <v>560</v>
      </c>
      <c r="DX107" s="531">
        <f t="shared" si="76"/>
        <v>560</v>
      </c>
      <c r="DY107" s="526"/>
      <c r="DZ107" s="527">
        <f t="shared" si="77"/>
        <v>560</v>
      </c>
      <c r="EG107" s="165"/>
      <c r="EH107" s="739" t="s">
        <v>3442</v>
      </c>
      <c r="EI107" s="164">
        <v>1610</v>
      </c>
      <c r="EJ107" s="531">
        <f t="shared" si="103"/>
        <v>1610</v>
      </c>
      <c r="EK107" s="526"/>
      <c r="EL107" s="527">
        <f t="shared" si="104"/>
        <v>1610</v>
      </c>
    </row>
    <row r="108" spans="2:142">
      <c r="B108" s="30"/>
      <c r="C108" s="410" t="s">
        <v>2078</v>
      </c>
      <c r="D108" s="415" t="s">
        <v>728</v>
      </c>
      <c r="E108" s="29"/>
      <c r="L108" s="58" t="s">
        <v>1371</v>
      </c>
      <c r="M108" s="48" t="s">
        <v>1696</v>
      </c>
      <c r="N108" s="94" t="s">
        <v>2082</v>
      </c>
      <c r="O108" s="423" t="s">
        <v>728</v>
      </c>
      <c r="Q108" s="58" t="s">
        <v>1371</v>
      </c>
      <c r="R108" s="98" t="s">
        <v>206</v>
      </c>
      <c r="S108" s="94" t="s">
        <v>1005</v>
      </c>
      <c r="U108" s="764" t="s">
        <v>3443</v>
      </c>
      <c r="V108" s="151" t="s">
        <v>85</v>
      </c>
      <c r="W108" s="435" t="s">
        <v>5434</v>
      </c>
      <c r="AK108" s="778" t="s">
        <v>4385</v>
      </c>
      <c r="AL108" s="152" t="s">
        <v>426</v>
      </c>
      <c r="AM108" s="761" t="s">
        <v>5456</v>
      </c>
      <c r="AO108" s="778" t="s">
        <v>4877</v>
      </c>
      <c r="AP108" s="152" t="s">
        <v>177</v>
      </c>
      <c r="AQ108" s="586" t="s">
        <v>2324</v>
      </c>
      <c r="AU108" s="250" t="s">
        <v>2496</v>
      </c>
      <c r="AV108" s="151" t="s">
        <v>198</v>
      </c>
      <c r="AW108" s="138" t="str">
        <f t="shared" si="93"/>
        <v>ДП Ніка.2/2</v>
      </c>
      <c r="AY108" s="234" t="s">
        <v>2424</v>
      </c>
      <c r="AZ108" s="137" t="s">
        <v>1719</v>
      </c>
      <c r="BA108" s="138" t="str">
        <f t="shared" si="94"/>
        <v>ДП Ідея.4/3.фальц</v>
      </c>
      <c r="BK108" s="250" t="s">
        <v>1187</v>
      </c>
      <c r="BL108" s="137"/>
      <c r="BM108" s="138" t="str">
        <f t="shared" ref="BM108:BM116" si="108">CONCATENATE(BK108,".",BL108)</f>
        <v>ДП ТРЕНД.</v>
      </c>
      <c r="BS108" s="58" t="s">
        <v>1378</v>
      </c>
      <c r="BT108" s="41" t="s">
        <v>4086</v>
      </c>
      <c r="BU108" s="70" t="str">
        <f t="shared" si="106"/>
        <v>ДП ЛАДА A.8/0.Масив</v>
      </c>
      <c r="BW108" s="165" t="s">
        <v>2420</v>
      </c>
      <c r="BX108" s="770" t="s">
        <v>3851</v>
      </c>
      <c r="BY108" s="138" t="str">
        <f>CONCATENATE(BW108,".",BX108)</f>
        <v>ДП Ідея.3/3.Графіт</v>
      </c>
      <c r="CA108" s="146" t="s">
        <v>3198</v>
      </c>
      <c r="CB108" s="97"/>
      <c r="CC108" s="97"/>
      <c r="CE108" s="742" t="s">
        <v>3272</v>
      </c>
      <c r="CF108" s="137"/>
      <c r="CG108" s="138" t="str">
        <f t="shared" si="105"/>
        <v>ДП ЛАДА C.купе..робоча..</v>
      </c>
      <c r="CI108" s="228"/>
      <c r="CJ108" s="222"/>
      <c r="CK108" s="223"/>
      <c r="CM108" s="424" t="s">
        <v>3273</v>
      </c>
      <c r="CN108" s="62" t="s">
        <v>371</v>
      </c>
      <c r="CO108" s="139" t="str">
        <f t="shared" si="107"/>
        <v>ДП ЛАДА D.фальц..робоча..Verto-FIT Plus</v>
      </c>
      <c r="CW108" s="121"/>
      <c r="CY108" s="146" t="s">
        <v>4304</v>
      </c>
      <c r="CZ108" s="137" t="s">
        <v>4333</v>
      </c>
      <c r="DA108" s="138" t="s">
        <v>858</v>
      </c>
      <c r="DD108" s="165" t="s">
        <v>2431</v>
      </c>
      <c r="DE108" s="163">
        <v>2490</v>
      </c>
      <c r="DF108" s="528">
        <f t="shared" si="100"/>
        <v>2490</v>
      </c>
      <c r="DG108" s="523"/>
      <c r="DH108" s="530">
        <f t="shared" si="70"/>
        <v>2490</v>
      </c>
      <c r="DP108" s="738" t="s">
        <v>4206</v>
      </c>
      <c r="DQ108" s="166">
        <v>340</v>
      </c>
      <c r="DR108" s="522">
        <f>ROUND(((DQ108-(DQ108/6))/$DD$3)*$DE$3,2)</f>
        <v>340</v>
      </c>
      <c r="DS108" s="523"/>
      <c r="DT108" s="524">
        <f>IF(DS108="",DR108,
IF(AND($DQ$10&gt;=VLOOKUP(DS108,$DP$5:$DT$9,2,0),$DQ$10&lt;=VLOOKUP(DS108,$DP$5:$DT$9,3,0)),
(DR108*(1-VLOOKUP(DS108,$DP$5:$DT$9,4,0))),
DR108))</f>
        <v>340</v>
      </c>
      <c r="DU108" s="166"/>
      <c r="DV108" s="647"/>
      <c r="DW108" s="648"/>
      <c r="DX108" s="654"/>
      <c r="DY108" s="655"/>
      <c r="DZ108" s="656"/>
      <c r="EG108" s="165"/>
      <c r="EH108" s="738" t="s">
        <v>3444</v>
      </c>
      <c r="EI108" s="166">
        <v>0</v>
      </c>
      <c r="EJ108" s="522">
        <f t="shared" si="103"/>
        <v>0</v>
      </c>
      <c r="EK108" s="523"/>
      <c r="EL108" s="524">
        <f t="shared" si="104"/>
        <v>0</v>
      </c>
    </row>
    <row r="109" spans="2:142">
      <c r="B109" s="30"/>
      <c r="C109" s="745" t="s">
        <v>3138</v>
      </c>
      <c r="D109" s="415" t="s">
        <v>728</v>
      </c>
      <c r="E109" s="29"/>
      <c r="L109" s="58" t="s">
        <v>1372</v>
      </c>
      <c r="M109" s="48" t="s">
        <v>1696</v>
      </c>
      <c r="N109" s="94" t="s">
        <v>2082</v>
      </c>
      <c r="O109" s="423" t="s">
        <v>728</v>
      </c>
      <c r="Q109" s="58" t="s">
        <v>1372</v>
      </c>
      <c r="R109" s="98" t="s">
        <v>1324</v>
      </c>
      <c r="S109" s="94" t="s">
        <v>1326</v>
      </c>
      <c r="U109" s="764" t="s">
        <v>3445</v>
      </c>
      <c r="V109" s="151" t="s">
        <v>86</v>
      </c>
      <c r="W109" s="435" t="s">
        <v>5435</v>
      </c>
      <c r="AK109" s="777" t="s">
        <v>6132</v>
      </c>
      <c r="AL109" s="151" t="s">
        <v>6454</v>
      </c>
      <c r="AM109" s="760" t="s">
        <v>6124</v>
      </c>
      <c r="AO109" s="777" t="s">
        <v>4848</v>
      </c>
      <c r="AP109" s="151" t="s">
        <v>5495</v>
      </c>
      <c r="AQ109" s="584" t="s">
        <v>2321</v>
      </c>
      <c r="AU109" s="250" t="s">
        <v>2496</v>
      </c>
      <c r="AV109" s="151" t="s">
        <v>1398</v>
      </c>
      <c r="AW109" s="138" t="str">
        <f t="shared" si="93"/>
        <v>ДП Ніка.2/3</v>
      </c>
      <c r="AY109" s="234" t="s">
        <v>2424</v>
      </c>
      <c r="AZ109" s="137" t="s">
        <v>1721</v>
      </c>
      <c r="BA109" s="138" t="str">
        <f t="shared" si="94"/>
        <v>ДП Ідея.4/3.б/з фальц</v>
      </c>
      <c r="BK109" s="250" t="s">
        <v>1187</v>
      </c>
      <c r="BL109" s="137" t="s">
        <v>1894</v>
      </c>
      <c r="BM109" s="138" t="str">
        <f t="shared" si="108"/>
        <v>ДП ТРЕНД.Uni-Mat.</v>
      </c>
      <c r="BS109" s="58" t="s">
        <v>1379</v>
      </c>
      <c r="BT109" s="41" t="s">
        <v>4086</v>
      </c>
      <c r="BU109" s="70" t="str">
        <f t="shared" si="106"/>
        <v>ДП ЛАДА A.8/1.Масив</v>
      </c>
      <c r="BW109" s="108" t="s">
        <v>2420</v>
      </c>
      <c r="BX109" s="248" t="s">
        <v>832</v>
      </c>
      <c r="BY109" s="139" t="str">
        <f>CONCATENATE(BW109,".",BX109)</f>
        <v>ДП Ідея.3/3.Бронза</v>
      </c>
      <c r="CA109" s="146" t="s">
        <v>3198</v>
      </c>
      <c r="CB109" s="478" t="s">
        <v>4349</v>
      </c>
      <c r="CC109" s="239" t="str">
        <f>CONCATENATE(CA109,".",CB109)</f>
        <v>ДП КУПАВА.б/з фальц.робоча.Magnet цл +3завіс 3D</v>
      </c>
      <c r="CE109" s="424" t="s">
        <v>3272</v>
      </c>
      <c r="CF109" s="62" t="s">
        <v>4261</v>
      </c>
      <c r="CG109" s="139" t="str">
        <f t="shared" si="105"/>
        <v>ДП ЛАДА C.купе..робоча..ВВ</v>
      </c>
      <c r="CI109" s="146"/>
      <c r="CJ109" s="137"/>
      <c r="CK109" s="239"/>
      <c r="CM109" s="424" t="s">
        <v>3274</v>
      </c>
      <c r="CN109" s="62" t="s">
        <v>4106</v>
      </c>
      <c r="CO109" s="70" t="str">
        <f t="shared" si="107"/>
        <v>ДП ЛАДА D.фальц..неробоча..(ні)</v>
      </c>
      <c r="CW109" s="121"/>
      <c r="CY109" s="146" t="s">
        <v>4307</v>
      </c>
      <c r="CZ109" s="137" t="s">
        <v>4333</v>
      </c>
      <c r="DA109" s="138" t="s">
        <v>858</v>
      </c>
      <c r="DD109" s="165" t="s">
        <v>2432</v>
      </c>
      <c r="DE109" s="166">
        <v>4790</v>
      </c>
      <c r="DF109" s="528">
        <f t="shared" si="100"/>
        <v>4790</v>
      </c>
      <c r="DG109" s="523"/>
      <c r="DH109" s="530">
        <f t="shared" si="70"/>
        <v>4790</v>
      </c>
      <c r="DP109" s="738" t="s">
        <v>3871</v>
      </c>
      <c r="DQ109" s="166">
        <v>550</v>
      </c>
      <c r="DR109" s="522">
        <f t="shared" si="85"/>
        <v>550</v>
      </c>
      <c r="DS109" s="523"/>
      <c r="DT109" s="524">
        <f t="shared" si="97"/>
        <v>550</v>
      </c>
      <c r="DU109" s="166"/>
      <c r="DV109" s="795" t="s">
        <v>4120</v>
      </c>
      <c r="DW109" s="796">
        <v>0</v>
      </c>
      <c r="DX109" s="801">
        <f t="shared" ref="DX109:DX137" si="109">ROUND(((DW109-(DW109/6))/$DD$3)*$DE$3,2)</f>
        <v>0</v>
      </c>
      <c r="DY109" s="514"/>
      <c r="DZ109" s="511">
        <f t="shared" ref="DZ109:DZ137" si="110">IF(DY109="",DX109,
IF(AND($DW$10&gt;=VLOOKUP(DY109,$DV$5:$DZ$9,2,0),$DW$10&lt;=VLOOKUP(DY109,$DV$5:$DZ$9,3,0)),
(DX109*(1-VLOOKUP(DY109,$DV$5:$DZ$9,4,0))),
DX109))</f>
        <v>0</v>
      </c>
      <c r="EG109" s="165"/>
      <c r="EH109" s="739" t="s">
        <v>3446</v>
      </c>
      <c r="EI109" s="164">
        <v>1700</v>
      </c>
      <c r="EJ109" s="531">
        <f t="shared" si="103"/>
        <v>1700</v>
      </c>
      <c r="EK109" s="526"/>
      <c r="EL109" s="527">
        <f t="shared" si="104"/>
        <v>1700</v>
      </c>
    </row>
    <row r="110" spans="2:142">
      <c r="B110" s="30"/>
      <c r="C110" s="745" t="s">
        <v>3139</v>
      </c>
      <c r="D110" s="411"/>
      <c r="E110" s="29"/>
      <c r="L110" s="58" t="s">
        <v>1373</v>
      </c>
      <c r="M110" s="48" t="s">
        <v>1696</v>
      </c>
      <c r="N110" s="94" t="s">
        <v>2082</v>
      </c>
      <c r="O110" s="423" t="s">
        <v>728</v>
      </c>
      <c r="Q110" s="58" t="s">
        <v>1373</v>
      </c>
      <c r="R110" s="98" t="s">
        <v>207</v>
      </c>
      <c r="S110" s="94" t="s">
        <v>1006</v>
      </c>
      <c r="U110" s="764" t="s">
        <v>3447</v>
      </c>
      <c r="V110" s="151" t="s">
        <v>87</v>
      </c>
      <c r="W110" s="435" t="s">
        <v>5436</v>
      </c>
      <c r="AK110" s="778" t="s">
        <v>6133</v>
      </c>
      <c r="AL110" s="152" t="s">
        <v>6455</v>
      </c>
      <c r="AM110" s="761" t="s">
        <v>6125</v>
      </c>
      <c r="AO110" s="778" t="s">
        <v>4878</v>
      </c>
      <c r="AP110" s="152" t="s">
        <v>177</v>
      </c>
      <c r="AQ110" s="586" t="s">
        <v>2324</v>
      </c>
      <c r="AU110" s="249" t="s">
        <v>2496</v>
      </c>
      <c r="AV110" s="152" t="s">
        <v>1401</v>
      </c>
      <c r="AW110" s="139" t="str">
        <f t="shared" si="93"/>
        <v>ДП Ніка.2/4</v>
      </c>
      <c r="AY110" s="224" t="s">
        <v>2424</v>
      </c>
      <c r="AZ110" s="62" t="s">
        <v>1720</v>
      </c>
      <c r="BA110" s="139" t="str">
        <f t="shared" si="94"/>
        <v>ДП Ідея.4/3.купе</v>
      </c>
      <c r="BK110" s="250" t="s">
        <v>1187</v>
      </c>
      <c r="BL110" s="137" t="s">
        <v>557</v>
      </c>
      <c r="BM110" s="138" t="str">
        <f t="shared" si="108"/>
        <v>ДП ТРЕНД.Резист</v>
      </c>
      <c r="BS110" s="58" t="s">
        <v>1380</v>
      </c>
      <c r="BT110" s="41" t="s">
        <v>4086</v>
      </c>
      <c r="BU110" s="70" t="str">
        <f t="shared" si="106"/>
        <v>ДП ЛАДА A.8/2.Масив</v>
      </c>
      <c r="BW110" s="60" t="s">
        <v>2421</v>
      </c>
      <c r="BX110" s="780" t="s">
        <v>4106</v>
      </c>
      <c r="BY110" s="70" t="str">
        <f t="shared" si="101"/>
        <v>ДП Ідея.4/0.(ні)</v>
      </c>
      <c r="CA110" s="147" t="s">
        <v>3198</v>
      </c>
      <c r="CB110" s="590" t="s">
        <v>4350</v>
      </c>
      <c r="CC110" s="240" t="str">
        <f>CONCATENATE(CA110,".",CB110)</f>
        <v>ДП КУПАВА.б/з фальц.робоча.Magnet ст +3завіс 3D</v>
      </c>
      <c r="CE110" s="228"/>
      <c r="CF110" s="222"/>
      <c r="CG110" s="223"/>
      <c r="CI110" s="570"/>
      <c r="CJ110" s="558"/>
      <c r="CK110" s="559"/>
      <c r="CM110" s="86" t="s">
        <v>3275</v>
      </c>
      <c r="CN110" s="56" t="s">
        <v>941</v>
      </c>
      <c r="CO110" s="70" t="str">
        <f t="shared" si="107"/>
        <v>ДП ЛАДА D.б/з фальц..робоча..Verto-FIT Comfort</v>
      </c>
      <c r="CW110" s="121"/>
      <c r="CY110" s="146" t="s">
        <v>4316</v>
      </c>
      <c r="CZ110" s="137" t="s">
        <v>4336</v>
      </c>
      <c r="DA110" s="138" t="s">
        <v>858</v>
      </c>
      <c r="DD110" s="165" t="s">
        <v>2433</v>
      </c>
      <c r="DE110" s="166">
        <v>4790</v>
      </c>
      <c r="DF110" s="528">
        <f t="shared" si="100"/>
        <v>4790</v>
      </c>
      <c r="DG110" s="523"/>
      <c r="DH110" s="530">
        <f t="shared" si="70"/>
        <v>4790</v>
      </c>
      <c r="DP110" s="108" t="s">
        <v>2398</v>
      </c>
      <c r="DQ110" s="166">
        <v>550</v>
      </c>
      <c r="DR110" s="525">
        <f t="shared" si="85"/>
        <v>550</v>
      </c>
      <c r="DS110" s="526"/>
      <c r="DT110" s="527">
        <f t="shared" si="97"/>
        <v>550</v>
      </c>
      <c r="DU110" s="166"/>
      <c r="DV110" s="802" t="s">
        <v>4384</v>
      </c>
      <c r="DW110" s="728">
        <v>0</v>
      </c>
      <c r="DX110" s="803">
        <f t="shared" si="109"/>
        <v>0</v>
      </c>
      <c r="DY110" s="529"/>
      <c r="DZ110" s="530">
        <f t="shared" si="110"/>
        <v>0</v>
      </c>
      <c r="EG110" s="165"/>
      <c r="EH110" s="738" t="s">
        <v>5081</v>
      </c>
      <c r="EI110" s="166">
        <v>0</v>
      </c>
      <c r="EJ110" s="522">
        <f>ROUND(((EI110-(EI110/6))/$DD$3)*$DE$3,2)</f>
        <v>0</v>
      </c>
      <c r="EK110" s="523"/>
      <c r="EL110" s="524">
        <f>IF(EK110="",EJ110,
IF(AND($EI$10&gt;=VLOOKUP(EK110,$EH$5:$EL$9,2,0),$EI$10&lt;=VLOOKUP(EK110,$EH$5:$EL$9,3,0)),
(EJ110*(1-VLOOKUP(EK110,$EH$5:$EL$9,4,0))),
EJ110))</f>
        <v>0</v>
      </c>
    </row>
    <row r="111" spans="2:142">
      <c r="B111" s="30"/>
      <c r="C111" s="410"/>
      <c r="D111" s="415" t="s">
        <v>728</v>
      </c>
      <c r="E111" s="29"/>
      <c r="L111" s="58" t="s">
        <v>1374</v>
      </c>
      <c r="M111" s="48" t="s">
        <v>1696</v>
      </c>
      <c r="N111" s="94" t="s">
        <v>2082</v>
      </c>
      <c r="O111" s="423" t="s">
        <v>728</v>
      </c>
      <c r="Q111" s="58" t="s">
        <v>1374</v>
      </c>
      <c r="R111" s="98" t="s">
        <v>1325</v>
      </c>
      <c r="S111" s="94" t="s">
        <v>1327</v>
      </c>
      <c r="U111" s="764" t="s">
        <v>3448</v>
      </c>
      <c r="V111" s="151" t="s">
        <v>88</v>
      </c>
      <c r="W111" s="435" t="s">
        <v>5437</v>
      </c>
      <c r="AK111" s="591"/>
      <c r="AL111" s="475"/>
      <c r="AM111" s="592"/>
      <c r="AO111" s="777" t="s">
        <v>4849</v>
      </c>
      <c r="AP111" s="151" t="s">
        <v>5495</v>
      </c>
      <c r="AQ111" s="584" t="s">
        <v>2321</v>
      </c>
      <c r="AU111" s="250" t="s">
        <v>2591</v>
      </c>
      <c r="AV111" s="151" t="s">
        <v>196</v>
      </c>
      <c r="AW111" s="138" t="str">
        <f t="shared" si="93"/>
        <v>ДП Ліса.2/0</v>
      </c>
      <c r="AY111" s="234" t="s">
        <v>2425</v>
      </c>
      <c r="AZ111" s="137" t="s">
        <v>1719</v>
      </c>
      <c r="BA111" s="138" t="str">
        <f t="shared" si="94"/>
        <v>ДП Ідея.4/4.фальц</v>
      </c>
      <c r="BK111" s="250" t="s">
        <v>1187</v>
      </c>
      <c r="BL111" s="137" t="s">
        <v>62</v>
      </c>
      <c r="BM111" s="138" t="str">
        <f t="shared" si="108"/>
        <v>ДП ТРЕНД.LINE-3D</v>
      </c>
      <c r="BS111" s="58" t="s">
        <v>1381</v>
      </c>
      <c r="BT111" s="41" t="s">
        <v>4086</v>
      </c>
      <c r="BU111" s="70" t="str">
        <f t="shared" si="106"/>
        <v>ДП ЛАДА A.8/3.Масив</v>
      </c>
      <c r="BW111" s="162" t="s">
        <v>2422</v>
      </c>
      <c r="BX111" s="246" t="s">
        <v>458</v>
      </c>
      <c r="BY111" s="135" t="str">
        <f t="shared" si="101"/>
        <v>ДП Ідея.4/1.Сатин</v>
      </c>
      <c r="CA111" s="746" t="s">
        <v>3200</v>
      </c>
      <c r="CB111" s="134" t="s">
        <v>4106</v>
      </c>
      <c r="CC111" s="135" t="str">
        <f>CONCATENATE(CA111,".",CB111)</f>
        <v>ДП КУПАВА.купе.робоча.(ні)</v>
      </c>
      <c r="CE111" s="742" t="s">
        <v>3273</v>
      </c>
      <c r="CF111" s="137"/>
      <c r="CG111" s="138" t="str">
        <f t="shared" ref="CG111:CG121" si="111">CONCATENATE(CE111,".",CF111)</f>
        <v>ДП ЛАДА D.фальц..робоча..</v>
      </c>
      <c r="CI111" s="146"/>
      <c r="CJ111" s="137"/>
      <c r="CK111" s="239"/>
      <c r="CM111" s="86" t="s">
        <v>3276</v>
      </c>
      <c r="CN111" s="56" t="s">
        <v>841</v>
      </c>
      <c r="CO111" s="70" t="str">
        <f t="shared" si="107"/>
        <v>ДП ЛАДА D.купе..робоча..Verto-FIT</v>
      </c>
      <c r="CW111" s="121"/>
      <c r="CY111" s="147" t="s">
        <v>4319</v>
      </c>
      <c r="CZ111" s="62" t="s">
        <v>4336</v>
      </c>
      <c r="DA111" s="139" t="s">
        <v>858</v>
      </c>
      <c r="DD111" s="165" t="s">
        <v>2434</v>
      </c>
      <c r="DE111" s="166">
        <v>4790</v>
      </c>
      <c r="DF111" s="528">
        <f t="shared" si="100"/>
        <v>4790</v>
      </c>
      <c r="DG111" s="523"/>
      <c r="DH111" s="530">
        <f t="shared" si="70"/>
        <v>4790</v>
      </c>
      <c r="DP111" s="736" t="s">
        <v>4128</v>
      </c>
      <c r="DQ111" s="105">
        <v>0</v>
      </c>
      <c r="DR111" s="403">
        <f t="shared" ref="DR111:DR122" si="112">ROUND(((DQ111-(DQ111/6))/$DD$3)*$DE$3,2)</f>
        <v>0</v>
      </c>
      <c r="DS111" s="514"/>
      <c r="DT111" s="511">
        <f t="shared" si="97"/>
        <v>0</v>
      </c>
      <c r="DU111" s="166"/>
      <c r="DV111" s="799" t="s">
        <v>4386</v>
      </c>
      <c r="DW111" s="726">
        <v>0</v>
      </c>
      <c r="DX111" s="804">
        <f t="shared" si="109"/>
        <v>0</v>
      </c>
      <c r="DY111" s="523"/>
      <c r="DZ111" s="524">
        <f t="shared" si="110"/>
        <v>0</v>
      </c>
      <c r="EG111" s="165"/>
      <c r="EH111" s="739" t="s">
        <v>5082</v>
      </c>
      <c r="EI111" s="164">
        <v>1810</v>
      </c>
      <c r="EJ111" s="531">
        <f>ROUND(((EI111-(EI111/6))/$DD$3)*$DE$3,2)</f>
        <v>1810</v>
      </c>
      <c r="EK111" s="526"/>
      <c r="EL111" s="527">
        <f>IF(EK111="",EJ111,
IF(AND($EI$10&gt;=VLOOKUP(EK111,$EH$5:$EL$9,2,0),$EI$10&lt;=VLOOKUP(EK111,$EH$5:$EL$9,3,0)),
(EJ111*(1-VLOOKUP(EK111,$EH$5:$EL$9,4,0))),
EJ111))</f>
        <v>1810</v>
      </c>
    </row>
    <row r="112" spans="2:142">
      <c r="B112" s="30"/>
      <c r="C112" s="745" t="s">
        <v>3158</v>
      </c>
      <c r="D112" s="411"/>
      <c r="E112" s="29"/>
      <c r="L112" s="58" t="s">
        <v>1375</v>
      </c>
      <c r="M112" s="48" t="s">
        <v>1696</v>
      </c>
      <c r="N112" s="94" t="s">
        <v>2082</v>
      </c>
      <c r="O112" s="423" t="s">
        <v>728</v>
      </c>
      <c r="Q112" s="58" t="s">
        <v>1375</v>
      </c>
      <c r="R112" s="98" t="s">
        <v>646</v>
      </c>
      <c r="S112" s="94" t="s">
        <v>647</v>
      </c>
      <c r="U112" s="764" t="s">
        <v>3449</v>
      </c>
      <c r="V112" s="151" t="s">
        <v>89</v>
      </c>
      <c r="W112" s="435" t="s">
        <v>5438</v>
      </c>
      <c r="AK112" s="777" t="s">
        <v>4388</v>
      </c>
      <c r="AL112" s="151" t="s">
        <v>1780</v>
      </c>
      <c r="AM112" s="584" t="s">
        <v>2298</v>
      </c>
      <c r="AO112" s="778" t="s">
        <v>4879</v>
      </c>
      <c r="AP112" s="152" t="s">
        <v>177</v>
      </c>
      <c r="AQ112" s="586" t="s">
        <v>2324</v>
      </c>
      <c r="AU112" s="250" t="s">
        <v>2591</v>
      </c>
      <c r="AV112" s="151" t="s">
        <v>197</v>
      </c>
      <c r="AW112" s="138" t="str">
        <f t="shared" si="93"/>
        <v>ДП Ліса.2/1</v>
      </c>
      <c r="AY112" s="234" t="s">
        <v>2425</v>
      </c>
      <c r="AZ112" s="137" t="s">
        <v>1721</v>
      </c>
      <c r="BA112" s="138" t="str">
        <f t="shared" si="94"/>
        <v>ДП Ідея.4/4.б/з фальц</v>
      </c>
      <c r="BK112" s="249" t="s">
        <v>1187</v>
      </c>
      <c r="BL112" s="62" t="s">
        <v>5071</v>
      </c>
      <c r="BM112" s="139" t="str">
        <f t="shared" si="108"/>
        <v>ДП ТРЕНД.Е-шпон</v>
      </c>
      <c r="BS112" s="58" t="s">
        <v>1382</v>
      </c>
      <c r="BT112" s="41" t="s">
        <v>4086</v>
      </c>
      <c r="BU112" s="70" t="str">
        <f t="shared" si="106"/>
        <v>ДП ЛАДА A.8/4.Масив</v>
      </c>
      <c r="BW112" s="165" t="s">
        <v>2422</v>
      </c>
      <c r="BX112" s="770" t="s">
        <v>4203</v>
      </c>
      <c r="BY112" s="138" t="str">
        <f t="shared" si="101"/>
        <v>ДП Ідея.4/1.Жалюзі</v>
      </c>
      <c r="CA112" s="742" t="s">
        <v>3200</v>
      </c>
      <c r="CB112" s="21"/>
      <c r="CC112" s="21"/>
      <c r="CE112" s="742" t="s">
        <v>3273</v>
      </c>
      <c r="CF112" s="137" t="s">
        <v>4261</v>
      </c>
      <c r="CG112" s="138" t="str">
        <f t="shared" si="111"/>
        <v>ДП ЛАДА D.фальц..робоча..ВВ</v>
      </c>
      <c r="CI112" s="764" t="s">
        <v>4410</v>
      </c>
      <c r="CJ112" s="137" t="s">
        <v>4827</v>
      </c>
      <c r="CK112" s="138" t="str">
        <f t="shared" ref="CK112:CK117" si="113">CONCATENATE(CI112,".",CJ112)</f>
        <v>Пл Magnet б/з завіс..Ліва</v>
      </c>
      <c r="CM112" s="432"/>
      <c r="CN112" s="427"/>
      <c r="CO112" s="428"/>
      <c r="CW112" s="121"/>
      <c r="CY112" s="146" t="s">
        <v>6206</v>
      </c>
      <c r="CZ112" s="137" t="s">
        <v>6164</v>
      </c>
      <c r="DA112" s="138" t="s">
        <v>858</v>
      </c>
      <c r="DD112" s="165" t="s">
        <v>2435</v>
      </c>
      <c r="DE112" s="166">
        <v>4790</v>
      </c>
      <c r="DF112" s="528">
        <f t="shared" si="100"/>
        <v>4790</v>
      </c>
      <c r="DG112" s="523"/>
      <c r="DH112" s="530">
        <f t="shared" si="70"/>
        <v>4790</v>
      </c>
      <c r="DP112" s="162" t="s">
        <v>2399</v>
      </c>
      <c r="DQ112" s="163">
        <v>0</v>
      </c>
      <c r="DR112" s="528">
        <f t="shared" si="112"/>
        <v>0</v>
      </c>
      <c r="DS112" s="529"/>
      <c r="DT112" s="530">
        <f t="shared" si="97"/>
        <v>0</v>
      </c>
      <c r="DU112" s="166"/>
      <c r="DV112" s="799" t="s">
        <v>4387</v>
      </c>
      <c r="DW112" s="726">
        <v>0</v>
      </c>
      <c r="DX112" s="804">
        <f t="shared" si="109"/>
        <v>0</v>
      </c>
      <c r="DY112" s="523"/>
      <c r="DZ112" s="524">
        <f t="shared" si="110"/>
        <v>0</v>
      </c>
      <c r="EG112" s="165"/>
      <c r="EH112" s="738" t="s">
        <v>3450</v>
      </c>
      <c r="EI112" s="166">
        <v>0</v>
      </c>
      <c r="EJ112" s="522">
        <f t="shared" si="103"/>
        <v>0</v>
      </c>
      <c r="EK112" s="523"/>
      <c r="EL112" s="524">
        <f t="shared" si="104"/>
        <v>0</v>
      </c>
    </row>
    <row r="113" spans="2:142">
      <c r="B113" s="30"/>
      <c r="C113" s="410"/>
      <c r="D113" s="415" t="s">
        <v>728</v>
      </c>
      <c r="E113" s="29"/>
      <c r="L113" s="58" t="s">
        <v>1376</v>
      </c>
      <c r="M113" s="48" t="s">
        <v>1696</v>
      </c>
      <c r="N113" s="94" t="s">
        <v>2082</v>
      </c>
      <c r="O113" s="423" t="s">
        <v>728</v>
      </c>
      <c r="Q113" s="58" t="s">
        <v>1376</v>
      </c>
      <c r="R113" s="98" t="s">
        <v>648</v>
      </c>
      <c r="S113" s="94" t="s">
        <v>649</v>
      </c>
      <c r="U113" s="764" t="s">
        <v>3451</v>
      </c>
      <c r="V113" s="151" t="s">
        <v>90</v>
      </c>
      <c r="W113" s="435" t="s">
        <v>5439</v>
      </c>
      <c r="AK113" s="778" t="s">
        <v>4390</v>
      </c>
      <c r="AL113" s="152" t="s">
        <v>1781</v>
      </c>
      <c r="AM113" s="586" t="s">
        <v>2299</v>
      </c>
      <c r="AO113" s="777" t="s">
        <v>6193</v>
      </c>
      <c r="AP113" s="151" t="s">
        <v>5495</v>
      </c>
      <c r="AQ113" s="584" t="s">
        <v>2321</v>
      </c>
      <c r="AU113" s="250" t="s">
        <v>2591</v>
      </c>
      <c r="AV113" s="151" t="s">
        <v>198</v>
      </c>
      <c r="AW113" s="138" t="str">
        <f t="shared" si="93"/>
        <v>ДП Ліса.2/2</v>
      </c>
      <c r="AY113" s="224" t="s">
        <v>2425</v>
      </c>
      <c r="AZ113" s="62" t="s">
        <v>1720</v>
      </c>
      <c r="BA113" s="139" t="str">
        <f t="shared" si="94"/>
        <v>ДП Ідея.4/4.купе</v>
      </c>
      <c r="BK113" s="251" t="s">
        <v>1192</v>
      </c>
      <c r="BL113" s="134" t="s">
        <v>409</v>
      </c>
      <c r="BM113" s="135" t="str">
        <f t="shared" si="108"/>
        <v>ДП МОДЕРН.Verto-Cell</v>
      </c>
      <c r="BS113" s="58" t="s">
        <v>1383</v>
      </c>
      <c r="BT113" s="41" t="s">
        <v>4086</v>
      </c>
      <c r="BU113" s="70" t="str">
        <f t="shared" si="106"/>
        <v>ДП ЛАДА A.8/5.Масив</v>
      </c>
      <c r="BW113" s="165" t="s">
        <v>2422</v>
      </c>
      <c r="BX113" s="770" t="s">
        <v>3851</v>
      </c>
      <c r="BY113" s="138" t="str">
        <f>CONCATENATE(BW113,".",BX113)</f>
        <v>ДП Ідея.4/1.Графіт</v>
      </c>
      <c r="CA113" s="742" t="s">
        <v>3200</v>
      </c>
      <c r="CB113" s="137" t="s">
        <v>462</v>
      </c>
      <c r="CC113" s="138" t="str">
        <f>CONCATENATE(CA113,".",CB113)</f>
        <v>ДП КУПАВА.купе.робоча.Ручка-Захват</v>
      </c>
      <c r="CE113" s="424" t="s">
        <v>3273</v>
      </c>
      <c r="CF113" s="62" t="s">
        <v>739</v>
      </c>
      <c r="CG113" s="139" t="str">
        <f t="shared" si="111"/>
        <v>ДП ЛАДА D.фальц..робоча..ВП</v>
      </c>
      <c r="CI113" s="765" t="s">
        <v>4410</v>
      </c>
      <c r="CJ113" s="62" t="s">
        <v>4857</v>
      </c>
      <c r="CK113" s="139" t="str">
        <f t="shared" si="113"/>
        <v>Пл Magnet б/з завіс..Права</v>
      </c>
      <c r="CM113" s="742" t="s">
        <v>3277</v>
      </c>
      <c r="CN113" s="137" t="s">
        <v>975</v>
      </c>
      <c r="CO113" s="138" t="str">
        <f t="shared" ref="CO113:CO119" si="114">CONCATENATE(CM113,".",CN113)</f>
        <v>ДП Ніка.фальц..робоча..Standard-MDF</v>
      </c>
      <c r="CW113" s="121"/>
      <c r="CY113" s="147" t="s">
        <v>6207</v>
      </c>
      <c r="CZ113" s="62" t="s">
        <v>6164</v>
      </c>
      <c r="DA113" s="139" t="s">
        <v>858</v>
      </c>
      <c r="DD113" s="165" t="s">
        <v>2436</v>
      </c>
      <c r="DE113" s="166">
        <v>4990.0000000000009</v>
      </c>
      <c r="DF113" s="528">
        <f t="shared" si="100"/>
        <v>4990</v>
      </c>
      <c r="DG113" s="523"/>
      <c r="DH113" s="530">
        <f t="shared" si="70"/>
        <v>4990</v>
      </c>
      <c r="DP113" s="165" t="s">
        <v>2400</v>
      </c>
      <c r="DQ113" s="166">
        <v>340</v>
      </c>
      <c r="DR113" s="522">
        <f>ROUND(((DQ113-(DQ113/6))/$DD$3)*$DE$3,2)</f>
        <v>340</v>
      </c>
      <c r="DS113" s="523"/>
      <c r="DT113" s="524">
        <f>IF(DS113="",DR113,
IF(AND($DQ$10&gt;=VLOOKUP(DS113,$DP$5:$DT$9,2,0),$DQ$10&lt;=VLOOKUP(DS113,$DP$5:$DT$9,3,0)),
(DR113*(1-VLOOKUP(DS113,$DP$5:$DT$9,4,0))),
DR113))</f>
        <v>340</v>
      </c>
      <c r="DU113" s="166"/>
      <c r="DV113" s="799" t="s">
        <v>4389</v>
      </c>
      <c r="DW113" s="726">
        <v>490</v>
      </c>
      <c r="DX113" s="804">
        <f t="shared" si="109"/>
        <v>490</v>
      </c>
      <c r="DY113" s="523"/>
      <c r="DZ113" s="524">
        <f t="shared" si="110"/>
        <v>490</v>
      </c>
      <c r="EG113" s="165"/>
      <c r="EH113" s="739" t="s">
        <v>3452</v>
      </c>
      <c r="EI113" s="164">
        <v>1810</v>
      </c>
      <c r="EJ113" s="531">
        <f t="shared" si="103"/>
        <v>1810</v>
      </c>
      <c r="EK113" s="526"/>
      <c r="EL113" s="527">
        <f t="shared" si="104"/>
        <v>1810</v>
      </c>
    </row>
    <row r="114" spans="2:142">
      <c r="B114" s="30"/>
      <c r="C114" s="745" t="s">
        <v>3110</v>
      </c>
      <c r="D114" s="415" t="s">
        <v>728</v>
      </c>
      <c r="E114" s="29"/>
      <c r="L114" s="58" t="s">
        <v>1377</v>
      </c>
      <c r="M114" s="48" t="s">
        <v>1696</v>
      </c>
      <c r="N114" s="94" t="s">
        <v>2082</v>
      </c>
      <c r="O114" s="423" t="s">
        <v>728</v>
      </c>
      <c r="Q114" s="58" t="s">
        <v>1377</v>
      </c>
      <c r="R114" s="98" t="s">
        <v>655</v>
      </c>
      <c r="S114" s="94" t="s">
        <v>656</v>
      </c>
      <c r="U114" s="764" t="s">
        <v>3453</v>
      </c>
      <c r="V114" s="151" t="s">
        <v>91</v>
      </c>
      <c r="W114" s="435" t="s">
        <v>5440</v>
      </c>
      <c r="AK114" s="777" t="s">
        <v>6118</v>
      </c>
      <c r="AL114" s="151" t="s">
        <v>6462</v>
      </c>
      <c r="AM114" s="584" t="s">
        <v>6119</v>
      </c>
      <c r="AO114" s="778" t="s">
        <v>6194</v>
      </c>
      <c r="AP114" s="152" t="s">
        <v>177</v>
      </c>
      <c r="AQ114" s="586" t="s">
        <v>2324</v>
      </c>
      <c r="AU114" s="250" t="s">
        <v>2591</v>
      </c>
      <c r="AV114" s="151" t="s">
        <v>185</v>
      </c>
      <c r="AW114" s="138" t="str">
        <f t="shared" si="93"/>
        <v>ДП Ліса.3/0</v>
      </c>
      <c r="AY114" s="234" t="s">
        <v>2426</v>
      </c>
      <c r="AZ114" s="137" t="s">
        <v>1719</v>
      </c>
      <c r="BA114" s="138" t="str">
        <f t="shared" si="94"/>
        <v>ДП Ідея.6/0.фальц</v>
      </c>
      <c r="BK114" s="250" t="s">
        <v>1192</v>
      </c>
      <c r="BL114" s="137" t="s">
        <v>1894</v>
      </c>
      <c r="BM114" s="138" t="str">
        <f t="shared" si="108"/>
        <v>ДП МОДЕРН.Uni-Mat.</v>
      </c>
      <c r="BS114" s="426"/>
      <c r="BT114" s="427"/>
      <c r="BU114" s="428"/>
      <c r="BW114" s="108" t="s">
        <v>2422</v>
      </c>
      <c r="BX114" s="248" t="s">
        <v>832</v>
      </c>
      <c r="BY114" s="139" t="str">
        <f>CONCATENATE(BW114,".",BX114)</f>
        <v>ДП Ідея.4/1.Бронза</v>
      </c>
      <c r="CA114" s="742" t="s">
        <v>3200</v>
      </c>
      <c r="CB114" s="137" t="s">
        <v>684</v>
      </c>
      <c r="CC114" s="138" t="str">
        <f>CONCATENATE(CA114,".",CB114)</f>
        <v>ДП КУПАВА.купе.робоча.Ручка-Замок</v>
      </c>
      <c r="CE114" s="746" t="s">
        <v>3274</v>
      </c>
      <c r="CF114" s="137"/>
      <c r="CG114" s="138" t="str">
        <f t="shared" si="111"/>
        <v>ДП ЛАДА D.фальц..неробоча..</v>
      </c>
      <c r="CI114" s="146" t="s">
        <v>4414</v>
      </c>
      <c r="CJ114" s="137" t="s">
        <v>4827</v>
      </c>
      <c r="CK114" s="138" t="str">
        <f t="shared" si="113"/>
        <v>Пл Magnet +2завіс 3D.Ліва</v>
      </c>
      <c r="CM114" s="742" t="s">
        <v>3277</v>
      </c>
      <c r="CN114" s="137" t="s">
        <v>840</v>
      </c>
      <c r="CO114" s="138" t="str">
        <f t="shared" si="114"/>
        <v>ДП Ніка.фальц..робоча..Standard</v>
      </c>
      <c r="CW114" s="121"/>
      <c r="CY114" s="146" t="s">
        <v>4337</v>
      </c>
      <c r="CZ114" s="137" t="s">
        <v>4410</v>
      </c>
      <c r="DA114" s="138" t="s">
        <v>858</v>
      </c>
      <c r="DD114" s="165" t="s">
        <v>2437</v>
      </c>
      <c r="DE114" s="166">
        <v>4990.0000000000009</v>
      </c>
      <c r="DF114" s="528">
        <f t="shared" si="100"/>
        <v>4990</v>
      </c>
      <c r="DG114" s="523"/>
      <c r="DH114" s="530">
        <f t="shared" si="70"/>
        <v>4990</v>
      </c>
      <c r="DP114" s="738" t="s">
        <v>4207</v>
      </c>
      <c r="DQ114" s="166">
        <v>340</v>
      </c>
      <c r="DR114" s="522">
        <f>ROUND(((DQ114-(DQ114/6))/$DD$3)*$DE$3,2)</f>
        <v>340</v>
      </c>
      <c r="DS114" s="523"/>
      <c r="DT114" s="524">
        <f>IF(DS114="",DR114,
IF(AND($DQ$10&gt;=VLOOKUP(DS114,$DP$5:$DT$9,2,0),$DQ$10&lt;=VLOOKUP(DS114,$DP$5:$DT$9,3,0)),
(DR114*(1-VLOOKUP(DS114,$DP$5:$DT$9,4,0))),
DR114))</f>
        <v>340</v>
      </c>
      <c r="DU114" s="166"/>
      <c r="DV114" s="799" t="s">
        <v>4391</v>
      </c>
      <c r="DW114" s="726">
        <v>490</v>
      </c>
      <c r="DX114" s="804">
        <f t="shared" si="109"/>
        <v>490</v>
      </c>
      <c r="DY114" s="523"/>
      <c r="DZ114" s="524">
        <f t="shared" si="110"/>
        <v>490</v>
      </c>
      <c r="EG114" s="165"/>
      <c r="EH114" s="538"/>
      <c r="EI114" s="539"/>
      <c r="EJ114" s="650"/>
      <c r="EK114" s="651"/>
      <c r="EL114" s="652"/>
    </row>
    <row r="115" spans="2:142">
      <c r="B115" s="30"/>
      <c r="C115" s="745" t="s">
        <v>5480</v>
      </c>
      <c r="D115" s="415"/>
      <c r="E115" s="29"/>
      <c r="L115" s="144"/>
      <c r="M115" s="48"/>
      <c r="N115" s="94"/>
      <c r="O115" s="423"/>
      <c r="Q115" s="144"/>
      <c r="R115" s="98"/>
      <c r="S115" s="94"/>
      <c r="U115" s="764" t="s">
        <v>3454</v>
      </c>
      <c r="V115" s="151" t="s">
        <v>92</v>
      </c>
      <c r="W115" s="435" t="s">
        <v>5441</v>
      </c>
      <c r="AK115" s="778" t="s">
        <v>6120</v>
      </c>
      <c r="AL115" s="152" t="s">
        <v>6463</v>
      </c>
      <c r="AM115" s="586" t="s">
        <v>6121</v>
      </c>
      <c r="AO115" s="598"/>
      <c r="AP115" s="599"/>
      <c r="AQ115" s="586"/>
      <c r="AU115" s="250" t="s">
        <v>2591</v>
      </c>
      <c r="AV115" s="151" t="s">
        <v>186</v>
      </c>
      <c r="AW115" s="138" t="str">
        <f t="shared" si="93"/>
        <v>ДП Ліса.3/1</v>
      </c>
      <c r="AY115" s="234" t="s">
        <v>2426</v>
      </c>
      <c r="AZ115" s="137" t="s">
        <v>1721</v>
      </c>
      <c r="BA115" s="138" t="str">
        <f t="shared" si="94"/>
        <v>ДП Ідея.6/0.б/з фальц</v>
      </c>
      <c r="BK115" s="250" t="s">
        <v>1192</v>
      </c>
      <c r="BL115" s="137" t="s">
        <v>557</v>
      </c>
      <c r="BM115" s="138" t="str">
        <f t="shared" si="108"/>
        <v>ДП МОДЕРН.Резист</v>
      </c>
      <c r="BS115" s="58" t="s">
        <v>1336</v>
      </c>
      <c r="BT115" s="56" t="s">
        <v>4086</v>
      </c>
      <c r="BU115" s="541" t="str">
        <f t="shared" ref="BU115:BU127" si="115">CONCATENATE(BS115,".",BT115)</f>
        <v>ДП ЛАДА B.1/0.Масив</v>
      </c>
      <c r="BW115" s="162" t="s">
        <v>2423</v>
      </c>
      <c r="BX115" s="246" t="s">
        <v>458</v>
      </c>
      <c r="BY115" s="135" t="str">
        <f t="shared" si="101"/>
        <v>ДП Ідея.4/2.Сатин</v>
      </c>
      <c r="CA115" s="432"/>
      <c r="CB115" s="222"/>
      <c r="CC115" s="223"/>
      <c r="CE115" s="742" t="s">
        <v>3274</v>
      </c>
      <c r="CF115" s="137" t="s">
        <v>4261</v>
      </c>
      <c r="CG115" s="138" t="str">
        <f t="shared" si="111"/>
        <v>ДП ЛАДА D.фальц..неробоча..ВВ</v>
      </c>
      <c r="CI115" s="147" t="s">
        <v>4414</v>
      </c>
      <c r="CJ115" s="62" t="s">
        <v>4857</v>
      </c>
      <c r="CK115" s="139" t="str">
        <f t="shared" si="113"/>
        <v>Пл Magnet +2завіс 3D.Права</v>
      </c>
      <c r="CM115" s="742" t="s">
        <v>3277</v>
      </c>
      <c r="CN115" s="137" t="s">
        <v>841</v>
      </c>
      <c r="CO115" s="138" t="str">
        <f t="shared" si="114"/>
        <v>ДП Ніка.фальц..робоча..Verto-FIT</v>
      </c>
      <c r="CW115" s="121"/>
      <c r="CY115" s="146" t="s">
        <v>4339</v>
      </c>
      <c r="CZ115" s="137" t="s">
        <v>4410</v>
      </c>
      <c r="DA115" s="138" t="s">
        <v>858</v>
      </c>
      <c r="DD115" s="165" t="s">
        <v>2438</v>
      </c>
      <c r="DE115" s="166">
        <v>4990.0000000000009</v>
      </c>
      <c r="DF115" s="528">
        <f t="shared" si="100"/>
        <v>4990</v>
      </c>
      <c r="DG115" s="523"/>
      <c r="DH115" s="530">
        <f t="shared" si="70"/>
        <v>4990</v>
      </c>
      <c r="DP115" s="738" t="s">
        <v>3872</v>
      </c>
      <c r="DQ115" s="166">
        <v>550</v>
      </c>
      <c r="DR115" s="522">
        <f t="shared" si="112"/>
        <v>550</v>
      </c>
      <c r="DS115" s="523"/>
      <c r="DT115" s="524">
        <f t="shared" si="97"/>
        <v>550</v>
      </c>
      <c r="DU115" s="166"/>
      <c r="DV115" s="799" t="s">
        <v>4393</v>
      </c>
      <c r="DW115" s="726">
        <v>710</v>
      </c>
      <c r="DX115" s="804">
        <f t="shared" si="109"/>
        <v>710</v>
      </c>
      <c r="DY115" s="523"/>
      <c r="DZ115" s="524">
        <f t="shared" si="110"/>
        <v>710</v>
      </c>
      <c r="EG115" s="165"/>
      <c r="EH115" s="737" t="s">
        <v>4956</v>
      </c>
      <c r="EI115" s="163">
        <v>0</v>
      </c>
      <c r="EJ115" s="537">
        <f t="shared" si="103"/>
        <v>0</v>
      </c>
      <c r="EK115" s="529"/>
      <c r="EL115" s="530">
        <f t="shared" si="104"/>
        <v>0</v>
      </c>
    </row>
    <row r="116" spans="2:142">
      <c r="B116" s="30"/>
      <c r="C116" s="410"/>
      <c r="D116" s="415" t="s">
        <v>728</v>
      </c>
      <c r="E116" s="29"/>
      <c r="L116" s="809"/>
      <c r="M116" s="810"/>
      <c r="N116" s="810"/>
      <c r="O116" s="809"/>
      <c r="P116" s="808"/>
      <c r="Q116" s="809"/>
      <c r="R116" s="811"/>
      <c r="S116" s="810"/>
      <c r="U116" s="765" t="s">
        <v>3455</v>
      </c>
      <c r="V116" s="152" t="s">
        <v>93</v>
      </c>
      <c r="W116" s="599" t="s">
        <v>5442</v>
      </c>
      <c r="AK116" s="777" t="s">
        <v>4392</v>
      </c>
      <c r="AL116" s="151" t="s">
        <v>1757</v>
      </c>
      <c r="AM116" s="760" t="s">
        <v>5457</v>
      </c>
      <c r="AO116" s="789" t="s">
        <v>4850</v>
      </c>
      <c r="AP116" s="101" t="s">
        <v>5495</v>
      </c>
      <c r="AQ116" s="589" t="s">
        <v>2321</v>
      </c>
      <c r="AU116" s="250" t="s">
        <v>2591</v>
      </c>
      <c r="AV116" s="151" t="s">
        <v>199</v>
      </c>
      <c r="AW116" s="138" t="str">
        <f t="shared" si="93"/>
        <v>ДП Ліса.3/2</v>
      </c>
      <c r="AY116" s="224" t="s">
        <v>2426</v>
      </c>
      <c r="AZ116" s="62" t="s">
        <v>1720</v>
      </c>
      <c r="BA116" s="139" t="str">
        <f t="shared" si="94"/>
        <v>ДП Ідея.6/0.купе</v>
      </c>
      <c r="BK116" s="250" t="s">
        <v>1192</v>
      </c>
      <c r="BL116" s="137" t="s">
        <v>62</v>
      </c>
      <c r="BM116" s="138" t="str">
        <f t="shared" si="108"/>
        <v>ДП МОДЕРН.LINE-3D</v>
      </c>
      <c r="BS116" s="58" t="s">
        <v>1337</v>
      </c>
      <c r="BT116" s="56" t="s">
        <v>4086</v>
      </c>
      <c r="BU116" s="541" t="str">
        <f t="shared" si="115"/>
        <v>ДП ЛАДА B.1/1.Масив</v>
      </c>
      <c r="BW116" s="165" t="s">
        <v>2423</v>
      </c>
      <c r="BX116" s="770" t="s">
        <v>4203</v>
      </c>
      <c r="BY116" s="138" t="str">
        <f t="shared" si="101"/>
        <v>ДП Ідея.4/2.Жалюзі</v>
      </c>
      <c r="CA116" s="432"/>
      <c r="CB116" s="222"/>
      <c r="CC116" s="223"/>
      <c r="CE116" s="424" t="s">
        <v>3274</v>
      </c>
      <c r="CF116" s="62" t="s">
        <v>739</v>
      </c>
      <c r="CG116" s="139" t="str">
        <f t="shared" si="111"/>
        <v>ДП ЛАДА D.фальц..неробоча..ВП</v>
      </c>
      <c r="CI116" s="146" t="s">
        <v>4417</v>
      </c>
      <c r="CJ116" s="137" t="s">
        <v>4827</v>
      </c>
      <c r="CK116" s="138" t="str">
        <f t="shared" si="113"/>
        <v>Пл Magnet +3завіс 3D.Ліва</v>
      </c>
      <c r="CM116" s="424" t="s">
        <v>3277</v>
      </c>
      <c r="CN116" s="62" t="s">
        <v>371</v>
      </c>
      <c r="CO116" s="139" t="str">
        <f t="shared" si="114"/>
        <v>ДП Ніка.фальц..робоча..Verto-FIT Plus</v>
      </c>
      <c r="CW116" s="121"/>
      <c r="CY116" s="146" t="s">
        <v>6211</v>
      </c>
      <c r="CZ116" s="137" t="s">
        <v>6167</v>
      </c>
      <c r="DA116" s="138" t="s">
        <v>858</v>
      </c>
      <c r="DD116" s="165" t="s">
        <v>2439</v>
      </c>
      <c r="DE116" s="166">
        <v>4990.0000000000009</v>
      </c>
      <c r="DF116" s="528">
        <f t="shared" si="100"/>
        <v>4990</v>
      </c>
      <c r="DG116" s="523"/>
      <c r="DH116" s="530">
        <f t="shared" si="70"/>
        <v>4990</v>
      </c>
      <c r="DP116" s="108" t="s">
        <v>2401</v>
      </c>
      <c r="DQ116" s="166">
        <v>550</v>
      </c>
      <c r="DR116" s="525">
        <f t="shared" si="112"/>
        <v>550</v>
      </c>
      <c r="DS116" s="526"/>
      <c r="DT116" s="527">
        <f t="shared" si="97"/>
        <v>550</v>
      </c>
      <c r="DU116" s="166"/>
      <c r="DV116" s="805" t="s">
        <v>4395</v>
      </c>
      <c r="DW116" s="727">
        <v>710</v>
      </c>
      <c r="DX116" s="806">
        <f t="shared" si="109"/>
        <v>710</v>
      </c>
      <c r="DY116" s="526"/>
      <c r="DZ116" s="527">
        <f t="shared" si="110"/>
        <v>710</v>
      </c>
      <c r="EG116" s="165"/>
      <c r="EH116" s="739" t="s">
        <v>4957</v>
      </c>
      <c r="EI116" s="164">
        <v>1420</v>
      </c>
      <c r="EJ116" s="531">
        <f t="shared" si="103"/>
        <v>1420</v>
      </c>
      <c r="EK116" s="526"/>
      <c r="EL116" s="527">
        <f t="shared" si="104"/>
        <v>1420</v>
      </c>
    </row>
    <row r="117" spans="2:142">
      <c r="B117" s="30"/>
      <c r="C117" s="745" t="s">
        <v>3159</v>
      </c>
      <c r="D117" s="415" t="s">
        <v>728</v>
      </c>
      <c r="E117" s="29"/>
      <c r="L117" s="144"/>
      <c r="M117" s="48"/>
      <c r="N117" s="94"/>
      <c r="O117" s="423"/>
      <c r="Q117" s="144"/>
      <c r="R117" s="98"/>
      <c r="S117" s="94"/>
      <c r="U117" s="763" t="s">
        <v>4888</v>
      </c>
      <c r="V117" s="101" t="s">
        <v>1733</v>
      </c>
      <c r="W117" s="100" t="s">
        <v>2227</v>
      </c>
      <c r="AK117" s="778" t="s">
        <v>4394</v>
      </c>
      <c r="AL117" s="152" t="s">
        <v>1758</v>
      </c>
      <c r="AM117" s="761" t="s">
        <v>5458</v>
      </c>
      <c r="AO117" s="778" t="s">
        <v>4880</v>
      </c>
      <c r="AP117" s="152" t="s">
        <v>177</v>
      </c>
      <c r="AQ117" s="586" t="s">
        <v>2324</v>
      </c>
      <c r="AU117" s="250" t="s">
        <v>2591</v>
      </c>
      <c r="AV117" s="151" t="s">
        <v>200</v>
      </c>
      <c r="AW117" s="138" t="str">
        <f t="shared" si="93"/>
        <v>ДП Ліса.3/3</v>
      </c>
      <c r="AY117" s="234" t="s">
        <v>2427</v>
      </c>
      <c r="AZ117" s="137" t="s">
        <v>1719</v>
      </c>
      <c r="BA117" s="138" t="str">
        <f t="shared" si="94"/>
        <v>ДП Ідея.6/6.фальц</v>
      </c>
      <c r="BK117" s="249" t="s">
        <v>1192</v>
      </c>
      <c r="BL117" s="62" t="s">
        <v>5071</v>
      </c>
      <c r="BM117" s="139" t="str">
        <f t="shared" ref="BM117:BM122" si="116">CONCATENATE(BK117,".",BL117)</f>
        <v>ДП МОДЕРН.Е-шпон</v>
      </c>
      <c r="BS117" s="58" t="s">
        <v>1338</v>
      </c>
      <c r="BT117" s="56" t="s">
        <v>4086</v>
      </c>
      <c r="BU117" s="541" t="str">
        <f t="shared" si="115"/>
        <v>ДП ЛАДА B.1/2.Масив</v>
      </c>
      <c r="BW117" s="165" t="s">
        <v>2423</v>
      </c>
      <c r="BX117" s="770" t="s">
        <v>3851</v>
      </c>
      <c r="BY117" s="138" t="str">
        <f>CONCATENATE(BW117,".",BX117)</f>
        <v>ДП Ідея.4/2.Графіт</v>
      </c>
      <c r="CA117" s="742" t="s">
        <v>3208</v>
      </c>
      <c r="CB117" s="137" t="s">
        <v>4106</v>
      </c>
      <c r="CC117" s="138" t="str">
        <f>CONCATENATE(CA117,".",CB117)</f>
        <v>ДП Геометрія.фальц.робоча.(ні)</v>
      </c>
      <c r="CE117" s="146" t="s">
        <v>3275</v>
      </c>
      <c r="CF117" s="137"/>
      <c r="CG117" s="138" t="str">
        <f t="shared" si="111"/>
        <v>ДП ЛАДА D.б/з фальц..робоча..</v>
      </c>
      <c r="CI117" s="147" t="s">
        <v>4417</v>
      </c>
      <c r="CJ117" s="62" t="s">
        <v>4857</v>
      </c>
      <c r="CK117" s="139" t="str">
        <f t="shared" si="113"/>
        <v>Пл Magnet +3завіс 3D.Права</v>
      </c>
      <c r="CM117" s="424" t="s">
        <v>3278</v>
      </c>
      <c r="CN117" s="62" t="s">
        <v>4106</v>
      </c>
      <c r="CO117" s="70" t="str">
        <f t="shared" si="114"/>
        <v>ДП Ніка.фальц..неробоча..(ні)</v>
      </c>
      <c r="CW117" s="121"/>
      <c r="CY117" s="146" t="s">
        <v>6208</v>
      </c>
      <c r="CZ117" s="137" t="s">
        <v>6167</v>
      </c>
      <c r="DA117" s="138" t="s">
        <v>858</v>
      </c>
      <c r="DD117" s="165" t="s">
        <v>2440</v>
      </c>
      <c r="DE117" s="166">
        <v>4990.0000000000009</v>
      </c>
      <c r="DF117" s="528">
        <f t="shared" si="100"/>
        <v>4990</v>
      </c>
      <c r="DG117" s="523"/>
      <c r="DH117" s="530">
        <f t="shared" si="70"/>
        <v>4990</v>
      </c>
      <c r="DP117" s="736" t="s">
        <v>4129</v>
      </c>
      <c r="DQ117" s="105">
        <v>0</v>
      </c>
      <c r="DR117" s="403">
        <f t="shared" si="112"/>
        <v>0</v>
      </c>
      <c r="DS117" s="514"/>
      <c r="DT117" s="511">
        <f t="shared" si="97"/>
        <v>0</v>
      </c>
      <c r="DU117" s="166"/>
      <c r="DV117" s="802" t="s">
        <v>4397</v>
      </c>
      <c r="DW117" s="728">
        <v>70</v>
      </c>
      <c r="DX117" s="803">
        <f t="shared" si="109"/>
        <v>70</v>
      </c>
      <c r="DY117" s="529"/>
      <c r="DZ117" s="530">
        <f t="shared" si="110"/>
        <v>70</v>
      </c>
      <c r="EG117" s="165"/>
      <c r="EH117" s="738" t="s">
        <v>3456</v>
      </c>
      <c r="EI117" s="166">
        <v>0</v>
      </c>
      <c r="EJ117" s="522">
        <f t="shared" ref="EJ117:EJ169" si="117">ROUND(((EI117-(EI117/6))/$DD$3)*$DE$3,2)</f>
        <v>0</v>
      </c>
      <c r="EK117" s="523"/>
      <c r="EL117" s="524">
        <f t="shared" si="104"/>
        <v>0</v>
      </c>
    </row>
    <row r="118" spans="2:142">
      <c r="B118" s="30"/>
      <c r="C118" s="745" t="s">
        <v>3160</v>
      </c>
      <c r="D118" s="415" t="s">
        <v>728</v>
      </c>
      <c r="E118" s="29"/>
      <c r="L118" s="58" t="s">
        <v>2499</v>
      </c>
      <c r="M118" s="48" t="s">
        <v>2496</v>
      </c>
      <c r="N118" s="94" t="s">
        <v>2094</v>
      </c>
      <c r="O118" s="423" t="s">
        <v>728</v>
      </c>
      <c r="Q118" s="58" t="s">
        <v>2499</v>
      </c>
      <c r="R118" s="98" t="s">
        <v>194</v>
      </c>
      <c r="S118" s="94" t="s">
        <v>138</v>
      </c>
      <c r="U118" s="764" t="s">
        <v>4889</v>
      </c>
      <c r="V118" s="151" t="s">
        <v>1734</v>
      </c>
      <c r="W118" s="159" t="s">
        <v>2228</v>
      </c>
      <c r="AK118" s="777" t="s">
        <v>6129</v>
      </c>
      <c r="AL118" s="151" t="s">
        <v>6091</v>
      </c>
      <c r="AM118" s="760" t="s">
        <v>6127</v>
      </c>
      <c r="AO118" s="777" t="s">
        <v>4851</v>
      </c>
      <c r="AP118" s="151" t="s">
        <v>5495</v>
      </c>
      <c r="AQ118" s="584" t="s">
        <v>2321</v>
      </c>
      <c r="AU118" s="249" t="s">
        <v>2591</v>
      </c>
      <c r="AV118" s="152" t="s">
        <v>532</v>
      </c>
      <c r="AW118" s="139" t="str">
        <f t="shared" si="93"/>
        <v>ДП Ліса.3/4</v>
      </c>
      <c r="AY118" s="234" t="s">
        <v>2427</v>
      </c>
      <c r="AZ118" s="137" t="s">
        <v>1721</v>
      </c>
      <c r="BA118" s="138" t="str">
        <f t="shared" si="94"/>
        <v>ДП Ідея.6/6.б/з фальц</v>
      </c>
      <c r="BK118" s="251" t="s">
        <v>643</v>
      </c>
      <c r="BL118" s="134" t="s">
        <v>409</v>
      </c>
      <c r="BM118" s="135" t="str">
        <f t="shared" si="116"/>
        <v>ДП ПОЛЛО.Verto-Cell</v>
      </c>
      <c r="BS118" s="58" t="s">
        <v>1339</v>
      </c>
      <c r="BT118" s="56" t="s">
        <v>4086</v>
      </c>
      <c r="BU118" s="541" t="str">
        <f t="shared" si="115"/>
        <v>ДП ЛАДА B.1/3.Масив</v>
      </c>
      <c r="BW118" s="108" t="s">
        <v>2423</v>
      </c>
      <c r="BX118" s="248" t="s">
        <v>832</v>
      </c>
      <c r="BY118" s="139" t="str">
        <f>CONCATENATE(BW118,".",BX118)</f>
        <v>ДП Ідея.4/2.Бронза</v>
      </c>
      <c r="CA118" s="742" t="s">
        <v>3208</v>
      </c>
      <c r="CB118" s="21"/>
      <c r="CC118" s="21"/>
      <c r="CE118" s="146" t="s">
        <v>3275</v>
      </c>
      <c r="CF118" s="137" t="s">
        <v>4261</v>
      </c>
      <c r="CG118" s="138" t="str">
        <f t="shared" si="111"/>
        <v>ДП ЛАДА D.б/з фальц..робоча..ВВ</v>
      </c>
      <c r="CI118" s="546"/>
      <c r="CJ118" s="544"/>
      <c r="CK118" s="545"/>
      <c r="CM118" s="86" t="s">
        <v>3279</v>
      </c>
      <c r="CN118" s="56" t="s">
        <v>941</v>
      </c>
      <c r="CO118" s="70" t="str">
        <f t="shared" si="114"/>
        <v>ДП Ніка.б/з фальц..робоча..Verto-FIT Comfort</v>
      </c>
      <c r="CW118" s="121"/>
      <c r="CY118" s="146" t="s">
        <v>4343</v>
      </c>
      <c r="CZ118" s="137" t="s">
        <v>4414</v>
      </c>
      <c r="DA118" s="138" t="s">
        <v>858</v>
      </c>
      <c r="DD118" s="165" t="s">
        <v>2441</v>
      </c>
      <c r="DE118" s="166">
        <v>5450</v>
      </c>
      <c r="DF118" s="528">
        <f t="shared" si="100"/>
        <v>5450</v>
      </c>
      <c r="DG118" s="523"/>
      <c r="DH118" s="530">
        <f t="shared" ref="DH118:DH148" si="118">IF(DG118="",DF118,
IF(AND($DE$10&gt;=VLOOKUP(DG118,$DD$5:$DH$9,2,0),$DE$10&lt;=VLOOKUP(DG118,$DD$5:$DH$9,3,0)),
(DF118*(1-VLOOKUP(DG118,$DD$5:$DH$9,4,0))),
DF118))</f>
        <v>5450</v>
      </c>
      <c r="DP118" s="162" t="s">
        <v>2402</v>
      </c>
      <c r="DQ118" s="163">
        <v>0</v>
      </c>
      <c r="DR118" s="528">
        <f t="shared" si="112"/>
        <v>0</v>
      </c>
      <c r="DS118" s="529"/>
      <c r="DT118" s="530">
        <f t="shared" si="97"/>
        <v>0</v>
      </c>
      <c r="DU118" s="166"/>
      <c r="DV118" s="799" t="s">
        <v>4399</v>
      </c>
      <c r="DW118" s="726">
        <v>70</v>
      </c>
      <c r="DX118" s="804">
        <f t="shared" si="109"/>
        <v>70</v>
      </c>
      <c r="DY118" s="523"/>
      <c r="DZ118" s="524">
        <f t="shared" si="110"/>
        <v>70</v>
      </c>
      <c r="EG118" s="165"/>
      <c r="EH118" s="739" t="s">
        <v>3457</v>
      </c>
      <c r="EI118" s="164">
        <v>1420</v>
      </c>
      <c r="EJ118" s="531">
        <f t="shared" si="117"/>
        <v>1420</v>
      </c>
      <c r="EK118" s="526"/>
      <c r="EL118" s="527">
        <f t="shared" si="104"/>
        <v>1420</v>
      </c>
    </row>
    <row r="119" spans="2:142">
      <c r="B119" s="30"/>
      <c r="C119" s="745" t="s">
        <v>3161</v>
      </c>
      <c r="D119" s="415" t="s">
        <v>728</v>
      </c>
      <c r="E119" s="29"/>
      <c r="L119" s="58" t="s">
        <v>2500</v>
      </c>
      <c r="M119" s="48" t="s">
        <v>2496</v>
      </c>
      <c r="N119" s="94" t="s">
        <v>2094</v>
      </c>
      <c r="O119" s="423" t="s">
        <v>728</v>
      </c>
      <c r="Q119" s="58" t="s">
        <v>2500</v>
      </c>
      <c r="R119" s="98" t="s">
        <v>195</v>
      </c>
      <c r="S119" s="94" t="s">
        <v>139</v>
      </c>
      <c r="U119" s="764" t="s">
        <v>4890</v>
      </c>
      <c r="V119" s="151" t="s">
        <v>1735</v>
      </c>
      <c r="W119" s="159" t="s">
        <v>2229</v>
      </c>
      <c r="AK119" s="778" t="s">
        <v>6126</v>
      </c>
      <c r="AL119" s="152" t="s">
        <v>6092</v>
      </c>
      <c r="AM119" s="761" t="s">
        <v>6128</v>
      </c>
      <c r="AO119" s="778" t="s">
        <v>4881</v>
      </c>
      <c r="AP119" s="152" t="s">
        <v>177</v>
      </c>
      <c r="AQ119" s="586" t="s">
        <v>2324</v>
      </c>
      <c r="AU119" s="231" t="s">
        <v>610</v>
      </c>
      <c r="AV119" s="101" t="s">
        <v>196</v>
      </c>
      <c r="AW119" s="135" t="str">
        <f t="shared" si="93"/>
        <v>ДП ЛАДА-КОНЦЕПТ.2/0</v>
      </c>
      <c r="AY119" s="224" t="s">
        <v>2427</v>
      </c>
      <c r="AZ119" s="62" t="s">
        <v>1720</v>
      </c>
      <c r="BA119" s="139" t="str">
        <f t="shared" si="94"/>
        <v>ДП Ідея.6/6.купе</v>
      </c>
      <c r="BK119" s="250" t="s">
        <v>643</v>
      </c>
      <c r="BL119" s="137"/>
      <c r="BM119" s="138" t="str">
        <f t="shared" si="116"/>
        <v>ДП ПОЛЛО.</v>
      </c>
      <c r="BS119" s="58" t="s">
        <v>1340</v>
      </c>
      <c r="BT119" s="56" t="s">
        <v>4086</v>
      </c>
      <c r="BU119" s="541" t="str">
        <f t="shared" si="115"/>
        <v>ДП ЛАДА B.2/0.Масив</v>
      </c>
      <c r="BW119" s="162" t="s">
        <v>2424</v>
      </c>
      <c r="BX119" s="246" t="s">
        <v>458</v>
      </c>
      <c r="BY119" s="135" t="str">
        <f t="shared" si="101"/>
        <v>ДП Ідея.4/3.Сатин</v>
      </c>
      <c r="CA119" s="742" t="s">
        <v>3208</v>
      </c>
      <c r="CB119" s="783" t="s">
        <v>5748</v>
      </c>
      <c r="CC119" s="138" t="str">
        <f t="shared" ref="CC119:CC124" si="119">CONCATENATE(CA119,".",CB119)</f>
        <v>ДП Геометрія.фальц.робоча.Stand цл Лів +2завіс</v>
      </c>
      <c r="CE119" s="147" t="s">
        <v>3275</v>
      </c>
      <c r="CF119" s="62" t="s">
        <v>739</v>
      </c>
      <c r="CG119" s="139" t="str">
        <f t="shared" si="111"/>
        <v>ДП ЛАДА D.б/з фальц..робоча..ВП</v>
      </c>
      <c r="CI119" s="764" t="s">
        <v>6167</v>
      </c>
      <c r="CJ119" s="137" t="s">
        <v>4827</v>
      </c>
      <c r="CK119" s="138" t="str">
        <f t="shared" ref="CK119:CK124" si="120">CONCATENATE(CI119,".",CJ119)</f>
        <v>Пл Magnet (чор.) б/з завіс..Ліва</v>
      </c>
      <c r="CM119" s="86" t="s">
        <v>3280</v>
      </c>
      <c r="CN119" s="56" t="s">
        <v>841</v>
      </c>
      <c r="CO119" s="70" t="str">
        <f t="shared" si="114"/>
        <v>ДП Ніка.купе..робоча..Verto-FIT</v>
      </c>
      <c r="CW119" s="121"/>
      <c r="CY119" s="146" t="s">
        <v>4347</v>
      </c>
      <c r="CZ119" s="137" t="s">
        <v>4414</v>
      </c>
      <c r="DA119" s="138" t="s">
        <v>858</v>
      </c>
      <c r="DD119" s="165" t="s">
        <v>2442</v>
      </c>
      <c r="DE119" s="166">
        <v>5450</v>
      </c>
      <c r="DF119" s="528">
        <f t="shared" si="100"/>
        <v>5450</v>
      </c>
      <c r="DG119" s="523"/>
      <c r="DH119" s="530">
        <f t="shared" si="118"/>
        <v>5450</v>
      </c>
      <c r="DP119" s="165" t="s">
        <v>2403</v>
      </c>
      <c r="DQ119" s="166">
        <v>340</v>
      </c>
      <c r="DR119" s="522">
        <f>ROUND(((DQ119-(DQ119/6))/$DD$3)*$DE$3,2)</f>
        <v>340</v>
      </c>
      <c r="DS119" s="523"/>
      <c r="DT119" s="524">
        <f>IF(DS119="",DR119,
IF(AND($DQ$10&gt;=VLOOKUP(DS119,$DP$5:$DT$9,2,0),$DQ$10&lt;=VLOOKUP(DS119,$DP$5:$DT$9,3,0)),
(DR119*(1-VLOOKUP(DS119,$DP$5:$DT$9,4,0))),
DR119))</f>
        <v>340</v>
      </c>
      <c r="DU119" s="166"/>
      <c r="DV119" s="799" t="s">
        <v>4400</v>
      </c>
      <c r="DW119" s="726">
        <v>70</v>
      </c>
      <c r="DX119" s="804">
        <f t="shared" si="109"/>
        <v>70</v>
      </c>
      <c r="DY119" s="523"/>
      <c r="DZ119" s="524">
        <f t="shared" si="110"/>
        <v>70</v>
      </c>
      <c r="EG119" s="165"/>
      <c r="EH119" s="738" t="s">
        <v>3458</v>
      </c>
      <c r="EI119" s="166">
        <v>0</v>
      </c>
      <c r="EJ119" s="522">
        <f>ROUND(((EI119-(EI119/6))/$DD$3)*$DE$3,2)</f>
        <v>0</v>
      </c>
      <c r="EK119" s="523"/>
      <c r="EL119" s="524">
        <f>IF(EK119="",EJ119,
IF(AND($EI$10&gt;=VLOOKUP(EK119,$EH$5:$EL$9,2,0),$EI$10&lt;=VLOOKUP(EK119,$EH$5:$EL$9,3,0)),
(EJ119*(1-VLOOKUP(EK119,$EH$5:$EL$9,4,0))),
EJ119))</f>
        <v>0</v>
      </c>
    </row>
    <row r="120" spans="2:142">
      <c r="B120" s="30"/>
      <c r="C120" s="745" t="s">
        <v>3162</v>
      </c>
      <c r="D120" s="415" t="s">
        <v>728</v>
      </c>
      <c r="E120" s="29"/>
      <c r="L120" s="58" t="s">
        <v>2501</v>
      </c>
      <c r="M120" s="48" t="s">
        <v>2496</v>
      </c>
      <c r="N120" s="94" t="s">
        <v>2094</v>
      </c>
      <c r="O120" s="423" t="s">
        <v>728</v>
      </c>
      <c r="Q120" s="58" t="s">
        <v>2501</v>
      </c>
      <c r="R120" s="98" t="s">
        <v>531</v>
      </c>
      <c r="S120" s="94" t="s">
        <v>1014</v>
      </c>
      <c r="U120" s="764" t="s">
        <v>4891</v>
      </c>
      <c r="V120" s="151" t="s">
        <v>1736</v>
      </c>
      <c r="W120" s="159" t="s">
        <v>2230</v>
      </c>
      <c r="AK120" s="777" t="s">
        <v>4396</v>
      </c>
      <c r="AL120" s="151" t="s">
        <v>1771</v>
      </c>
      <c r="AM120" s="760" t="s">
        <v>5459</v>
      </c>
      <c r="AO120" s="777" t="s">
        <v>4852</v>
      </c>
      <c r="AP120" s="151" t="s">
        <v>5495</v>
      </c>
      <c r="AQ120" s="584" t="s">
        <v>2321</v>
      </c>
      <c r="AU120" s="234" t="s">
        <v>610</v>
      </c>
      <c r="AV120" s="148" t="s">
        <v>198</v>
      </c>
      <c r="AW120" s="138" t="str">
        <f t="shared" si="93"/>
        <v>ДП ЛАДА-КОНЦЕПТ.2/2</v>
      </c>
      <c r="AY120" s="234" t="s">
        <v>2428</v>
      </c>
      <c r="AZ120" s="137" t="s">
        <v>1719</v>
      </c>
      <c r="BA120" s="138" t="str">
        <f t="shared" si="94"/>
        <v>ДП Ідея.7/0.фальц</v>
      </c>
      <c r="BK120" s="250" t="s">
        <v>643</v>
      </c>
      <c r="BL120" s="137" t="s">
        <v>1894</v>
      </c>
      <c r="BM120" s="138" t="str">
        <f>CONCATENATE(BK120,".",BL120)</f>
        <v>ДП ПОЛЛО.Uni-Mat.</v>
      </c>
      <c r="BS120" s="58" t="s">
        <v>1341</v>
      </c>
      <c r="BT120" s="56" t="s">
        <v>4086</v>
      </c>
      <c r="BU120" s="541" t="str">
        <f t="shared" si="115"/>
        <v>ДП ЛАДА B.2/1.Масив</v>
      </c>
      <c r="BW120" s="165" t="s">
        <v>2424</v>
      </c>
      <c r="BX120" s="770" t="s">
        <v>4203</v>
      </c>
      <c r="BY120" s="138" t="str">
        <f t="shared" si="101"/>
        <v>ДП Ідея.4/3.Жалюзі</v>
      </c>
      <c r="CA120" s="742" t="s">
        <v>3208</v>
      </c>
      <c r="CB120" s="783" t="s">
        <v>5749</v>
      </c>
      <c r="CC120" s="138" t="str">
        <f t="shared" si="119"/>
        <v>ДП Геометрія.фальц.робоча.Stand цл Пр +2завіс</v>
      </c>
      <c r="CE120" s="742" t="s">
        <v>3276</v>
      </c>
      <c r="CF120" s="137"/>
      <c r="CG120" s="138" t="str">
        <f t="shared" si="111"/>
        <v>ДП ЛАДА D.купе..робоча..</v>
      </c>
      <c r="CI120" s="765" t="s">
        <v>6167</v>
      </c>
      <c r="CJ120" s="62" t="s">
        <v>4857</v>
      </c>
      <c r="CK120" s="139" t="str">
        <f t="shared" si="120"/>
        <v>Пл Magnet (чор.) б/з завіс..Права</v>
      </c>
      <c r="CM120" s="432"/>
      <c r="CN120" s="427"/>
      <c r="CO120" s="428"/>
      <c r="CW120" s="121"/>
      <c r="CY120" s="146" t="s">
        <v>6209</v>
      </c>
      <c r="CZ120" s="137" t="s">
        <v>6212</v>
      </c>
      <c r="DA120" s="138" t="s">
        <v>858</v>
      </c>
      <c r="DD120" s="165" t="s">
        <v>2443</v>
      </c>
      <c r="DE120" s="166">
        <v>4170</v>
      </c>
      <c r="DF120" s="528">
        <f t="shared" si="100"/>
        <v>4170</v>
      </c>
      <c r="DG120" s="523"/>
      <c r="DH120" s="530">
        <f t="shared" si="118"/>
        <v>4170</v>
      </c>
      <c r="DP120" s="738" t="s">
        <v>4208</v>
      </c>
      <c r="DQ120" s="166">
        <v>340</v>
      </c>
      <c r="DR120" s="522">
        <f>ROUND(((DQ120-(DQ120/6))/$DD$3)*$DE$3,2)</f>
        <v>340</v>
      </c>
      <c r="DS120" s="523"/>
      <c r="DT120" s="524">
        <f>IF(DS120="",DR120,
IF(AND($DQ$10&gt;=VLOOKUP(DS120,$DP$5:$DT$9,2,0),$DQ$10&lt;=VLOOKUP(DS120,$DP$5:$DT$9,3,0)),
(DR120*(1-VLOOKUP(DS120,$DP$5:$DT$9,4,0))),
DR120))</f>
        <v>340</v>
      </c>
      <c r="DU120" s="166"/>
      <c r="DV120" s="799" t="s">
        <v>4402</v>
      </c>
      <c r="DW120" s="726">
        <v>560</v>
      </c>
      <c r="DX120" s="804">
        <f t="shared" si="109"/>
        <v>560</v>
      </c>
      <c r="DY120" s="523"/>
      <c r="DZ120" s="524">
        <f t="shared" si="110"/>
        <v>560</v>
      </c>
      <c r="EG120" s="165"/>
      <c r="EH120" s="739" t="s">
        <v>3459</v>
      </c>
      <c r="EI120" s="164">
        <v>1420</v>
      </c>
      <c r="EJ120" s="531">
        <f>ROUND(((EI120-(EI120/6))/$DD$3)*$DE$3,2)</f>
        <v>1420</v>
      </c>
      <c r="EK120" s="526"/>
      <c r="EL120" s="527">
        <f>IF(EK120="",EJ120,
IF(AND($EI$10&gt;=VLOOKUP(EK120,$EH$5:$EL$9,2,0),$EI$10&lt;=VLOOKUP(EK120,$EH$5:$EL$9,3,0)),
(EJ120*(1-VLOOKUP(EK120,$EH$5:$EL$9,4,0))),
EJ120))</f>
        <v>1420</v>
      </c>
    </row>
    <row r="121" spans="2:142">
      <c r="B121" s="30"/>
      <c r="C121" s="745" t="s">
        <v>3163</v>
      </c>
      <c r="D121" s="415" t="s">
        <v>728</v>
      </c>
      <c r="E121" s="29"/>
      <c r="L121" s="58" t="s">
        <v>2502</v>
      </c>
      <c r="M121" s="48" t="s">
        <v>2496</v>
      </c>
      <c r="N121" s="94" t="s">
        <v>2094</v>
      </c>
      <c r="O121" s="423" t="s">
        <v>728</v>
      </c>
      <c r="Q121" s="58" t="s">
        <v>2502</v>
      </c>
      <c r="R121" s="98" t="s">
        <v>1314</v>
      </c>
      <c r="S121" s="94" t="s">
        <v>1315</v>
      </c>
      <c r="U121" s="764" t="s">
        <v>4892</v>
      </c>
      <c r="V121" s="151" t="s">
        <v>1738</v>
      </c>
      <c r="W121" s="159" t="s">
        <v>2231</v>
      </c>
      <c r="AK121" s="778" t="s">
        <v>4398</v>
      </c>
      <c r="AL121" s="152" t="s">
        <v>1772</v>
      </c>
      <c r="AM121" s="761" t="s">
        <v>5460</v>
      </c>
      <c r="AO121" s="778" t="s">
        <v>4882</v>
      </c>
      <c r="AP121" s="152" t="s">
        <v>177</v>
      </c>
      <c r="AQ121" s="586" t="s">
        <v>2324</v>
      </c>
      <c r="AU121" s="234" t="s">
        <v>610</v>
      </c>
      <c r="AV121" s="148" t="s">
        <v>185</v>
      </c>
      <c r="AW121" s="138" t="str">
        <f t="shared" si="93"/>
        <v>ДП ЛАДА-КОНЦЕПТ.3/0</v>
      </c>
      <c r="AY121" s="234" t="s">
        <v>2428</v>
      </c>
      <c r="AZ121" s="137" t="s">
        <v>1721</v>
      </c>
      <c r="BA121" s="138" t="str">
        <f t="shared" si="94"/>
        <v>ДП Ідея.7/0.б/з фальц</v>
      </c>
      <c r="BK121" s="250" t="s">
        <v>643</v>
      </c>
      <c r="BL121" s="137" t="s">
        <v>557</v>
      </c>
      <c r="BM121" s="138" t="str">
        <f t="shared" si="116"/>
        <v>ДП ПОЛЛО.Резист</v>
      </c>
      <c r="BS121" s="58" t="s">
        <v>1342</v>
      </c>
      <c r="BT121" s="56" t="s">
        <v>4086</v>
      </c>
      <c r="BU121" s="541" t="str">
        <f t="shared" si="115"/>
        <v>ДП ЛАДА B.2/2.Масив</v>
      </c>
      <c r="BW121" s="165" t="s">
        <v>2424</v>
      </c>
      <c r="BX121" s="770" t="s">
        <v>3851</v>
      </c>
      <c r="BY121" s="138" t="str">
        <f>CONCATENATE(BW121,".",BX121)</f>
        <v>ДП Ідея.4/3.Графіт</v>
      </c>
      <c r="CA121" s="742" t="s">
        <v>3208</v>
      </c>
      <c r="CB121" s="783" t="s">
        <v>5750</v>
      </c>
      <c r="CC121" s="138" t="str">
        <f t="shared" si="119"/>
        <v>ДП Геометрія.фальц.робоча.Stand кл Лів +2завіс</v>
      </c>
      <c r="CE121" s="424" t="s">
        <v>3276</v>
      </c>
      <c r="CF121" s="62" t="s">
        <v>4261</v>
      </c>
      <c r="CG121" s="139" t="str">
        <f t="shared" si="111"/>
        <v>ДП ЛАДА D.купе..робоча..ВВ</v>
      </c>
      <c r="CI121" s="146" t="s">
        <v>6212</v>
      </c>
      <c r="CJ121" s="137" t="s">
        <v>4827</v>
      </c>
      <c r="CK121" s="138" t="str">
        <f t="shared" si="120"/>
        <v>Пл Magnet (чор.) +2завіс 3D(чор.).Ліва</v>
      </c>
      <c r="CM121" s="742" t="s">
        <v>3281</v>
      </c>
      <c r="CN121" s="137" t="s">
        <v>975</v>
      </c>
      <c r="CO121" s="138" t="str">
        <f t="shared" ref="CO121:CO127" si="121">CONCATENATE(CM121,".",CN121)</f>
        <v>ДП Ліса.фальц..робоча..Standard-MDF</v>
      </c>
      <c r="CW121" s="121"/>
      <c r="CY121" s="146" t="s">
        <v>6210</v>
      </c>
      <c r="CZ121" s="137" t="s">
        <v>6212</v>
      </c>
      <c r="DA121" s="138" t="s">
        <v>858</v>
      </c>
      <c r="DD121" s="108" t="s">
        <v>2444</v>
      </c>
      <c r="DE121" s="166">
        <v>4170</v>
      </c>
      <c r="DF121" s="528">
        <f t="shared" si="100"/>
        <v>4170</v>
      </c>
      <c r="DG121" s="526"/>
      <c r="DH121" s="530">
        <f t="shared" si="118"/>
        <v>4170</v>
      </c>
      <c r="DP121" s="738" t="s">
        <v>3873</v>
      </c>
      <c r="DQ121" s="166">
        <v>550</v>
      </c>
      <c r="DR121" s="522">
        <f t="shared" si="112"/>
        <v>550</v>
      </c>
      <c r="DS121" s="523"/>
      <c r="DT121" s="524">
        <f t="shared" si="97"/>
        <v>550</v>
      </c>
      <c r="DU121" s="166"/>
      <c r="DV121" s="799" t="s">
        <v>4404</v>
      </c>
      <c r="DW121" s="726">
        <v>560</v>
      </c>
      <c r="DX121" s="804">
        <f t="shared" si="109"/>
        <v>560</v>
      </c>
      <c r="DY121" s="523"/>
      <c r="DZ121" s="524">
        <f t="shared" si="110"/>
        <v>560</v>
      </c>
      <c r="EG121" s="165"/>
      <c r="EH121" s="738" t="s">
        <v>3460</v>
      </c>
      <c r="EI121" s="166">
        <v>0</v>
      </c>
      <c r="EJ121" s="522">
        <f>ROUND(((EI121-(EI121/6))/$DD$3)*$DE$3,2)</f>
        <v>0</v>
      </c>
      <c r="EK121" s="523"/>
      <c r="EL121" s="524">
        <f>IF(EK121="",EJ121,
IF(AND($EI$10&gt;=VLOOKUP(EK121,$EH$5:$EL$9,2,0),$EI$10&lt;=VLOOKUP(EK121,$EH$5:$EL$9,3,0)),
(EJ121*(1-VLOOKUP(EK121,$EH$5:$EL$9,4,0))),
EJ121))</f>
        <v>0</v>
      </c>
    </row>
    <row r="122" spans="2:142">
      <c r="B122" s="30"/>
      <c r="C122" s="745" t="s">
        <v>3164</v>
      </c>
      <c r="D122" s="415" t="s">
        <v>728</v>
      </c>
      <c r="E122" s="29"/>
      <c r="L122" s="58" t="s">
        <v>2503</v>
      </c>
      <c r="M122" s="48" t="s">
        <v>2496</v>
      </c>
      <c r="N122" s="94" t="s">
        <v>2094</v>
      </c>
      <c r="O122" s="423" t="s">
        <v>728</v>
      </c>
      <c r="Q122" s="58" t="s">
        <v>2503</v>
      </c>
      <c r="R122" s="98" t="s">
        <v>1388</v>
      </c>
      <c r="S122" s="94" t="s">
        <v>1393</v>
      </c>
      <c r="U122" s="764" t="s">
        <v>4893</v>
      </c>
      <c r="V122" s="151" t="s">
        <v>1740</v>
      </c>
      <c r="W122" s="435" t="s">
        <v>5443</v>
      </c>
      <c r="AK122" s="777" t="s">
        <v>6134</v>
      </c>
      <c r="AL122" s="151" t="s">
        <v>1771</v>
      </c>
      <c r="AM122" s="760" t="s">
        <v>6136</v>
      </c>
      <c r="AO122" s="777" t="s">
        <v>6195</v>
      </c>
      <c r="AP122" s="151" t="s">
        <v>5495</v>
      </c>
      <c r="AQ122" s="584" t="s">
        <v>2321</v>
      </c>
      <c r="AU122" s="136" t="s">
        <v>610</v>
      </c>
      <c r="AV122" s="148" t="s">
        <v>200</v>
      </c>
      <c r="AW122" s="138" t="str">
        <f t="shared" si="93"/>
        <v>ДП ЛАДА-КОНЦЕПТ.3/3</v>
      </c>
      <c r="AY122" s="224" t="s">
        <v>2428</v>
      </c>
      <c r="AZ122" s="62" t="s">
        <v>1720</v>
      </c>
      <c r="BA122" s="139" t="str">
        <f t="shared" si="94"/>
        <v>ДП Ідея.7/0.купе</v>
      </c>
      <c r="BK122" s="250" t="s">
        <v>643</v>
      </c>
      <c r="BL122" s="137" t="s">
        <v>62</v>
      </c>
      <c r="BM122" s="138" t="str">
        <f t="shared" si="116"/>
        <v>ДП ПОЛЛО.LINE-3D</v>
      </c>
      <c r="BS122" s="58" t="s">
        <v>1345</v>
      </c>
      <c r="BT122" s="56" t="s">
        <v>4086</v>
      </c>
      <c r="BU122" s="541" t="str">
        <f t="shared" si="115"/>
        <v>ДП ЛАДА B.3/0.Масив</v>
      </c>
      <c r="BW122" s="108" t="s">
        <v>2424</v>
      </c>
      <c r="BX122" s="248" t="s">
        <v>832</v>
      </c>
      <c r="BY122" s="139" t="str">
        <f>CONCATENATE(BW122,".",BX122)</f>
        <v>ДП Ідея.4/3.Бронза</v>
      </c>
      <c r="CA122" s="742" t="s">
        <v>3208</v>
      </c>
      <c r="CB122" s="783" t="s">
        <v>5751</v>
      </c>
      <c r="CC122" s="138" t="str">
        <f t="shared" si="119"/>
        <v>ДП Геометрія.фальц.робоча.Stand кл Пр +2завіс</v>
      </c>
      <c r="CE122" s="228"/>
      <c r="CF122" s="222"/>
      <c r="CG122" s="223"/>
      <c r="CI122" s="147" t="s">
        <v>6212</v>
      </c>
      <c r="CJ122" s="62" t="s">
        <v>4857</v>
      </c>
      <c r="CK122" s="139" t="str">
        <f t="shared" si="120"/>
        <v>Пл Magnet (чор.) +2завіс 3D(чор.).Права</v>
      </c>
      <c r="CM122" s="742" t="s">
        <v>3281</v>
      </c>
      <c r="CN122" s="137" t="s">
        <v>840</v>
      </c>
      <c r="CO122" s="138" t="str">
        <f t="shared" si="121"/>
        <v>ДП Ліса.фальц..робоча..Standard</v>
      </c>
      <c r="CW122" s="121"/>
      <c r="CY122" s="146" t="s">
        <v>4349</v>
      </c>
      <c r="CZ122" s="137" t="s">
        <v>4417</v>
      </c>
      <c r="DA122" s="138" t="s">
        <v>858</v>
      </c>
      <c r="DD122" s="165" t="s">
        <v>2445</v>
      </c>
      <c r="DE122" s="166">
        <v>2860</v>
      </c>
      <c r="DF122" s="528">
        <f t="shared" si="100"/>
        <v>2860</v>
      </c>
      <c r="DG122" s="523"/>
      <c r="DH122" s="530">
        <f t="shared" si="118"/>
        <v>2860</v>
      </c>
      <c r="DP122" s="108" t="s">
        <v>2404</v>
      </c>
      <c r="DQ122" s="166">
        <v>550</v>
      </c>
      <c r="DR122" s="525">
        <f t="shared" si="112"/>
        <v>550</v>
      </c>
      <c r="DS122" s="526"/>
      <c r="DT122" s="527">
        <f t="shared" si="97"/>
        <v>550</v>
      </c>
      <c r="DU122" s="166"/>
      <c r="DV122" s="799" t="s">
        <v>4406</v>
      </c>
      <c r="DW122" s="726">
        <v>780</v>
      </c>
      <c r="DX122" s="804">
        <f t="shared" si="109"/>
        <v>780</v>
      </c>
      <c r="DY122" s="523"/>
      <c r="DZ122" s="524">
        <f t="shared" si="110"/>
        <v>780</v>
      </c>
      <c r="EG122" s="165"/>
      <c r="EH122" s="739" t="s">
        <v>3461</v>
      </c>
      <c r="EI122" s="164">
        <v>1630</v>
      </c>
      <c r="EJ122" s="531">
        <f>ROUND(((EI122-(EI122/6))/$DD$3)*$DE$3,2)</f>
        <v>1630</v>
      </c>
      <c r="EK122" s="526"/>
      <c r="EL122" s="527">
        <f>IF(EK122="",EJ122,
IF(AND($EI$10&gt;=VLOOKUP(EK122,$EH$5:$EL$9,2,0),$EI$10&lt;=VLOOKUP(EK122,$EH$5:$EL$9,3,0)),
(EJ122*(1-VLOOKUP(EK122,$EH$5:$EL$9,4,0))),
EJ122))</f>
        <v>1630</v>
      </c>
    </row>
    <row r="123" spans="2:142">
      <c r="B123" s="30"/>
      <c r="C123" s="745" t="s">
        <v>3165</v>
      </c>
      <c r="D123" s="415" t="s">
        <v>728</v>
      </c>
      <c r="E123" s="29"/>
      <c r="L123" s="58" t="s">
        <v>2504</v>
      </c>
      <c r="M123" s="48" t="s">
        <v>2496</v>
      </c>
      <c r="N123" s="94" t="s">
        <v>2094</v>
      </c>
      <c r="O123" s="423" t="s">
        <v>728</v>
      </c>
      <c r="Q123" s="58" t="s">
        <v>2504</v>
      </c>
      <c r="R123" s="98" t="s">
        <v>1389</v>
      </c>
      <c r="S123" s="94" t="s">
        <v>1394</v>
      </c>
      <c r="U123" s="764" t="s">
        <v>4894</v>
      </c>
      <c r="V123" s="151" t="s">
        <v>1741</v>
      </c>
      <c r="W123" s="435" t="s">
        <v>5444</v>
      </c>
      <c r="AK123" s="778" t="s">
        <v>6135</v>
      </c>
      <c r="AL123" s="152" t="s">
        <v>1772</v>
      </c>
      <c r="AM123" s="761" t="s">
        <v>6137</v>
      </c>
      <c r="AO123" s="778" t="s">
        <v>6196</v>
      </c>
      <c r="AP123" s="152" t="s">
        <v>177</v>
      </c>
      <c r="AQ123" s="586" t="s">
        <v>2324</v>
      </c>
      <c r="AU123" s="136" t="s">
        <v>610</v>
      </c>
      <c r="AV123" s="148" t="s">
        <v>187</v>
      </c>
      <c r="AW123" s="138" t="str">
        <f t="shared" si="93"/>
        <v>ДП ЛАДА-КОНЦЕПТ.4/0</v>
      </c>
      <c r="AY123" s="234" t="s">
        <v>2429</v>
      </c>
      <c r="AZ123" s="137" t="s">
        <v>1719</v>
      </c>
      <c r="BA123" s="138" t="str">
        <f>CONCATENATE(AY123,".",AZ123)</f>
        <v>ДП Ідея.7/1.фальц</v>
      </c>
      <c r="BK123" s="249" t="s">
        <v>643</v>
      </c>
      <c r="BL123" s="62" t="s">
        <v>5071</v>
      </c>
      <c r="BM123" s="139" t="str">
        <f>CONCATENATE(BK123,".",BL123)</f>
        <v>ДП ПОЛЛО.Е-шпон</v>
      </c>
      <c r="BS123" s="58" t="s">
        <v>1346</v>
      </c>
      <c r="BT123" s="56" t="s">
        <v>4086</v>
      </c>
      <c r="BU123" s="541" t="str">
        <f t="shared" si="115"/>
        <v>ДП ЛАДА B.3/1.Масив</v>
      </c>
      <c r="BW123" s="162" t="s">
        <v>2425</v>
      </c>
      <c r="BX123" s="246" t="s">
        <v>458</v>
      </c>
      <c r="BY123" s="135" t="str">
        <f t="shared" si="101"/>
        <v>ДП Ідея.4/4.Сатин</v>
      </c>
      <c r="CA123" s="742" t="s">
        <v>3208</v>
      </c>
      <c r="CB123" s="783" t="s">
        <v>5752</v>
      </c>
      <c r="CC123" s="138" t="str">
        <f t="shared" si="119"/>
        <v>ДП Геометрія.фальц.робоча.Stand ст Лів +2завіс</v>
      </c>
      <c r="CE123" s="145" t="s">
        <v>3277</v>
      </c>
      <c r="CF123" s="137"/>
      <c r="CG123" s="138" t="str">
        <f t="shared" ref="CG123:CG133" si="122">CONCATENATE(CE123,".",CF123)</f>
        <v>ДП Ніка.фальц..робоча..</v>
      </c>
      <c r="CI123" s="146" t="s">
        <v>6170</v>
      </c>
      <c r="CJ123" s="137" t="s">
        <v>4827</v>
      </c>
      <c r="CK123" s="138" t="str">
        <f t="shared" si="120"/>
        <v>Пл Magnet (чор.) +3завіс 3D(чор.).Ліва</v>
      </c>
      <c r="CM123" s="742" t="s">
        <v>3281</v>
      </c>
      <c r="CN123" s="137" t="s">
        <v>841</v>
      </c>
      <c r="CO123" s="138" t="str">
        <f t="shared" si="121"/>
        <v>ДП Ліса.фальц..робоча..Verto-FIT</v>
      </c>
      <c r="CW123" s="121"/>
      <c r="CY123" s="147" t="s">
        <v>4350</v>
      </c>
      <c r="CZ123" s="62" t="s">
        <v>4417</v>
      </c>
      <c r="DA123" s="139" t="s">
        <v>858</v>
      </c>
      <c r="DD123" s="165" t="s">
        <v>2446</v>
      </c>
      <c r="DE123" s="166">
        <v>5510</v>
      </c>
      <c r="DF123" s="528">
        <f>ROUND(((DE123-(DE123/6))/$DD$3)*$DE$3,2)</f>
        <v>5510</v>
      </c>
      <c r="DG123" s="523"/>
      <c r="DH123" s="530">
        <f t="shared" si="118"/>
        <v>5510</v>
      </c>
      <c r="DP123" s="256"/>
      <c r="DQ123" s="257"/>
      <c r="DR123" s="517"/>
      <c r="DS123" s="532"/>
      <c r="DT123" s="259"/>
      <c r="DU123" s="166"/>
      <c r="DV123" s="805" t="s">
        <v>4408</v>
      </c>
      <c r="DW123" s="727">
        <v>780</v>
      </c>
      <c r="DX123" s="806">
        <f t="shared" si="109"/>
        <v>780</v>
      </c>
      <c r="DY123" s="526"/>
      <c r="DZ123" s="527">
        <f t="shared" si="110"/>
        <v>780</v>
      </c>
      <c r="EG123" s="165"/>
      <c r="EH123" s="738" t="s">
        <v>3462</v>
      </c>
      <c r="EI123" s="166">
        <v>0</v>
      </c>
      <c r="EJ123" s="522">
        <f t="shared" si="117"/>
        <v>0</v>
      </c>
      <c r="EK123" s="523"/>
      <c r="EL123" s="524">
        <f t="shared" si="104"/>
        <v>0</v>
      </c>
    </row>
    <row r="124" spans="2:142">
      <c r="B124" s="30"/>
      <c r="C124" s="745" t="s">
        <v>3166</v>
      </c>
      <c r="D124" s="415" t="s">
        <v>728</v>
      </c>
      <c r="E124" s="29"/>
      <c r="L124" s="58" t="s">
        <v>2505</v>
      </c>
      <c r="M124" s="48" t="s">
        <v>2496</v>
      </c>
      <c r="N124" s="94" t="s">
        <v>2094</v>
      </c>
      <c r="O124" s="423" t="s">
        <v>728</v>
      </c>
      <c r="Q124" s="58" t="s">
        <v>2505</v>
      </c>
      <c r="R124" s="98" t="s">
        <v>1390</v>
      </c>
      <c r="S124" s="94" t="s">
        <v>1395</v>
      </c>
      <c r="U124" s="764" t="s">
        <v>4895</v>
      </c>
      <c r="V124" s="151" t="s">
        <v>1742</v>
      </c>
      <c r="W124" s="435" t="s">
        <v>5445</v>
      </c>
      <c r="AK124" s="591"/>
      <c r="AL124" s="475"/>
      <c r="AM124" s="592"/>
      <c r="AO124" s="591"/>
      <c r="AP124" s="475"/>
      <c r="AQ124" s="592"/>
      <c r="AU124" s="136" t="s">
        <v>610</v>
      </c>
      <c r="AV124" s="148" t="s">
        <v>202</v>
      </c>
      <c r="AW124" s="138" t="str">
        <f t="shared" si="93"/>
        <v>ДП ЛАДА-КОНЦЕПТ.4/4</v>
      </c>
      <c r="AY124" s="234" t="s">
        <v>2429</v>
      </c>
      <c r="AZ124" s="137" t="s">
        <v>1721</v>
      </c>
      <c r="BA124" s="138" t="str">
        <f>CONCATENATE(AY124,".",AZ124)</f>
        <v>ДП Ідея.7/1.б/з фальц</v>
      </c>
      <c r="BK124" s="426"/>
      <c r="BL124" s="427"/>
      <c r="BM124" s="428"/>
      <c r="BS124" s="58" t="s">
        <v>1347</v>
      </c>
      <c r="BT124" s="56" t="s">
        <v>4086</v>
      </c>
      <c r="BU124" s="541" t="str">
        <f t="shared" si="115"/>
        <v>ДП ЛАДА B.3/2.Масив</v>
      </c>
      <c r="BW124" s="165" t="s">
        <v>2425</v>
      </c>
      <c r="BX124" s="770" t="s">
        <v>4203</v>
      </c>
      <c r="BY124" s="138" t="str">
        <f t="shared" si="101"/>
        <v>ДП Ідея.4/4.Жалюзі</v>
      </c>
      <c r="CA124" s="742" t="s">
        <v>3208</v>
      </c>
      <c r="CB124" s="783" t="s">
        <v>5753</v>
      </c>
      <c r="CC124" s="138" t="str">
        <f t="shared" si="119"/>
        <v>ДП Геометрія.фальц.робоча.Stand ст Пр +2завіс</v>
      </c>
      <c r="CE124" s="146" t="s">
        <v>3277</v>
      </c>
      <c r="CF124" s="137" t="s">
        <v>4261</v>
      </c>
      <c r="CG124" s="138" t="str">
        <f t="shared" si="122"/>
        <v>ДП Ніка.фальц..робоча..ВВ</v>
      </c>
      <c r="CI124" s="147" t="s">
        <v>6170</v>
      </c>
      <c r="CJ124" s="62" t="s">
        <v>4857</v>
      </c>
      <c r="CK124" s="139" t="str">
        <f t="shared" si="120"/>
        <v>Пл Magnet (чор.) +3завіс 3D(чор.).Права</v>
      </c>
      <c r="CM124" s="424" t="s">
        <v>3281</v>
      </c>
      <c r="CN124" s="62" t="s">
        <v>371</v>
      </c>
      <c r="CO124" s="139" t="str">
        <f t="shared" si="121"/>
        <v>ДП Ліса.фальц..робоча..Verto-FIT Plus</v>
      </c>
      <c r="CY124" s="146" t="s">
        <v>6213</v>
      </c>
      <c r="CZ124" s="137" t="s">
        <v>6170</v>
      </c>
      <c r="DA124" s="138" t="s">
        <v>858</v>
      </c>
      <c r="DD124" s="165" t="s">
        <v>2447</v>
      </c>
      <c r="DE124" s="166">
        <v>5510</v>
      </c>
      <c r="DF124" s="528">
        <f t="shared" si="100"/>
        <v>5510</v>
      </c>
      <c r="DG124" s="523"/>
      <c r="DH124" s="530">
        <f t="shared" si="118"/>
        <v>5510</v>
      </c>
      <c r="DP124" s="795" t="s">
        <v>4131</v>
      </c>
      <c r="DQ124" s="796">
        <v>0</v>
      </c>
      <c r="DR124" s="403">
        <f t="shared" ref="DR124:DR184" si="123">ROUND(((DQ124-(DQ124/6))/$DD$3)*$DE$3,2)</f>
        <v>0</v>
      </c>
      <c r="DS124" s="514"/>
      <c r="DT124" s="511">
        <f t="shared" si="97"/>
        <v>0</v>
      </c>
      <c r="DU124" s="166"/>
      <c r="DV124" s="802" t="s">
        <v>4411</v>
      </c>
      <c r="DW124" s="728">
        <v>0</v>
      </c>
      <c r="DX124" s="803">
        <f t="shared" si="109"/>
        <v>0</v>
      </c>
      <c r="DY124" s="529"/>
      <c r="DZ124" s="530">
        <f t="shared" si="110"/>
        <v>0</v>
      </c>
      <c r="EG124" s="165"/>
      <c r="EH124" s="739" t="s">
        <v>3463</v>
      </c>
      <c r="EI124" s="164">
        <v>1690</v>
      </c>
      <c r="EJ124" s="531">
        <f t="shared" si="117"/>
        <v>1690</v>
      </c>
      <c r="EK124" s="526"/>
      <c r="EL124" s="527">
        <f t="shared" si="104"/>
        <v>1690</v>
      </c>
    </row>
    <row r="125" spans="2:142">
      <c r="B125" s="30"/>
      <c r="C125" s="745" t="s">
        <v>3167</v>
      </c>
      <c r="D125" s="415" t="s">
        <v>728</v>
      </c>
      <c r="E125" s="29"/>
      <c r="L125" s="58" t="s">
        <v>2506</v>
      </c>
      <c r="M125" s="48" t="s">
        <v>2496</v>
      </c>
      <c r="N125" s="94" t="s">
        <v>2094</v>
      </c>
      <c r="O125" s="423" t="s">
        <v>728</v>
      </c>
      <c r="Q125" s="58" t="s">
        <v>2506</v>
      </c>
      <c r="R125" s="98" t="s">
        <v>1391</v>
      </c>
      <c r="S125" s="94" t="s">
        <v>1396</v>
      </c>
      <c r="U125" s="764" t="s">
        <v>4896</v>
      </c>
      <c r="V125" s="151" t="s">
        <v>1743</v>
      </c>
      <c r="W125" s="435" t="s">
        <v>5446</v>
      </c>
      <c r="AK125" s="777" t="s">
        <v>4401</v>
      </c>
      <c r="AL125" s="151" t="s">
        <v>1782</v>
      </c>
      <c r="AM125" s="584" t="s">
        <v>2300</v>
      </c>
      <c r="AO125" s="583"/>
      <c r="AP125" s="478"/>
      <c r="AQ125" s="584"/>
      <c r="AU125" s="136" t="s">
        <v>610</v>
      </c>
      <c r="AV125" s="148" t="s">
        <v>191</v>
      </c>
      <c r="AW125" s="138" t="str">
        <f t="shared" si="93"/>
        <v>ДП ЛАДА-КОНЦЕПТ.5/1</v>
      </c>
      <c r="AY125" s="224" t="s">
        <v>2429</v>
      </c>
      <c r="AZ125" s="62" t="s">
        <v>1720</v>
      </c>
      <c r="BA125" s="139" t="str">
        <f>CONCATENATE(AY125,".",AZ125)</f>
        <v>ДП Ідея.7/1.купе</v>
      </c>
      <c r="BK125" s="231"/>
      <c r="BL125" s="134"/>
      <c r="BM125" s="135"/>
      <c r="BS125" s="58" t="s">
        <v>1348</v>
      </c>
      <c r="BT125" s="56" t="s">
        <v>4086</v>
      </c>
      <c r="BU125" s="541" t="str">
        <f t="shared" si="115"/>
        <v>ДП ЛАДА B.3/3.Масив</v>
      </c>
      <c r="BW125" s="165" t="s">
        <v>2425</v>
      </c>
      <c r="BX125" s="770" t="s">
        <v>3851</v>
      </c>
      <c r="BY125" s="138" t="str">
        <f>CONCATENATE(BW125,".",BX125)</f>
        <v>ДП Ідея.4/4.Графіт</v>
      </c>
      <c r="CA125" s="742" t="s">
        <v>3208</v>
      </c>
      <c r="CB125" s="137"/>
      <c r="CC125" s="138"/>
      <c r="CE125" s="147" t="s">
        <v>3277</v>
      </c>
      <c r="CF125" s="62" t="s">
        <v>739</v>
      </c>
      <c r="CG125" s="139" t="str">
        <f t="shared" si="122"/>
        <v>ДП Ніка.фальц..робоча..ВП</v>
      </c>
      <c r="CI125" s="479"/>
      <c r="CJ125" s="427"/>
      <c r="CK125" s="428"/>
      <c r="CM125" s="424" t="s">
        <v>3282</v>
      </c>
      <c r="CN125" s="62" t="s">
        <v>4106</v>
      </c>
      <c r="CO125" s="70" t="str">
        <f t="shared" si="121"/>
        <v>ДП Ліса.фальц..неробоча..(ні)</v>
      </c>
      <c r="CY125" s="147" t="s">
        <v>6214</v>
      </c>
      <c r="CZ125" s="62" t="s">
        <v>6170</v>
      </c>
      <c r="DA125" s="139" t="s">
        <v>858</v>
      </c>
      <c r="DD125" s="165" t="s">
        <v>2448</v>
      </c>
      <c r="DE125" s="166">
        <v>5510</v>
      </c>
      <c r="DF125" s="528">
        <f t="shared" si="100"/>
        <v>5510</v>
      </c>
      <c r="DG125" s="523"/>
      <c r="DH125" s="530">
        <f t="shared" si="118"/>
        <v>5510</v>
      </c>
      <c r="DP125" s="797" t="s">
        <v>344</v>
      </c>
      <c r="DQ125" s="728">
        <v>0</v>
      </c>
      <c r="DR125" s="528">
        <f t="shared" si="123"/>
        <v>0</v>
      </c>
      <c r="DS125" s="529"/>
      <c r="DT125" s="530">
        <f t="shared" si="97"/>
        <v>0</v>
      </c>
      <c r="DU125" s="166"/>
      <c r="DV125" s="799" t="s">
        <v>4413</v>
      </c>
      <c r="DW125" s="726">
        <v>0</v>
      </c>
      <c r="DX125" s="804">
        <f t="shared" si="109"/>
        <v>0</v>
      </c>
      <c r="DY125" s="523"/>
      <c r="DZ125" s="524">
        <f t="shared" si="110"/>
        <v>0</v>
      </c>
      <c r="EG125" s="165"/>
      <c r="EH125" s="738" t="s">
        <v>3464</v>
      </c>
      <c r="EI125" s="166">
        <v>0</v>
      </c>
      <c r="EJ125" s="522">
        <f t="shared" si="117"/>
        <v>0</v>
      </c>
      <c r="EK125" s="523"/>
      <c r="EL125" s="524">
        <f t="shared" si="104"/>
        <v>0</v>
      </c>
    </row>
    <row r="126" spans="2:142">
      <c r="B126" s="30"/>
      <c r="C126" s="745" t="s">
        <v>3168</v>
      </c>
      <c r="D126" s="415" t="s">
        <v>728</v>
      </c>
      <c r="E126" s="29"/>
      <c r="L126" s="58" t="s">
        <v>2507</v>
      </c>
      <c r="M126" s="48" t="s">
        <v>2496</v>
      </c>
      <c r="N126" s="94" t="s">
        <v>2094</v>
      </c>
      <c r="O126" s="423" t="s">
        <v>728</v>
      </c>
      <c r="Q126" s="58" t="s">
        <v>2507</v>
      </c>
      <c r="R126" s="98" t="s">
        <v>1392</v>
      </c>
      <c r="S126" s="94" t="s">
        <v>1397</v>
      </c>
      <c r="U126" s="764" t="s">
        <v>4897</v>
      </c>
      <c r="V126" s="151" t="s">
        <v>1744</v>
      </c>
      <c r="W126" s="435" t="s">
        <v>5447</v>
      </c>
      <c r="AK126" s="778" t="s">
        <v>4403</v>
      </c>
      <c r="AL126" s="152" t="s">
        <v>1783</v>
      </c>
      <c r="AM126" s="586" t="s">
        <v>2301</v>
      </c>
      <c r="AO126" s="583"/>
      <c r="AP126" s="478"/>
      <c r="AQ126" s="584"/>
      <c r="AU126" s="136" t="s">
        <v>610</v>
      </c>
      <c r="AV126" s="148" t="s">
        <v>192</v>
      </c>
      <c r="AW126" s="138" t="str">
        <f t="shared" si="93"/>
        <v>ДП ЛАДА-КОНЦЕПТ.5/2</v>
      </c>
      <c r="AY126" s="432"/>
      <c r="AZ126" s="222"/>
      <c r="BA126" s="223"/>
      <c r="BK126" s="147" t="s">
        <v>2935</v>
      </c>
      <c r="BL126" s="62" t="s">
        <v>2061</v>
      </c>
      <c r="BM126" s="139" t="str">
        <f t="shared" ref="BM126:BM134" si="124">CONCATENATE(BK126,".",BL126)</f>
        <v>ДП Лінея.Verto-Cell (L)</v>
      </c>
      <c r="BS126" s="58" t="s">
        <v>1349</v>
      </c>
      <c r="BT126" s="56" t="s">
        <v>4086</v>
      </c>
      <c r="BU126" s="541" t="str">
        <f t="shared" si="115"/>
        <v>ДП ЛАДА B.3/4.Масив</v>
      </c>
      <c r="BW126" s="108" t="s">
        <v>2425</v>
      </c>
      <c r="BX126" s="248" t="s">
        <v>832</v>
      </c>
      <c r="BY126" s="139" t="str">
        <f>CONCATENATE(BW126,".",BX126)</f>
        <v>ДП Ідея.4/4.Бронза</v>
      </c>
      <c r="CA126" s="742" t="s">
        <v>3208</v>
      </c>
      <c r="CB126" s="783" t="s">
        <v>5754</v>
      </c>
      <c r="CC126" s="138" t="str">
        <f t="shared" ref="CC126:CC131" si="125">CONCATENATE(CA126,".",CB126)</f>
        <v>ДП Геометрія.фальц.робоча.Stand цл Лів +3завіс</v>
      </c>
      <c r="CE126" s="145" t="s">
        <v>3278</v>
      </c>
      <c r="CF126" s="137"/>
      <c r="CG126" s="138" t="str">
        <f t="shared" si="122"/>
        <v>ДП Ніка.фальц..неробоча..</v>
      </c>
      <c r="CI126" s="147" t="s">
        <v>3133</v>
      </c>
      <c r="CJ126" s="62" t="s">
        <v>4106</v>
      </c>
      <c r="CK126" s="139" t="str">
        <f>CONCATENATE(CI126,".",CJ126)</f>
        <v>4 завіси (2+2).(ні)</v>
      </c>
      <c r="CM126" s="86" t="s">
        <v>3283</v>
      </c>
      <c r="CN126" s="56" t="s">
        <v>941</v>
      </c>
      <c r="CO126" s="70" t="str">
        <f t="shared" si="121"/>
        <v>ДП Ліса.б/з фальц..робоча..Verto-FIT Comfort</v>
      </c>
      <c r="CY126" s="764" t="s">
        <v>4358</v>
      </c>
      <c r="CZ126" s="137" t="s">
        <v>590</v>
      </c>
      <c r="DA126" s="138" t="s">
        <v>858</v>
      </c>
      <c r="DD126" s="165" t="s">
        <v>2449</v>
      </c>
      <c r="DE126" s="166">
        <v>5510</v>
      </c>
      <c r="DF126" s="528">
        <f t="shared" si="100"/>
        <v>5510</v>
      </c>
      <c r="DG126" s="523"/>
      <c r="DH126" s="530">
        <f t="shared" si="118"/>
        <v>5510</v>
      </c>
      <c r="DP126" s="798" t="s">
        <v>345</v>
      </c>
      <c r="DQ126" s="726">
        <v>270</v>
      </c>
      <c r="DR126" s="522">
        <f>ROUND(((DQ126-(DQ126/6))/$DD$3)*$DE$3,2)</f>
        <v>270</v>
      </c>
      <c r="DS126" s="523"/>
      <c r="DT126" s="524">
        <f>IF(DS126="",DR126,
IF(AND($DQ$10&gt;=VLOOKUP(DS126,$DP$5:$DT$9,2,0),$DQ$10&lt;=VLOOKUP(DS126,$DP$5:$DT$9,3,0)),
(DR126*(1-VLOOKUP(DS126,$DP$5:$DT$9,4,0))),
DR126))</f>
        <v>270</v>
      </c>
      <c r="DU126" s="166"/>
      <c r="DV126" s="799" t="s">
        <v>4415</v>
      </c>
      <c r="DW126" s="726">
        <v>0</v>
      </c>
      <c r="DX126" s="804">
        <f t="shared" si="109"/>
        <v>0</v>
      </c>
      <c r="DY126" s="523"/>
      <c r="DZ126" s="524">
        <f t="shared" si="110"/>
        <v>0</v>
      </c>
      <c r="EG126" s="165"/>
      <c r="EH126" s="739" t="s">
        <v>3465</v>
      </c>
      <c r="EI126" s="164">
        <v>1800</v>
      </c>
      <c r="EJ126" s="531">
        <f t="shared" si="117"/>
        <v>1800</v>
      </c>
      <c r="EK126" s="526"/>
      <c r="EL126" s="527">
        <f t="shared" si="104"/>
        <v>1800</v>
      </c>
    </row>
    <row r="127" spans="2:142">
      <c r="B127" s="30"/>
      <c r="C127" s="745" t="s">
        <v>3169</v>
      </c>
      <c r="D127" s="415" t="s">
        <v>728</v>
      </c>
      <c r="E127" s="29"/>
      <c r="L127" s="58" t="s">
        <v>2508</v>
      </c>
      <c r="M127" s="48" t="s">
        <v>2496</v>
      </c>
      <c r="N127" s="94" t="s">
        <v>2094</v>
      </c>
      <c r="O127" s="423" t="s">
        <v>728</v>
      </c>
      <c r="Q127" s="58" t="s">
        <v>2508</v>
      </c>
      <c r="R127" s="98" t="s">
        <v>197</v>
      </c>
      <c r="S127" s="94" t="s">
        <v>141</v>
      </c>
      <c r="U127" s="764" t="s">
        <v>4898</v>
      </c>
      <c r="V127" s="151" t="s">
        <v>1745</v>
      </c>
      <c r="W127" s="435" t="s">
        <v>5448</v>
      </c>
      <c r="AK127" s="777" t="s">
        <v>6138</v>
      </c>
      <c r="AL127" s="151" t="s">
        <v>6464</v>
      </c>
      <c r="AM127" s="584" t="s">
        <v>6140</v>
      </c>
      <c r="AO127" s="581"/>
      <c r="AP127" s="580"/>
      <c r="AQ127" s="582"/>
      <c r="AU127" s="136" t="s">
        <v>610</v>
      </c>
      <c r="AV127" s="148" t="s">
        <v>193</v>
      </c>
      <c r="AW127" s="138" t="str">
        <f t="shared" si="93"/>
        <v>ДП ЛАДА-КОНЦЕПТ.5/3</v>
      </c>
      <c r="AY127" s="234" t="s">
        <v>2430</v>
      </c>
      <c r="AZ127" s="137" t="s">
        <v>1719</v>
      </c>
      <c r="BA127" s="138" t="str">
        <f t="shared" si="94"/>
        <v>ДП Ідея-ЛОФТ.1.фальц</v>
      </c>
      <c r="BK127" s="231" t="s">
        <v>612</v>
      </c>
      <c r="BL127" s="134" t="s">
        <v>409</v>
      </c>
      <c r="BM127" s="135" t="str">
        <f t="shared" si="124"/>
        <v>ДП ЛАЙН.Verto-Cell</v>
      </c>
      <c r="BS127" s="58" t="s">
        <v>1350</v>
      </c>
      <c r="BT127" s="56" t="s">
        <v>4086</v>
      </c>
      <c r="BU127" s="541" t="str">
        <f t="shared" si="115"/>
        <v>ДП ЛАДА B.3/5.Масив</v>
      </c>
      <c r="BW127" s="55" t="s">
        <v>2426</v>
      </c>
      <c r="BX127" s="780" t="s">
        <v>4106</v>
      </c>
      <c r="BY127" s="70" t="str">
        <f t="shared" si="101"/>
        <v>ДП Ідея.6/0.(ні)</v>
      </c>
      <c r="CA127" s="742" t="s">
        <v>3208</v>
      </c>
      <c r="CB127" s="783" t="s">
        <v>5755</v>
      </c>
      <c r="CC127" s="138" t="str">
        <f t="shared" si="125"/>
        <v>ДП Геометрія.фальц.робоча.Stand цл Пр +3завіс</v>
      </c>
      <c r="CE127" s="146" t="s">
        <v>3278</v>
      </c>
      <c r="CF127" s="137" t="s">
        <v>4261</v>
      </c>
      <c r="CG127" s="138" t="str">
        <f t="shared" si="122"/>
        <v>ДП Ніка.фальц..неробоча..ВВ</v>
      </c>
      <c r="CI127" s="57" t="s">
        <v>6166</v>
      </c>
      <c r="CJ127" s="56" t="s">
        <v>4106</v>
      </c>
      <c r="CK127" s="70" t="str">
        <f>CONCATENATE(CI127,".",CJ127)</f>
        <v>6 завіс (3+3).(ні)</v>
      </c>
      <c r="CM127" s="86" t="s">
        <v>3284</v>
      </c>
      <c r="CN127" s="56" t="s">
        <v>841</v>
      </c>
      <c r="CO127" s="70" t="str">
        <f t="shared" si="121"/>
        <v>ДП Ліса.купе..робоча..Verto-FIT</v>
      </c>
      <c r="CY127" s="764" t="s">
        <v>4361</v>
      </c>
      <c r="CZ127" s="137" t="s">
        <v>590</v>
      </c>
      <c r="DA127" s="138" t="s">
        <v>858</v>
      </c>
      <c r="DD127" s="165" t="s">
        <v>2450</v>
      </c>
      <c r="DE127" s="166">
        <v>5750</v>
      </c>
      <c r="DF127" s="528">
        <f t="shared" si="100"/>
        <v>5750</v>
      </c>
      <c r="DG127" s="523"/>
      <c r="DH127" s="530">
        <f t="shared" si="118"/>
        <v>5750</v>
      </c>
      <c r="DP127" s="799" t="s">
        <v>3874</v>
      </c>
      <c r="DQ127" s="726">
        <v>410</v>
      </c>
      <c r="DR127" s="522">
        <f t="shared" si="123"/>
        <v>410</v>
      </c>
      <c r="DS127" s="523"/>
      <c r="DT127" s="524">
        <f t="shared" si="97"/>
        <v>410</v>
      </c>
      <c r="DU127" s="166"/>
      <c r="DV127" s="802" t="s">
        <v>4416</v>
      </c>
      <c r="DW127" s="726">
        <v>70</v>
      </c>
      <c r="DX127" s="803">
        <f t="shared" si="109"/>
        <v>70</v>
      </c>
      <c r="DY127" s="529"/>
      <c r="DZ127" s="530">
        <f t="shared" si="110"/>
        <v>70</v>
      </c>
      <c r="EG127" s="165"/>
      <c r="EH127" s="738" t="s">
        <v>5083</v>
      </c>
      <c r="EI127" s="166">
        <v>0</v>
      </c>
      <c r="EJ127" s="522">
        <f>ROUND(((EI127-(EI127/6))/$DD$3)*$DE$3,2)</f>
        <v>0</v>
      </c>
      <c r="EK127" s="523"/>
      <c r="EL127" s="524">
        <f t="shared" si="104"/>
        <v>0</v>
      </c>
    </row>
    <row r="128" spans="2:142">
      <c r="B128" s="30"/>
      <c r="C128" s="745" t="s">
        <v>3170</v>
      </c>
      <c r="D128" s="417" t="s">
        <v>728</v>
      </c>
      <c r="E128" s="29"/>
      <c r="L128" s="58" t="s">
        <v>2509</v>
      </c>
      <c r="M128" s="48" t="s">
        <v>2496</v>
      </c>
      <c r="N128" s="94" t="s">
        <v>2094</v>
      </c>
      <c r="O128" s="423" t="s">
        <v>728</v>
      </c>
      <c r="Q128" s="58" t="s">
        <v>2509</v>
      </c>
      <c r="R128" s="98" t="s">
        <v>198</v>
      </c>
      <c r="S128" s="94" t="s">
        <v>142</v>
      </c>
      <c r="U128" s="764" t="s">
        <v>4899</v>
      </c>
      <c r="V128" s="151" t="s">
        <v>1746</v>
      </c>
      <c r="W128" s="435" t="s">
        <v>5449</v>
      </c>
      <c r="AK128" s="778" t="s">
        <v>6139</v>
      </c>
      <c r="AL128" s="152" t="s">
        <v>6465</v>
      </c>
      <c r="AM128" s="586" t="s">
        <v>6141</v>
      </c>
      <c r="AU128" s="133" t="s">
        <v>611</v>
      </c>
      <c r="AV128" s="101" t="s">
        <v>187</v>
      </c>
      <c r="AW128" s="135" t="str">
        <f t="shared" si="93"/>
        <v>ДП ЛАДА-НОВА.4/0</v>
      </c>
      <c r="AY128" s="234" t="s">
        <v>2430</v>
      </c>
      <c r="AZ128" s="137" t="s">
        <v>1721</v>
      </c>
      <c r="BA128" s="138" t="str">
        <f t="shared" si="94"/>
        <v>ДП Ідея-ЛОФТ.1.б/з фальц</v>
      </c>
      <c r="BK128" s="234" t="s">
        <v>612</v>
      </c>
      <c r="BL128" s="137" t="s">
        <v>557</v>
      </c>
      <c r="BM128" s="138" t="str">
        <f t="shared" si="124"/>
        <v>ДП ЛАЙН.Резист</v>
      </c>
      <c r="BS128" s="426"/>
      <c r="BT128" s="427"/>
      <c r="BU128" s="428"/>
      <c r="BW128" s="231" t="s">
        <v>2427</v>
      </c>
      <c r="BX128" s="246" t="s">
        <v>458</v>
      </c>
      <c r="BY128" s="135" t="str">
        <f t="shared" si="101"/>
        <v>ДП Ідея.6/6.Сатин</v>
      </c>
      <c r="CA128" s="742" t="s">
        <v>3208</v>
      </c>
      <c r="CB128" s="783" t="s">
        <v>5756</v>
      </c>
      <c r="CC128" s="138" t="str">
        <f t="shared" si="125"/>
        <v>ДП Геометрія.фальц.робоча.Stand кл Лів +3завіс</v>
      </c>
      <c r="CE128" s="147" t="s">
        <v>3278</v>
      </c>
      <c r="CF128" s="62" t="s">
        <v>739</v>
      </c>
      <c r="CG128" s="139" t="str">
        <f t="shared" si="122"/>
        <v>ДП Ніка.фальц..неробоча..ВП</v>
      </c>
      <c r="CI128" s="57" t="s">
        <v>237</v>
      </c>
      <c r="CJ128" s="56" t="s">
        <v>4106</v>
      </c>
      <c r="CK128" s="70" t="str">
        <f>CONCATENATE(CI128,".",CJ128)</f>
        <v>Без планки замка.(ні)</v>
      </c>
      <c r="CM128" s="432"/>
      <c r="CN128" s="427"/>
      <c r="CO128" s="428"/>
      <c r="CY128" s="764" t="s">
        <v>4364</v>
      </c>
      <c r="CZ128" s="137" t="s">
        <v>590</v>
      </c>
      <c r="DA128" s="138" t="s">
        <v>858</v>
      </c>
      <c r="DD128" s="165" t="s">
        <v>2451</v>
      </c>
      <c r="DE128" s="166">
        <v>5750</v>
      </c>
      <c r="DF128" s="528">
        <f t="shared" si="100"/>
        <v>5750</v>
      </c>
      <c r="DG128" s="523"/>
      <c r="DH128" s="530">
        <f t="shared" si="118"/>
        <v>5750</v>
      </c>
      <c r="DP128" s="800" t="s">
        <v>1827</v>
      </c>
      <c r="DQ128" s="727">
        <v>410</v>
      </c>
      <c r="DR128" s="525">
        <f t="shared" si="123"/>
        <v>410</v>
      </c>
      <c r="DS128" s="526"/>
      <c r="DT128" s="527">
        <f t="shared" si="97"/>
        <v>410</v>
      </c>
      <c r="DU128" s="166"/>
      <c r="DV128" s="799" t="s">
        <v>4418</v>
      </c>
      <c r="DW128" s="726">
        <v>70</v>
      </c>
      <c r="DX128" s="804">
        <f t="shared" si="109"/>
        <v>70</v>
      </c>
      <c r="DY128" s="523"/>
      <c r="DZ128" s="524">
        <f t="shared" si="110"/>
        <v>70</v>
      </c>
      <c r="EG128" s="165"/>
      <c r="EH128" s="739" t="s">
        <v>5084</v>
      </c>
      <c r="EI128" s="164">
        <v>1910</v>
      </c>
      <c r="EJ128" s="531">
        <f>ROUND(((EI128-(EI128/6))/$DD$3)*$DE$3,2)</f>
        <v>1910</v>
      </c>
      <c r="EK128" s="526"/>
      <c r="EL128" s="527">
        <f t="shared" si="104"/>
        <v>1910</v>
      </c>
    </row>
    <row r="129" spans="2:142" ht="10.8" thickBot="1">
      <c r="B129" s="31"/>
      <c r="C129" s="745" t="s">
        <v>3171</v>
      </c>
      <c r="D129" s="416" t="s">
        <v>728</v>
      </c>
      <c r="E129" s="33"/>
      <c r="L129" s="58" t="s">
        <v>2510</v>
      </c>
      <c r="M129" s="48" t="s">
        <v>2496</v>
      </c>
      <c r="N129" s="94" t="s">
        <v>2094</v>
      </c>
      <c r="O129" s="423" t="s">
        <v>728</v>
      </c>
      <c r="Q129" s="58" t="s">
        <v>2510</v>
      </c>
      <c r="R129" s="98" t="s">
        <v>1398</v>
      </c>
      <c r="S129" s="94" t="s">
        <v>1399</v>
      </c>
      <c r="U129" s="764" t="s">
        <v>4900</v>
      </c>
      <c r="V129" s="151" t="s">
        <v>1747</v>
      </c>
      <c r="W129" s="435" t="s">
        <v>5450</v>
      </c>
      <c r="AK129" s="777" t="s">
        <v>4405</v>
      </c>
      <c r="AL129" s="151" t="s">
        <v>1764</v>
      </c>
      <c r="AM129" s="760" t="s">
        <v>5461</v>
      </c>
      <c r="AU129" s="136" t="s">
        <v>611</v>
      </c>
      <c r="AV129" s="151" t="s">
        <v>201</v>
      </c>
      <c r="AW129" s="138" t="str">
        <f t="shared" si="93"/>
        <v>ДП ЛАДА-НОВА.4/3</v>
      </c>
      <c r="AY129" s="224" t="s">
        <v>2430</v>
      </c>
      <c r="AZ129" s="62" t="s">
        <v>1720</v>
      </c>
      <c r="BA129" s="139" t="str">
        <f t="shared" si="94"/>
        <v>ДП Ідея-ЛОФТ.1.купе</v>
      </c>
      <c r="BK129" s="234" t="s">
        <v>612</v>
      </c>
      <c r="BL129" s="137" t="s">
        <v>62</v>
      </c>
      <c r="BM129" s="138" t="str">
        <f t="shared" si="124"/>
        <v>ДП ЛАЙН.LINE-3D</v>
      </c>
      <c r="BS129" s="58" t="s">
        <v>1354</v>
      </c>
      <c r="BT129" s="56" t="s">
        <v>4086</v>
      </c>
      <c r="BU129" s="541" t="str">
        <f t="shared" ref="BU129:BU144" si="126">CONCATENATE(BS129,".",BT129)</f>
        <v>ДП ЛАДА C.4/0.Масив</v>
      </c>
      <c r="BW129" s="234" t="s">
        <v>2427</v>
      </c>
      <c r="BX129" s="770" t="s">
        <v>4203</v>
      </c>
      <c r="BY129" s="138" t="str">
        <f t="shared" si="101"/>
        <v>ДП Ідея.6/6.Жалюзі</v>
      </c>
      <c r="CA129" s="742" t="s">
        <v>3208</v>
      </c>
      <c r="CB129" s="783" t="s">
        <v>5757</v>
      </c>
      <c r="CC129" s="138" t="str">
        <f t="shared" si="125"/>
        <v>ДП Геометрія.фальц.робоча.Stand кл Пр +3завіс</v>
      </c>
      <c r="CE129" s="145" t="s">
        <v>3279</v>
      </c>
      <c r="CF129" s="137"/>
      <c r="CG129" s="138" t="str">
        <f t="shared" si="122"/>
        <v>ДП Ніка.б/з фальц..робоча..</v>
      </c>
      <c r="CI129" s="45" t="s">
        <v>238</v>
      </c>
      <c r="CJ129" s="56" t="s">
        <v>4106</v>
      </c>
      <c r="CK129" s="70" t="str">
        <f>CONCATENATE(CI129,".",CJ129)</f>
        <v>С планкой замка.(ні)</v>
      </c>
      <c r="CM129" s="742" t="s">
        <v>3285</v>
      </c>
      <c r="CN129" s="137" t="s">
        <v>975</v>
      </c>
      <c r="CO129" s="138" t="str">
        <f t="shared" ref="CO129:CO135" si="127">CONCATENATE(CM129,".",CN129)</f>
        <v>ДП ЛАДА-КОНЦЕПТ.фальц..робоча..Standard-MDF</v>
      </c>
      <c r="CY129" s="765" t="s">
        <v>4369</v>
      </c>
      <c r="CZ129" s="62" t="s">
        <v>590</v>
      </c>
      <c r="DA129" s="139" t="s">
        <v>858</v>
      </c>
      <c r="DD129" s="165" t="s">
        <v>2452</v>
      </c>
      <c r="DE129" s="166">
        <v>5750</v>
      </c>
      <c r="DF129" s="528">
        <f t="shared" si="100"/>
        <v>5750</v>
      </c>
      <c r="DG129" s="523"/>
      <c r="DH129" s="530">
        <f t="shared" si="118"/>
        <v>5750</v>
      </c>
      <c r="DP129" s="795" t="s">
        <v>4132</v>
      </c>
      <c r="DQ129" s="796">
        <v>0</v>
      </c>
      <c r="DR129" s="403">
        <f t="shared" si="123"/>
        <v>0</v>
      </c>
      <c r="DS129" s="514"/>
      <c r="DT129" s="511">
        <f t="shared" si="97"/>
        <v>0</v>
      </c>
      <c r="DU129" s="166"/>
      <c r="DV129" s="805" t="s">
        <v>4419</v>
      </c>
      <c r="DW129" s="727">
        <v>70</v>
      </c>
      <c r="DX129" s="807">
        <f t="shared" si="109"/>
        <v>70</v>
      </c>
      <c r="DY129" s="526"/>
      <c r="DZ129" s="527">
        <f t="shared" si="110"/>
        <v>70</v>
      </c>
      <c r="EG129" s="165"/>
      <c r="EH129" s="738" t="s">
        <v>3466</v>
      </c>
      <c r="EI129" s="166">
        <v>0</v>
      </c>
      <c r="EJ129" s="522">
        <f t="shared" si="117"/>
        <v>0</v>
      </c>
      <c r="EK129" s="523"/>
      <c r="EL129" s="524">
        <f t="shared" ref="EL129:EL158" si="128">IF(EK129="",EJ129,
IF(AND($EI$10&gt;=VLOOKUP(EK129,$EH$5:$EL$9,2,0),$EI$10&lt;=VLOOKUP(EK129,$EH$5:$EL$9,3,0)),
(EJ129*(1-VLOOKUP(EK129,$EH$5:$EL$9,4,0))),
EJ129))</f>
        <v>0</v>
      </c>
    </row>
    <row r="130" spans="2:142" ht="10.8" thickBot="1">
      <c r="C130" s="748" t="s">
        <v>3172</v>
      </c>
      <c r="D130" s="32"/>
      <c r="L130" s="58" t="s">
        <v>2511</v>
      </c>
      <c r="M130" s="48" t="s">
        <v>2496</v>
      </c>
      <c r="N130" s="94" t="s">
        <v>2094</v>
      </c>
      <c r="O130" s="423" t="s">
        <v>728</v>
      </c>
      <c r="P130" s="21"/>
      <c r="Q130" s="58" t="s">
        <v>2511</v>
      </c>
      <c r="R130" s="98" t="s">
        <v>1401</v>
      </c>
      <c r="S130" s="94" t="s">
        <v>1400</v>
      </c>
      <c r="U130" s="765" t="s">
        <v>4901</v>
      </c>
      <c r="V130" s="152" t="s">
        <v>1748</v>
      </c>
      <c r="W130" s="599" t="s">
        <v>5451</v>
      </c>
      <c r="AK130" s="778" t="s">
        <v>4407</v>
      </c>
      <c r="AL130" s="152" t="s">
        <v>1765</v>
      </c>
      <c r="AM130" s="761" t="s">
        <v>5462</v>
      </c>
      <c r="AO130" s="581" t="s">
        <v>1786</v>
      </c>
      <c r="AP130" s="580"/>
      <c r="AQ130" s="582"/>
      <c r="AU130" s="136" t="s">
        <v>611</v>
      </c>
      <c r="AV130" s="151" t="s">
        <v>535</v>
      </c>
      <c r="AW130" s="138" t="str">
        <f t="shared" si="93"/>
        <v>ДП ЛАДА-НОВА.4/6</v>
      </c>
      <c r="AY130" s="432"/>
      <c r="AZ130" s="222"/>
      <c r="BA130" s="223"/>
      <c r="BK130" s="234" t="s">
        <v>612</v>
      </c>
      <c r="BL130" s="137" t="s">
        <v>5071</v>
      </c>
      <c r="BM130" s="138" t="str">
        <f t="shared" si="124"/>
        <v>ДП ЛАЙН.Е-шпон</v>
      </c>
      <c r="BS130" s="58" t="s">
        <v>1355</v>
      </c>
      <c r="BT130" s="56" t="s">
        <v>4086</v>
      </c>
      <c r="BU130" s="541" t="str">
        <f t="shared" si="126"/>
        <v>ДП ЛАДА C.4/1.Масив</v>
      </c>
      <c r="BW130" s="234" t="s">
        <v>2427</v>
      </c>
      <c r="BX130" s="770" t="s">
        <v>3851</v>
      </c>
      <c r="BY130" s="138" t="str">
        <f>CONCATENATE(BW130,".",BX130)</f>
        <v>ДП Ідея.6/6.Графіт</v>
      </c>
      <c r="CA130" s="742" t="s">
        <v>3208</v>
      </c>
      <c r="CB130" s="783" t="s">
        <v>5758</v>
      </c>
      <c r="CC130" s="138" t="str">
        <f t="shared" si="125"/>
        <v>ДП Геометрія.фальц.робоча.Stand ст Лів +3завіс</v>
      </c>
      <c r="CE130" s="146" t="s">
        <v>3279</v>
      </c>
      <c r="CF130" s="137" t="s">
        <v>4261</v>
      </c>
      <c r="CG130" s="138" t="str">
        <f t="shared" si="122"/>
        <v>ДП Ніка.б/з фальц..робоча..ВВ</v>
      </c>
      <c r="CI130" s="479"/>
      <c r="CJ130" s="427"/>
      <c r="CK130" s="428"/>
      <c r="CM130" s="742" t="s">
        <v>3285</v>
      </c>
      <c r="CN130" s="137" t="s">
        <v>840</v>
      </c>
      <c r="CO130" s="138" t="str">
        <f t="shared" si="127"/>
        <v>ДП ЛАДА-КОНЦЕПТ.фальц..робоча..Standard</v>
      </c>
      <c r="CY130" s="146" t="s">
        <v>4323</v>
      </c>
      <c r="CZ130" s="137"/>
      <c r="DA130" s="138" t="s">
        <v>858</v>
      </c>
      <c r="DD130" s="165" t="s">
        <v>2453</v>
      </c>
      <c r="DE130" s="166">
        <v>5750</v>
      </c>
      <c r="DF130" s="528">
        <f t="shared" si="100"/>
        <v>5750</v>
      </c>
      <c r="DG130" s="523"/>
      <c r="DH130" s="530">
        <f t="shared" si="118"/>
        <v>5750</v>
      </c>
      <c r="DP130" s="797" t="s">
        <v>346</v>
      </c>
      <c r="DQ130" s="728">
        <v>0</v>
      </c>
      <c r="DR130" s="528">
        <f t="shared" si="123"/>
        <v>0</v>
      </c>
      <c r="DS130" s="529"/>
      <c r="DT130" s="530">
        <f t="shared" si="97"/>
        <v>0</v>
      </c>
      <c r="DU130" s="166"/>
      <c r="DV130" s="799" t="s">
        <v>4421</v>
      </c>
      <c r="DW130" s="726">
        <v>710</v>
      </c>
      <c r="DX130" s="804">
        <f t="shared" si="109"/>
        <v>710</v>
      </c>
      <c r="DY130" s="523"/>
      <c r="DZ130" s="524">
        <f t="shared" si="110"/>
        <v>710</v>
      </c>
      <c r="EG130" s="165"/>
      <c r="EH130" s="739" t="s">
        <v>3467</v>
      </c>
      <c r="EI130" s="164">
        <v>1910</v>
      </c>
      <c r="EJ130" s="531">
        <f t="shared" si="117"/>
        <v>1910</v>
      </c>
      <c r="EK130" s="526"/>
      <c r="EL130" s="527">
        <f t="shared" si="128"/>
        <v>1910</v>
      </c>
    </row>
    <row r="131" spans="2:142" ht="10.8" thickBot="1">
      <c r="C131" s="32"/>
      <c r="D131" s="21"/>
      <c r="L131" s="144"/>
      <c r="M131" s="48"/>
      <c r="N131" s="94"/>
      <c r="O131" s="423"/>
      <c r="Q131" s="144"/>
      <c r="R131" s="98"/>
      <c r="S131" s="94"/>
      <c r="U131" s="815"/>
      <c r="V131" s="816"/>
      <c r="W131" s="808"/>
      <c r="AK131" s="777" t="s">
        <v>6142</v>
      </c>
      <c r="AL131" s="151" t="s">
        <v>6452</v>
      </c>
      <c r="AM131" s="760" t="s">
        <v>6144</v>
      </c>
      <c r="AO131" s="585"/>
      <c r="AP131" s="152"/>
      <c r="AQ131" s="586"/>
      <c r="AU131" s="136" t="s">
        <v>611</v>
      </c>
      <c r="AV131" s="151" t="s">
        <v>536</v>
      </c>
      <c r="AW131" s="138" t="str">
        <f t="shared" si="93"/>
        <v>ДП ЛАДА-НОВА.4/9</v>
      </c>
      <c r="AY131" s="234" t="s">
        <v>1343</v>
      </c>
      <c r="AZ131" s="137" t="s">
        <v>1725</v>
      </c>
      <c r="BA131" s="138" t="str">
        <f t="shared" ref="BA131:BA158" si="129">CONCATENATE(AY131,".",AZ131)</f>
        <v>ДП ЛАДА A.2А/0.фальц,</v>
      </c>
      <c r="BK131" s="145" t="s">
        <v>2957</v>
      </c>
      <c r="BL131" s="134" t="s">
        <v>409</v>
      </c>
      <c r="BM131" s="135" t="str">
        <f t="shared" si="124"/>
        <v>ДП Елегант.Verto-Cell</v>
      </c>
      <c r="BS131" s="58" t="s">
        <v>1356</v>
      </c>
      <c r="BT131" s="56" t="s">
        <v>4086</v>
      </c>
      <c r="BU131" s="541" t="str">
        <f t="shared" si="126"/>
        <v>ДП ЛАДА C.4/2.Масив</v>
      </c>
      <c r="BW131" s="224" t="s">
        <v>2427</v>
      </c>
      <c r="BX131" s="248" t="s">
        <v>832</v>
      </c>
      <c r="BY131" s="139" t="str">
        <f>CONCATENATE(BW131,".",BX131)</f>
        <v>ДП Ідея.6/6.Бронза</v>
      </c>
      <c r="CA131" s="742" t="s">
        <v>3208</v>
      </c>
      <c r="CB131" s="783" t="s">
        <v>5759</v>
      </c>
      <c r="CC131" s="138" t="str">
        <f t="shared" si="125"/>
        <v>ДП Геометрія.фальц.робоча.Stand ст Пр +3завіс</v>
      </c>
      <c r="CE131" s="147" t="s">
        <v>3279</v>
      </c>
      <c r="CF131" s="62" t="s">
        <v>739</v>
      </c>
      <c r="CG131" s="139" t="str">
        <f t="shared" si="122"/>
        <v>ДП Ніка.б/з фальц..робоча..ВП</v>
      </c>
      <c r="CI131" s="142" t="s">
        <v>590</v>
      </c>
      <c r="CJ131" s="134" t="s">
        <v>4827</v>
      </c>
      <c r="CK131" s="135" t="s">
        <v>4856</v>
      </c>
      <c r="CM131" s="742" t="s">
        <v>3285</v>
      </c>
      <c r="CN131" s="137" t="s">
        <v>841</v>
      </c>
      <c r="CO131" s="138" t="str">
        <f t="shared" si="127"/>
        <v>ДП ЛАДА-КОНЦЕПТ.фальц..робоча..Verto-FIT</v>
      </c>
      <c r="CY131" s="146" t="s">
        <v>4330</v>
      </c>
      <c r="CZ131" s="137"/>
      <c r="DA131" s="138" t="s">
        <v>858</v>
      </c>
      <c r="DD131" s="165" t="s">
        <v>2454</v>
      </c>
      <c r="DE131" s="166">
        <v>5750</v>
      </c>
      <c r="DF131" s="528">
        <f t="shared" si="100"/>
        <v>5750</v>
      </c>
      <c r="DG131" s="523"/>
      <c r="DH131" s="530">
        <f t="shared" si="118"/>
        <v>5750</v>
      </c>
      <c r="DP131" s="798" t="s">
        <v>347</v>
      </c>
      <c r="DQ131" s="726">
        <v>270</v>
      </c>
      <c r="DR131" s="522">
        <f>ROUND(((DQ131-(DQ131/6))/$DD$3)*$DE$3,2)</f>
        <v>270</v>
      </c>
      <c r="DS131" s="523"/>
      <c r="DT131" s="524">
        <f>IF(DS131="",DR131,
IF(AND($DQ$10&gt;=VLOOKUP(DS131,$DP$5:$DT$9,2,0),$DQ$10&lt;=VLOOKUP(DS131,$DP$5:$DT$9,3,0)),
(DR131*(1-VLOOKUP(DS131,$DP$5:$DT$9,4,0))),
DR131))</f>
        <v>270</v>
      </c>
      <c r="DU131" s="166"/>
      <c r="DV131" s="799" t="s">
        <v>4423</v>
      </c>
      <c r="DW131" s="726">
        <v>710</v>
      </c>
      <c r="DX131" s="804">
        <f t="shared" si="109"/>
        <v>710</v>
      </c>
      <c r="DY131" s="523"/>
      <c r="DZ131" s="524">
        <f t="shared" si="110"/>
        <v>710</v>
      </c>
      <c r="EG131" s="165"/>
      <c r="EH131" s="538"/>
      <c r="EI131" s="539"/>
      <c r="EJ131" s="650"/>
      <c r="EK131" s="651"/>
      <c r="EL131" s="652"/>
    </row>
    <row r="132" spans="2:142">
      <c r="C132" s="21"/>
      <c r="D132" s="21"/>
      <c r="L132" s="58" t="s">
        <v>2594</v>
      </c>
      <c r="M132" s="48" t="s">
        <v>2591</v>
      </c>
      <c r="N132" s="94" t="s">
        <v>2095</v>
      </c>
      <c r="O132" s="423" t="s">
        <v>728</v>
      </c>
      <c r="P132" s="21"/>
      <c r="Q132" s="58" t="s">
        <v>2594</v>
      </c>
      <c r="R132" s="98" t="s">
        <v>196</v>
      </c>
      <c r="S132" s="94" t="s">
        <v>140</v>
      </c>
      <c r="U132" s="763" t="s">
        <v>3468</v>
      </c>
      <c r="V132" s="101" t="s">
        <v>239</v>
      </c>
      <c r="W132" s="100" t="s">
        <v>2183</v>
      </c>
      <c r="AK132" s="778" t="s">
        <v>6143</v>
      </c>
      <c r="AL132" s="152" t="s">
        <v>6453</v>
      </c>
      <c r="AM132" s="761" t="s">
        <v>6145</v>
      </c>
      <c r="AO132" s="777" t="s">
        <v>4109</v>
      </c>
      <c r="AP132" s="101" t="s">
        <v>176</v>
      </c>
      <c r="AQ132" s="589" t="s">
        <v>2325</v>
      </c>
      <c r="AU132" s="136" t="s">
        <v>611</v>
      </c>
      <c r="AV132" s="151" t="s">
        <v>209</v>
      </c>
      <c r="AW132" s="138" t="str">
        <f t="shared" si="93"/>
        <v>ДП ЛАДА-НОВА.6А/1</v>
      </c>
      <c r="AY132" s="234" t="s">
        <v>1343</v>
      </c>
      <c r="AZ132" s="137" t="s">
        <v>1723</v>
      </c>
      <c r="BA132" s="138" t="str">
        <f t="shared" si="129"/>
        <v>ДП ЛАДА A.2А/0.б/з фальц.</v>
      </c>
      <c r="BK132" s="146" t="s">
        <v>2957</v>
      </c>
      <c r="BL132" s="137" t="s">
        <v>557</v>
      </c>
      <c r="BM132" s="138" t="str">
        <f t="shared" si="124"/>
        <v>ДП Елегант.Резист</v>
      </c>
      <c r="BS132" s="58" t="s">
        <v>1357</v>
      </c>
      <c r="BT132" s="56" t="s">
        <v>4086</v>
      </c>
      <c r="BU132" s="541" t="str">
        <f t="shared" si="126"/>
        <v>ДП ЛАДА C.4/3.Масив</v>
      </c>
      <c r="BW132" s="55" t="s">
        <v>2428</v>
      </c>
      <c r="BX132" s="780" t="s">
        <v>4106</v>
      </c>
      <c r="BY132" s="70" t="str">
        <f t="shared" si="101"/>
        <v>ДП Ідея.7/0.(ні)</v>
      </c>
      <c r="CA132" s="742" t="s">
        <v>3208</v>
      </c>
      <c r="CB132" s="21"/>
      <c r="CC132" s="21"/>
      <c r="CE132" s="145" t="s">
        <v>3280</v>
      </c>
      <c r="CF132" s="137"/>
      <c r="CG132" s="138" t="str">
        <f t="shared" si="122"/>
        <v>ДП Ніка.купе..робоча..</v>
      </c>
      <c r="CI132" s="142" t="s">
        <v>590</v>
      </c>
      <c r="CJ132" s="62" t="s">
        <v>4857</v>
      </c>
      <c r="CK132" s="139" t="str">
        <f>CONCATENATE(CI132,".",CJ132)</f>
        <v>для ДП Гласфорд.Права</v>
      </c>
      <c r="CM132" s="424" t="s">
        <v>3285</v>
      </c>
      <c r="CN132" s="62" t="s">
        <v>371</v>
      </c>
      <c r="CO132" s="139" t="str">
        <f t="shared" si="127"/>
        <v>ДП ЛАДА-КОНЦЕПТ.фальц..робоча..Verto-FIT Plus</v>
      </c>
      <c r="CY132" s="147" t="s">
        <v>4335</v>
      </c>
      <c r="CZ132" s="62"/>
      <c r="DA132" s="139" t="s">
        <v>858</v>
      </c>
      <c r="DD132" s="165" t="s">
        <v>2455</v>
      </c>
      <c r="DE132" s="166">
        <v>6270</v>
      </c>
      <c r="DF132" s="528">
        <f t="shared" si="100"/>
        <v>6270</v>
      </c>
      <c r="DG132" s="523"/>
      <c r="DH132" s="530">
        <f t="shared" si="118"/>
        <v>6270</v>
      </c>
      <c r="DP132" s="799" t="s">
        <v>3875</v>
      </c>
      <c r="DQ132" s="726">
        <v>410</v>
      </c>
      <c r="DR132" s="522">
        <f t="shared" si="123"/>
        <v>410</v>
      </c>
      <c r="DS132" s="523"/>
      <c r="DT132" s="524">
        <f t="shared" si="97"/>
        <v>410</v>
      </c>
      <c r="DU132" s="166"/>
      <c r="DV132" s="799" t="s">
        <v>4425</v>
      </c>
      <c r="DW132" s="726">
        <v>710</v>
      </c>
      <c r="DX132" s="804">
        <f t="shared" si="109"/>
        <v>710</v>
      </c>
      <c r="DY132" s="523"/>
      <c r="DZ132" s="524">
        <f t="shared" si="110"/>
        <v>710</v>
      </c>
      <c r="EG132" s="165"/>
      <c r="EH132" s="737" t="s">
        <v>4958</v>
      </c>
      <c r="EI132" s="163">
        <v>0</v>
      </c>
      <c r="EJ132" s="537">
        <f t="shared" si="117"/>
        <v>0</v>
      </c>
      <c r="EK132" s="529"/>
      <c r="EL132" s="530">
        <f t="shared" si="128"/>
        <v>0</v>
      </c>
    </row>
    <row r="133" spans="2:142">
      <c r="C133" s="21"/>
      <c r="D133" s="21"/>
      <c r="L133" s="58" t="s">
        <v>2595</v>
      </c>
      <c r="M133" s="48" t="s">
        <v>2591</v>
      </c>
      <c r="N133" s="94" t="s">
        <v>2095</v>
      </c>
      <c r="O133" s="423" t="s">
        <v>728</v>
      </c>
      <c r="Q133" s="58" t="s">
        <v>2595</v>
      </c>
      <c r="R133" s="98" t="s">
        <v>197</v>
      </c>
      <c r="S133" s="94" t="s">
        <v>141</v>
      </c>
      <c r="U133" s="764" t="s">
        <v>3469</v>
      </c>
      <c r="V133" s="151" t="s">
        <v>240</v>
      </c>
      <c r="W133" s="159" t="s">
        <v>2184</v>
      </c>
      <c r="AK133" s="777" t="s">
        <v>4409</v>
      </c>
      <c r="AL133" s="151" t="s">
        <v>1778</v>
      </c>
      <c r="AM133" s="760" t="s">
        <v>5463</v>
      </c>
      <c r="AO133" s="591"/>
      <c r="AP133" s="475"/>
      <c r="AQ133" s="592"/>
      <c r="AU133" s="136" t="s">
        <v>611</v>
      </c>
      <c r="AV133" s="151" t="s">
        <v>210</v>
      </c>
      <c r="AW133" s="138" t="str">
        <f t="shared" si="93"/>
        <v>ДП ЛАДА-НОВА.6А/5</v>
      </c>
      <c r="AY133" s="224" t="s">
        <v>1343</v>
      </c>
      <c r="AZ133" s="62" t="s">
        <v>1724</v>
      </c>
      <c r="BA133" s="139" t="str">
        <f t="shared" si="129"/>
        <v>ДП ЛАДА A.2А/0.купе.</v>
      </c>
      <c r="BK133" s="146" t="s">
        <v>2957</v>
      </c>
      <c r="BL133" s="137" t="s">
        <v>62</v>
      </c>
      <c r="BM133" s="138" t="str">
        <f t="shared" si="124"/>
        <v>ДП Елегант.LINE-3D</v>
      </c>
      <c r="BS133" s="58" t="s">
        <v>1358</v>
      </c>
      <c r="BT133" s="56" t="s">
        <v>4086</v>
      </c>
      <c r="BU133" s="541" t="str">
        <f t="shared" si="126"/>
        <v>ДП ЛАДА C.4/4.Масив</v>
      </c>
      <c r="BW133" s="231" t="s">
        <v>2429</v>
      </c>
      <c r="BX133" s="246" t="s">
        <v>458</v>
      </c>
      <c r="BY133" s="135" t="str">
        <f t="shared" si="101"/>
        <v>ДП Ідея.7/1.Сатин</v>
      </c>
      <c r="CA133" s="742" t="s">
        <v>3208</v>
      </c>
      <c r="CB133" s="137" t="s">
        <v>4294</v>
      </c>
      <c r="CC133" s="138" t="str">
        <f>CONCATENATE(CA133,".",CB133)</f>
        <v>ДП Геометрія.фальц.робоча.Soft цл +2завіс</v>
      </c>
      <c r="CE133" s="146" t="s">
        <v>3280</v>
      </c>
      <c r="CF133" s="62" t="s">
        <v>4261</v>
      </c>
      <c r="CG133" s="139" t="str">
        <f t="shared" si="122"/>
        <v>ДП Ніка.купе..робоча..ВВ</v>
      </c>
      <c r="CI133" s="479"/>
      <c r="CJ133" s="427"/>
      <c r="CK133" s="428"/>
      <c r="CM133" s="424" t="s">
        <v>3286</v>
      </c>
      <c r="CN133" s="62" t="s">
        <v>4106</v>
      </c>
      <c r="CO133" s="70" t="str">
        <f t="shared" si="127"/>
        <v>ДП ЛАДА-КОНЦЕПТ.фальц..неробоча..(ні)</v>
      </c>
      <c r="CY133" s="145" t="s">
        <v>4325</v>
      </c>
      <c r="CZ133" s="134"/>
      <c r="DA133" s="135" t="s">
        <v>858</v>
      </c>
      <c r="DD133" s="165" t="s">
        <v>2456</v>
      </c>
      <c r="DE133" s="166">
        <v>6270</v>
      </c>
      <c r="DF133" s="528">
        <f t="shared" si="100"/>
        <v>6270</v>
      </c>
      <c r="DG133" s="523"/>
      <c r="DH133" s="530">
        <f t="shared" si="118"/>
        <v>6270</v>
      </c>
      <c r="DP133" s="800" t="s">
        <v>1828</v>
      </c>
      <c r="DQ133" s="727">
        <v>410</v>
      </c>
      <c r="DR133" s="525">
        <f t="shared" si="123"/>
        <v>410</v>
      </c>
      <c r="DS133" s="526"/>
      <c r="DT133" s="527">
        <f t="shared" si="97"/>
        <v>410</v>
      </c>
      <c r="DU133" s="166"/>
      <c r="DV133" s="799" t="s">
        <v>4426</v>
      </c>
      <c r="DW133" s="726">
        <v>710</v>
      </c>
      <c r="DX133" s="804">
        <f t="shared" si="109"/>
        <v>710</v>
      </c>
      <c r="DY133" s="523"/>
      <c r="DZ133" s="524">
        <f t="shared" si="110"/>
        <v>710</v>
      </c>
      <c r="EG133" s="165"/>
      <c r="EH133" s="739" t="s">
        <v>4959</v>
      </c>
      <c r="EI133" s="164">
        <v>1490</v>
      </c>
      <c r="EJ133" s="531">
        <f t="shared" si="117"/>
        <v>1490</v>
      </c>
      <c r="EK133" s="526"/>
      <c r="EL133" s="527">
        <f t="shared" si="128"/>
        <v>1490</v>
      </c>
    </row>
    <row r="134" spans="2:142">
      <c r="C134" s="21"/>
      <c r="D134" s="21"/>
      <c r="L134" s="58" t="s">
        <v>2596</v>
      </c>
      <c r="M134" s="48" t="s">
        <v>2591</v>
      </c>
      <c r="N134" s="94" t="s">
        <v>2095</v>
      </c>
      <c r="O134" s="423" t="s">
        <v>728</v>
      </c>
      <c r="Q134" s="58" t="s">
        <v>2596</v>
      </c>
      <c r="R134" s="98" t="s">
        <v>198</v>
      </c>
      <c r="S134" s="94" t="s">
        <v>142</v>
      </c>
      <c r="U134" s="764" t="s">
        <v>3470</v>
      </c>
      <c r="V134" s="151" t="s">
        <v>241</v>
      </c>
      <c r="W134" s="159" t="s">
        <v>2185</v>
      </c>
      <c r="AK134" s="778" t="s">
        <v>4412</v>
      </c>
      <c r="AL134" s="152" t="s">
        <v>1779</v>
      </c>
      <c r="AM134" s="761" t="s">
        <v>5464</v>
      </c>
      <c r="AO134" s="789" t="s">
        <v>4847</v>
      </c>
      <c r="AP134" s="101" t="s">
        <v>5495</v>
      </c>
      <c r="AQ134" s="589" t="s">
        <v>2321</v>
      </c>
      <c r="AU134" s="136" t="s">
        <v>611</v>
      </c>
      <c r="AV134" s="151" t="s">
        <v>648</v>
      </c>
      <c r="AW134" s="138" t="str">
        <f t="shared" si="93"/>
        <v>ДП ЛАДА-НОВА.7/1</v>
      </c>
      <c r="AY134" s="234" t="s">
        <v>1344</v>
      </c>
      <c r="AZ134" s="137" t="s">
        <v>1725</v>
      </c>
      <c r="BA134" s="138" t="str">
        <f t="shared" si="129"/>
        <v>ДП ЛАДА A.2А/1.фальц,</v>
      </c>
      <c r="BK134" s="146" t="s">
        <v>2957</v>
      </c>
      <c r="BL134" s="137" t="s">
        <v>5071</v>
      </c>
      <c r="BM134" s="138" t="str">
        <f t="shared" si="124"/>
        <v>ДП Елегант.Е-шпон</v>
      </c>
      <c r="BS134" s="58" t="s">
        <v>1359</v>
      </c>
      <c r="BT134" s="56" t="s">
        <v>4086</v>
      </c>
      <c r="BU134" s="541" t="str">
        <f t="shared" si="126"/>
        <v>ДП ЛАДА C.4/5.Масив</v>
      </c>
      <c r="BW134" s="234" t="s">
        <v>2429</v>
      </c>
      <c r="BX134" s="770" t="s">
        <v>4203</v>
      </c>
      <c r="BY134" s="138" t="str">
        <f t="shared" si="101"/>
        <v>ДП Ідея.7/1.Жалюзі</v>
      </c>
      <c r="CA134" s="742" t="s">
        <v>3208</v>
      </c>
      <c r="CB134" s="137" t="s">
        <v>4297</v>
      </c>
      <c r="CC134" s="138" t="str">
        <f>CONCATENATE(CA134,".",CB134)</f>
        <v>ДП Геометрія.фальц.робоча.Soft ст +2завіс</v>
      </c>
      <c r="CE134" s="546"/>
      <c r="CF134" s="544"/>
      <c r="CG134" s="545"/>
      <c r="CI134" s="57"/>
      <c r="CJ134" s="56"/>
      <c r="CK134" s="70"/>
      <c r="CM134" s="86" t="s">
        <v>3287</v>
      </c>
      <c r="CN134" s="56" t="s">
        <v>941</v>
      </c>
      <c r="CO134" s="70" t="str">
        <f t="shared" si="127"/>
        <v>ДП ЛАДА-КОНЦЕПТ.б/з фальц..робоча..Verto-FIT Comfort</v>
      </c>
      <c r="CY134" s="764" t="s">
        <v>4333</v>
      </c>
      <c r="CZ134" s="137"/>
      <c r="DA134" s="138" t="s">
        <v>858</v>
      </c>
      <c r="DD134" s="165" t="s">
        <v>2457</v>
      </c>
      <c r="DE134" s="166">
        <v>4790</v>
      </c>
      <c r="DF134" s="528">
        <f t="shared" si="100"/>
        <v>4790</v>
      </c>
      <c r="DG134" s="523"/>
      <c r="DH134" s="530">
        <f t="shared" si="118"/>
        <v>4790</v>
      </c>
      <c r="DP134" s="797" t="s">
        <v>619</v>
      </c>
      <c r="DQ134" s="728">
        <v>0</v>
      </c>
      <c r="DR134" s="528">
        <f t="shared" si="123"/>
        <v>0</v>
      </c>
      <c r="DS134" s="529"/>
      <c r="DT134" s="530">
        <f t="shared" si="97"/>
        <v>0</v>
      </c>
      <c r="DU134" s="166"/>
      <c r="DV134" s="799" t="s">
        <v>4427</v>
      </c>
      <c r="DW134" s="726">
        <v>710</v>
      </c>
      <c r="DX134" s="804">
        <f t="shared" si="109"/>
        <v>710</v>
      </c>
      <c r="DY134" s="523"/>
      <c r="DZ134" s="524">
        <f t="shared" si="110"/>
        <v>710</v>
      </c>
      <c r="EG134" s="165"/>
      <c r="EH134" s="738" t="s">
        <v>3471</v>
      </c>
      <c r="EI134" s="166">
        <v>0</v>
      </c>
      <c r="EJ134" s="522">
        <f t="shared" si="117"/>
        <v>0</v>
      </c>
      <c r="EK134" s="523"/>
      <c r="EL134" s="524">
        <f t="shared" si="128"/>
        <v>0</v>
      </c>
    </row>
    <row r="135" spans="2:142">
      <c r="C135" s="21"/>
      <c r="D135" s="21"/>
      <c r="L135" s="58" t="s">
        <v>2597</v>
      </c>
      <c r="M135" s="48" t="s">
        <v>2591</v>
      </c>
      <c r="N135" s="94" t="s">
        <v>2095</v>
      </c>
      <c r="O135" s="423" t="s">
        <v>728</v>
      </c>
      <c r="Q135" s="58" t="s">
        <v>2597</v>
      </c>
      <c r="R135" s="98" t="s">
        <v>185</v>
      </c>
      <c r="S135" s="94" t="s">
        <v>143</v>
      </c>
      <c r="U135" s="764" t="s">
        <v>3472</v>
      </c>
      <c r="V135" s="151" t="s">
        <v>242</v>
      </c>
      <c r="W135" s="159" t="s">
        <v>2186</v>
      </c>
      <c r="AK135" s="777" t="s">
        <v>6147</v>
      </c>
      <c r="AL135" s="151" t="s">
        <v>6458</v>
      </c>
      <c r="AM135" s="760" t="s">
        <v>6148</v>
      </c>
      <c r="AO135" s="778" t="s">
        <v>4877</v>
      </c>
      <c r="AP135" s="152" t="s">
        <v>177</v>
      </c>
      <c r="AQ135" s="586" t="s">
        <v>2324</v>
      </c>
      <c r="AU135" s="234" t="s">
        <v>611</v>
      </c>
      <c r="AV135" s="151" t="s">
        <v>655</v>
      </c>
      <c r="AW135" s="138" t="str">
        <f t="shared" si="93"/>
        <v>ДП ЛАДА-НОВА.7/2</v>
      </c>
      <c r="AY135" s="234" t="s">
        <v>1344</v>
      </c>
      <c r="AZ135" s="137" t="s">
        <v>1723</v>
      </c>
      <c r="BA135" s="138" t="str">
        <f t="shared" si="129"/>
        <v>ДП ЛАДА A.2А/1.б/з фальц.</v>
      </c>
      <c r="BK135" s="55" t="s">
        <v>157</v>
      </c>
      <c r="BL135" s="56" t="s">
        <v>4106</v>
      </c>
      <c r="BM135" s="70" t="str">
        <f>CONCATENATE(BK135,".",BL135)</f>
        <v>ДП ГЛАСФОРД.(ні)</v>
      </c>
      <c r="BS135" s="58" t="s">
        <v>1360</v>
      </c>
      <c r="BT135" s="56" t="s">
        <v>4086</v>
      </c>
      <c r="BU135" s="541" t="str">
        <f t="shared" si="126"/>
        <v>ДП ЛАДА C.4/6.Масив</v>
      </c>
      <c r="BW135" s="234" t="s">
        <v>2429</v>
      </c>
      <c r="BX135" s="770" t="s">
        <v>3851</v>
      </c>
      <c r="BY135" s="138" t="str">
        <f>CONCATENATE(BW135,".",BX135)</f>
        <v>ДП Ідея.7/1.Графіт</v>
      </c>
      <c r="CA135" s="742" t="s">
        <v>3208</v>
      </c>
      <c r="CB135" s="21"/>
      <c r="CC135" s="21"/>
      <c r="CE135" s="145" t="s">
        <v>3281</v>
      </c>
      <c r="CF135" s="137"/>
      <c r="CG135" s="138" t="str">
        <f t="shared" ref="CG135:CG145" si="130">CONCATENATE(CE135,".",CF135)</f>
        <v>ДП Ліса.фальц..робоча..</v>
      </c>
      <c r="CI135" s="57"/>
      <c r="CJ135" s="56"/>
      <c r="CK135" s="70"/>
      <c r="CM135" s="86" t="s">
        <v>3288</v>
      </c>
      <c r="CN135" s="56" t="s">
        <v>841</v>
      </c>
      <c r="CO135" s="70" t="str">
        <f t="shared" si="127"/>
        <v>ДП ЛАДА-КОНЦЕПТ.купе..робоча..Verto-FIT</v>
      </c>
      <c r="CY135" s="765" t="s">
        <v>4336</v>
      </c>
      <c r="CZ135" s="62"/>
      <c r="DA135" s="139" t="s">
        <v>858</v>
      </c>
      <c r="DD135" s="108" t="s">
        <v>2458</v>
      </c>
      <c r="DE135" s="164">
        <v>4790</v>
      </c>
      <c r="DF135" s="528">
        <f t="shared" si="100"/>
        <v>4790</v>
      </c>
      <c r="DG135" s="526"/>
      <c r="DH135" s="530">
        <f t="shared" si="118"/>
        <v>4790</v>
      </c>
      <c r="DP135" s="798" t="s">
        <v>420</v>
      </c>
      <c r="DQ135" s="726">
        <v>270</v>
      </c>
      <c r="DR135" s="522">
        <f>ROUND(((DQ135-(DQ135/6))/$DD$3)*$DE$3,2)</f>
        <v>270</v>
      </c>
      <c r="DS135" s="523"/>
      <c r="DT135" s="524">
        <f>IF(DS135="",DR135,
IF(AND($DQ$10&gt;=VLOOKUP(DS135,$DP$5:$DT$9,2,0),$DQ$10&lt;=VLOOKUP(DS135,$DP$5:$DT$9,3,0)),
(DR135*(1-VLOOKUP(DS135,$DP$5:$DT$9,4,0))),
DR135))</f>
        <v>270</v>
      </c>
      <c r="DU135" s="166"/>
      <c r="DV135" s="805" t="s">
        <v>4428</v>
      </c>
      <c r="DW135" s="727">
        <v>710</v>
      </c>
      <c r="DX135" s="806">
        <f t="shared" si="109"/>
        <v>710</v>
      </c>
      <c r="DY135" s="526"/>
      <c r="DZ135" s="527">
        <f t="shared" si="110"/>
        <v>710</v>
      </c>
      <c r="EG135" s="165"/>
      <c r="EH135" s="739" t="s">
        <v>3473</v>
      </c>
      <c r="EI135" s="164">
        <v>1490</v>
      </c>
      <c r="EJ135" s="531">
        <f t="shared" si="117"/>
        <v>1490</v>
      </c>
      <c r="EK135" s="526"/>
      <c r="EL135" s="527">
        <f t="shared" si="128"/>
        <v>1490</v>
      </c>
    </row>
    <row r="136" spans="2:142">
      <c r="C136" s="21"/>
      <c r="D136" s="21"/>
      <c r="L136" s="58" t="s">
        <v>2598</v>
      </c>
      <c r="M136" s="48" t="s">
        <v>2591</v>
      </c>
      <c r="N136" s="94" t="s">
        <v>2095</v>
      </c>
      <c r="O136" s="423" t="s">
        <v>728</v>
      </c>
      <c r="Q136" s="58" t="s">
        <v>2598</v>
      </c>
      <c r="R136" s="98" t="s">
        <v>186</v>
      </c>
      <c r="S136" s="94" t="s">
        <v>144</v>
      </c>
      <c r="U136" s="764" t="s">
        <v>3474</v>
      </c>
      <c r="V136" s="151" t="s">
        <v>243</v>
      </c>
      <c r="W136" s="159" t="s">
        <v>2187</v>
      </c>
      <c r="AK136" s="778" t="s">
        <v>6146</v>
      </c>
      <c r="AL136" s="152" t="s">
        <v>6459</v>
      </c>
      <c r="AM136" s="761" t="s">
        <v>6149</v>
      </c>
      <c r="AO136" s="791" t="s">
        <v>4848</v>
      </c>
      <c r="AP136" s="151" t="s">
        <v>5495</v>
      </c>
      <c r="AQ136" s="584" t="s">
        <v>2321</v>
      </c>
      <c r="AU136" s="224" t="s">
        <v>611</v>
      </c>
      <c r="AV136" s="152" t="s">
        <v>658</v>
      </c>
      <c r="AW136" s="139" t="str">
        <f t="shared" si="93"/>
        <v>ДП ЛАДА-НОВА.8/1</v>
      </c>
      <c r="AY136" s="224" t="s">
        <v>1344</v>
      </c>
      <c r="AZ136" s="62" t="s">
        <v>1724</v>
      </c>
      <c r="BA136" s="139" t="str">
        <f t="shared" si="129"/>
        <v>ДП ЛАДА A.2А/1.купе.</v>
      </c>
      <c r="BK136" s="426"/>
      <c r="BL136" s="427"/>
      <c r="BM136" s="428"/>
      <c r="BS136" s="58" t="s">
        <v>1361</v>
      </c>
      <c r="BT136" s="56" t="s">
        <v>4086</v>
      </c>
      <c r="BU136" s="541" t="str">
        <f t="shared" si="126"/>
        <v>ДП ЛАДА C.4/7.Масив</v>
      </c>
      <c r="BW136" s="224" t="s">
        <v>2429</v>
      </c>
      <c r="BX136" s="248" t="s">
        <v>832</v>
      </c>
      <c r="BY136" s="139" t="str">
        <f>CONCATENATE(BW136,".",BX136)</f>
        <v>ДП Ідея.7/1.Бронза</v>
      </c>
      <c r="CA136" s="742" t="s">
        <v>3208</v>
      </c>
      <c r="CB136" s="137" t="s">
        <v>4304</v>
      </c>
      <c r="CC136" s="138" t="str">
        <f>CONCATENATE(CA136,".",CB136)</f>
        <v>ДП Геометрія.фальц.робоча.Soft цл +3завіс</v>
      </c>
      <c r="CE136" s="146" t="s">
        <v>3281</v>
      </c>
      <c r="CF136" s="137" t="s">
        <v>4261</v>
      </c>
      <c r="CG136" s="138" t="str">
        <f t="shared" si="130"/>
        <v>ДП Ліса.фальц..робоча..ВВ</v>
      </c>
      <c r="CI136" s="48"/>
      <c r="CJ136" s="48"/>
      <c r="CK136" s="70"/>
      <c r="CM136" s="432"/>
      <c r="CN136" s="427"/>
      <c r="CO136" s="428"/>
      <c r="CY136" s="154" t="s">
        <v>462</v>
      </c>
      <c r="CZ136" s="137" t="s">
        <v>4106</v>
      </c>
      <c r="DA136" s="138" t="s">
        <v>858</v>
      </c>
      <c r="DD136" s="165" t="s">
        <v>2459</v>
      </c>
      <c r="DE136" s="166">
        <v>3170.0000000000005</v>
      </c>
      <c r="DF136" s="528">
        <f t="shared" si="100"/>
        <v>3170</v>
      </c>
      <c r="DG136" s="523"/>
      <c r="DH136" s="530">
        <f t="shared" si="118"/>
        <v>3170</v>
      </c>
      <c r="DP136" s="799" t="s">
        <v>3876</v>
      </c>
      <c r="DQ136" s="726">
        <v>410</v>
      </c>
      <c r="DR136" s="522">
        <f t="shared" si="123"/>
        <v>410</v>
      </c>
      <c r="DS136" s="523"/>
      <c r="DT136" s="524">
        <f t="shared" si="97"/>
        <v>410</v>
      </c>
      <c r="DU136" s="166"/>
      <c r="DV136" s="798" t="s">
        <v>246</v>
      </c>
      <c r="DW136" s="726">
        <v>0</v>
      </c>
      <c r="DX136" s="804">
        <f t="shared" si="109"/>
        <v>0</v>
      </c>
      <c r="DY136" s="523"/>
      <c r="DZ136" s="524">
        <f t="shared" si="110"/>
        <v>0</v>
      </c>
      <c r="EG136" s="165"/>
      <c r="EH136" s="738" t="s">
        <v>3475</v>
      </c>
      <c r="EI136" s="166">
        <v>0</v>
      </c>
      <c r="EJ136" s="522">
        <f>ROUND(((EI136-(EI136/6))/$DD$3)*$DE$3,2)</f>
        <v>0</v>
      </c>
      <c r="EK136" s="523"/>
      <c r="EL136" s="524">
        <f>IF(EK136="",EJ136,
IF(AND($EI$10&gt;=VLOOKUP(EK136,$EH$5:$EL$9,2,0),$EI$10&lt;=VLOOKUP(EK136,$EH$5:$EL$9,3,0)),
(EJ136*(1-VLOOKUP(EK136,$EH$5:$EL$9,4,0))),
EJ136))</f>
        <v>0</v>
      </c>
    </row>
    <row r="137" spans="2:142">
      <c r="C137" s="21"/>
      <c r="D137" s="21"/>
      <c r="L137" s="58" t="s">
        <v>2599</v>
      </c>
      <c r="M137" s="48" t="s">
        <v>2591</v>
      </c>
      <c r="N137" s="94" t="s">
        <v>2095</v>
      </c>
      <c r="O137" s="423" t="s">
        <v>728</v>
      </c>
      <c r="Q137" s="58" t="s">
        <v>2599</v>
      </c>
      <c r="R137" s="98" t="s">
        <v>199</v>
      </c>
      <c r="S137" s="94" t="s">
        <v>145</v>
      </c>
      <c r="U137" s="764" t="s">
        <v>3476</v>
      </c>
      <c r="V137" s="151" t="s">
        <v>85</v>
      </c>
      <c r="W137" s="435" t="s">
        <v>5434</v>
      </c>
      <c r="AK137" s="591"/>
      <c r="AL137" s="475"/>
      <c r="AM137" s="592"/>
      <c r="AO137" s="792" t="s">
        <v>4878</v>
      </c>
      <c r="AP137" s="152" t="s">
        <v>177</v>
      </c>
      <c r="AQ137" s="586" t="s">
        <v>2324</v>
      </c>
      <c r="AU137" s="250" t="s">
        <v>2651</v>
      </c>
      <c r="AV137" s="151" t="s">
        <v>194</v>
      </c>
      <c r="AW137" s="138" t="str">
        <f t="shared" si="93"/>
        <v>ДП Міра.1/0</v>
      </c>
      <c r="AY137" s="234" t="s">
        <v>1351</v>
      </c>
      <c r="AZ137" s="137" t="s">
        <v>1725</v>
      </c>
      <c r="BA137" s="138" t="str">
        <f t="shared" si="129"/>
        <v>ДП ЛАДА A.3А/0.фальц,</v>
      </c>
      <c r="BK137" s="145" t="s">
        <v>3009</v>
      </c>
      <c r="BL137" s="134" t="s">
        <v>4904</v>
      </c>
      <c r="BM137" s="135" t="str">
        <f t="shared" ref="BM137:BM146" si="131">CONCATENATE(BK137,".",BL137)</f>
        <v>ДП Добір.Сімплекс</v>
      </c>
      <c r="BS137" s="58" t="s">
        <v>1362</v>
      </c>
      <c r="BT137" s="56" t="s">
        <v>4086</v>
      </c>
      <c r="BU137" s="541" t="str">
        <f t="shared" si="126"/>
        <v>ДП ЛАДА C.4/8.Масив</v>
      </c>
      <c r="BW137" s="432"/>
      <c r="BX137" s="432"/>
      <c r="BY137" s="432"/>
      <c r="CA137" s="742" t="s">
        <v>3208</v>
      </c>
      <c r="CB137" s="137" t="s">
        <v>4307</v>
      </c>
      <c r="CC137" s="138" t="str">
        <f>CONCATENATE(CA137,".",CB137)</f>
        <v>ДП Геометрія.фальц.робоча.Soft ст +3завіс</v>
      </c>
      <c r="CE137" s="147" t="s">
        <v>3281</v>
      </c>
      <c r="CF137" s="62" t="s">
        <v>739</v>
      </c>
      <c r="CG137" s="139" t="str">
        <f t="shared" si="130"/>
        <v>ДП Ліса.фальц..робоча..ВП</v>
      </c>
      <c r="CI137" s="48"/>
      <c r="CJ137" s="48"/>
      <c r="CK137" s="70"/>
      <c r="CM137" s="742" t="s">
        <v>3289</v>
      </c>
      <c r="CN137" s="137" t="s">
        <v>975</v>
      </c>
      <c r="CO137" s="138" t="str">
        <f t="shared" ref="CO137:CO143" si="132">CONCATENATE(CM137,".",CN137)</f>
        <v>ДП ЛАДА-НОВА.фальц..робоча..Standard-MDF</v>
      </c>
      <c r="CY137" s="155" t="s">
        <v>684</v>
      </c>
      <c r="CZ137" s="62" t="s">
        <v>4106</v>
      </c>
      <c r="DA137" s="139" t="s">
        <v>858</v>
      </c>
      <c r="DD137" s="165" t="s">
        <v>2460</v>
      </c>
      <c r="DE137" s="166">
        <v>5950.0000000000009</v>
      </c>
      <c r="DF137" s="528">
        <f t="shared" si="100"/>
        <v>5950</v>
      </c>
      <c r="DG137" s="523"/>
      <c r="DH137" s="530">
        <f t="shared" si="118"/>
        <v>5950</v>
      </c>
      <c r="DP137" s="800" t="s">
        <v>1829</v>
      </c>
      <c r="DQ137" s="727">
        <v>410</v>
      </c>
      <c r="DR137" s="525">
        <f t="shared" si="123"/>
        <v>410</v>
      </c>
      <c r="DS137" s="526"/>
      <c r="DT137" s="527">
        <f t="shared" si="97"/>
        <v>410</v>
      </c>
      <c r="DU137" s="166"/>
      <c r="DV137" s="800" t="s">
        <v>247</v>
      </c>
      <c r="DW137" s="727">
        <v>500</v>
      </c>
      <c r="DX137" s="807">
        <f t="shared" si="109"/>
        <v>500</v>
      </c>
      <c r="DY137" s="526"/>
      <c r="DZ137" s="527">
        <f t="shared" si="110"/>
        <v>500</v>
      </c>
      <c r="EG137" s="165"/>
      <c r="EH137" s="739" t="s">
        <v>3477</v>
      </c>
      <c r="EI137" s="164">
        <v>1490</v>
      </c>
      <c r="EJ137" s="531">
        <f>ROUND(((EI137-(EI137/6))/$DD$3)*$DE$3,2)</f>
        <v>1490</v>
      </c>
      <c r="EK137" s="526"/>
      <c r="EL137" s="527">
        <f>IF(EK137="",EJ137,
IF(AND($EI$10&gt;=VLOOKUP(EK137,$EH$5:$EL$9,2,0),$EI$10&lt;=VLOOKUP(EK137,$EH$5:$EL$9,3,0)),
(EJ137*(1-VLOOKUP(EK137,$EH$5:$EL$9,4,0))),
EJ137))</f>
        <v>1490</v>
      </c>
    </row>
    <row r="138" spans="2:142">
      <c r="C138" s="21"/>
      <c r="D138" s="21"/>
      <c r="L138" s="58" t="s">
        <v>2600</v>
      </c>
      <c r="M138" s="48" t="s">
        <v>2591</v>
      </c>
      <c r="N138" s="94" t="s">
        <v>2095</v>
      </c>
      <c r="O138" s="423" t="s">
        <v>728</v>
      </c>
      <c r="Q138" s="58" t="s">
        <v>2600</v>
      </c>
      <c r="R138" s="98" t="s">
        <v>200</v>
      </c>
      <c r="S138" s="94" t="s">
        <v>146</v>
      </c>
      <c r="U138" s="764" t="s">
        <v>3478</v>
      </c>
      <c r="V138" s="151" t="s">
        <v>86</v>
      </c>
      <c r="W138" s="435" t="s">
        <v>5435</v>
      </c>
      <c r="AK138" s="583"/>
      <c r="AL138" s="478"/>
      <c r="AM138" s="584"/>
      <c r="AO138" s="791" t="s">
        <v>4849</v>
      </c>
      <c r="AP138" s="151" t="s">
        <v>5495</v>
      </c>
      <c r="AQ138" s="584" t="s">
        <v>2321</v>
      </c>
      <c r="AU138" s="250" t="s">
        <v>2651</v>
      </c>
      <c r="AV138" s="151" t="s">
        <v>195</v>
      </c>
      <c r="AW138" s="138" t="str">
        <f t="shared" si="93"/>
        <v>ДП Міра.1/1</v>
      </c>
      <c r="AY138" s="234" t="s">
        <v>1351</v>
      </c>
      <c r="AZ138" s="137" t="s">
        <v>1723</v>
      </c>
      <c r="BA138" s="138" t="str">
        <f t="shared" si="129"/>
        <v>ДП ЛАДА A.3А/0.б/з фальц.</v>
      </c>
      <c r="BK138" s="146" t="s">
        <v>3009</v>
      </c>
      <c r="BL138" s="137" t="s">
        <v>409</v>
      </c>
      <c r="BM138" s="138" t="str">
        <f>CONCATENATE(BK138,".",BL138)</f>
        <v>ДП Добір.Verto-Cell</v>
      </c>
      <c r="BS138" s="58" t="s">
        <v>1363</v>
      </c>
      <c r="BT138" s="56" t="s">
        <v>4086</v>
      </c>
      <c r="BU138" s="541" t="str">
        <f t="shared" si="126"/>
        <v>ДП ЛАДА C.5/0.Масив</v>
      </c>
      <c r="BW138" s="60" t="s">
        <v>2430</v>
      </c>
      <c r="BX138" s="780" t="s">
        <v>4106</v>
      </c>
      <c r="BY138" s="70" t="str">
        <f>CONCATENATE(BW138,".",BX138)</f>
        <v>ДП Ідея-ЛОФТ.1.(ні)</v>
      </c>
      <c r="CA138" s="742" t="s">
        <v>3208</v>
      </c>
      <c r="CB138" s="137"/>
      <c r="CC138" s="138"/>
      <c r="CE138" s="145" t="s">
        <v>3282</v>
      </c>
      <c r="CF138" s="137"/>
      <c r="CG138" s="138" t="str">
        <f t="shared" si="130"/>
        <v>ДП Ліса.фальц..неробоча..</v>
      </c>
      <c r="CI138" s="48"/>
      <c r="CJ138" s="48"/>
      <c r="CK138" s="70"/>
      <c r="CM138" s="742" t="s">
        <v>3289</v>
      </c>
      <c r="CN138" s="137" t="s">
        <v>840</v>
      </c>
      <c r="CO138" s="138" t="str">
        <f t="shared" si="132"/>
        <v>ДП ЛАДА-НОВА.фальц..робоча..Standard</v>
      </c>
      <c r="CY138" s="480"/>
      <c r="CZ138" s="481"/>
      <c r="DA138" s="482"/>
      <c r="DD138" s="165" t="s">
        <v>2461</v>
      </c>
      <c r="DE138" s="166">
        <v>5950.0000000000009</v>
      </c>
      <c r="DF138" s="528">
        <f t="shared" si="100"/>
        <v>5950</v>
      </c>
      <c r="DG138" s="523"/>
      <c r="DH138" s="530">
        <f t="shared" si="118"/>
        <v>5950</v>
      </c>
      <c r="DP138" s="797" t="s">
        <v>421</v>
      </c>
      <c r="DQ138" s="728">
        <v>0</v>
      </c>
      <c r="DR138" s="528">
        <f t="shared" si="123"/>
        <v>0</v>
      </c>
      <c r="DS138" s="529"/>
      <c r="DT138" s="530">
        <f t="shared" si="97"/>
        <v>0</v>
      </c>
      <c r="DU138" s="166"/>
      <c r="DV138" s="647"/>
      <c r="DW138" s="648"/>
      <c r="DX138" s="654"/>
      <c r="DY138" s="655"/>
      <c r="DZ138" s="656"/>
      <c r="EG138" s="165"/>
      <c r="EH138" s="738" t="s">
        <v>3479</v>
      </c>
      <c r="EI138" s="166">
        <v>0</v>
      </c>
      <c r="EJ138" s="522">
        <f>ROUND(((EI138-(EI138/6))/$DD$3)*$DE$3,2)</f>
        <v>0</v>
      </c>
      <c r="EK138" s="523"/>
      <c r="EL138" s="524">
        <f>IF(EK138="",EJ138,
IF(AND($EI$10&gt;=VLOOKUP(EK138,$EH$5:$EL$9,2,0),$EI$10&lt;=VLOOKUP(EK138,$EH$5:$EL$9,3,0)),
(EJ138*(1-VLOOKUP(EK138,$EH$5:$EL$9,4,0))),
EJ138))</f>
        <v>0</v>
      </c>
    </row>
    <row r="139" spans="2:142">
      <c r="C139" s="21"/>
      <c r="D139" s="21"/>
      <c r="L139" s="58" t="s">
        <v>2601</v>
      </c>
      <c r="M139" s="48" t="s">
        <v>2591</v>
      </c>
      <c r="N139" s="94" t="s">
        <v>2095</v>
      </c>
      <c r="O139" s="423" t="s">
        <v>728</v>
      </c>
      <c r="Q139" s="58" t="s">
        <v>2601</v>
      </c>
      <c r="R139" s="98" t="s">
        <v>532</v>
      </c>
      <c r="S139" s="94" t="s">
        <v>1015</v>
      </c>
      <c r="U139" s="764" t="s">
        <v>3480</v>
      </c>
      <c r="V139" s="151" t="s">
        <v>87</v>
      </c>
      <c r="W139" s="435" t="s">
        <v>5436</v>
      </c>
      <c r="AK139" s="593"/>
      <c r="AL139" s="577"/>
      <c r="AM139" s="594"/>
      <c r="AO139" s="792" t="s">
        <v>4879</v>
      </c>
      <c r="AP139" s="152" t="s">
        <v>177</v>
      </c>
      <c r="AQ139" s="586" t="s">
        <v>2324</v>
      </c>
      <c r="AU139" s="250" t="s">
        <v>2651</v>
      </c>
      <c r="AV139" s="151" t="s">
        <v>531</v>
      </c>
      <c r="AW139" s="138" t="str">
        <f t="shared" si="93"/>
        <v>ДП Міра.1/2</v>
      </c>
      <c r="AY139" s="224" t="s">
        <v>1351</v>
      </c>
      <c r="AZ139" s="62" t="s">
        <v>1724</v>
      </c>
      <c r="BA139" s="139" t="str">
        <f t="shared" si="129"/>
        <v>ДП ЛАДА A.3А/0.купе.</v>
      </c>
      <c r="BK139" s="146" t="s">
        <v>3009</v>
      </c>
      <c r="BL139" s="137" t="s">
        <v>1893</v>
      </c>
      <c r="BM139" s="138" t="str">
        <f t="shared" si="131"/>
        <v>ДП Добір.Uni-Mat</v>
      </c>
      <c r="BS139" s="58" t="s">
        <v>1364</v>
      </c>
      <c r="BT139" s="56" t="s">
        <v>4086</v>
      </c>
      <c r="BU139" s="541" t="str">
        <f t="shared" si="126"/>
        <v>ДП ЛАДА C.5/1.Масив</v>
      </c>
      <c r="BW139" s="432"/>
      <c r="BX139" s="432"/>
      <c r="BY139" s="432"/>
      <c r="CA139" s="742" t="s">
        <v>3208</v>
      </c>
      <c r="CB139" s="137" t="s">
        <v>4300</v>
      </c>
      <c r="CC139" s="138" t="str">
        <f>CONCATENATE(CA139,".",CB139)</f>
        <v>ДП Геометрія.фальц.робоча.Magnet цл +2завіс</v>
      </c>
      <c r="CE139" s="146" t="s">
        <v>3282</v>
      </c>
      <c r="CF139" s="137" t="s">
        <v>4261</v>
      </c>
      <c r="CG139" s="138" t="str">
        <f t="shared" si="130"/>
        <v>ДП Ліса.фальц..неробоча..ВВ</v>
      </c>
      <c r="CI139" s="554"/>
      <c r="CJ139" s="554"/>
      <c r="CK139" s="562"/>
      <c r="CM139" s="742" t="s">
        <v>3289</v>
      </c>
      <c r="CN139" s="137" t="s">
        <v>841</v>
      </c>
      <c r="CO139" s="138" t="str">
        <f t="shared" si="132"/>
        <v>ДП ЛАДА-НОВА.фальц..робоча..Verto-FIT</v>
      </c>
      <c r="CY139" s="756" t="s">
        <v>4109</v>
      </c>
      <c r="CZ139" s="56" t="s">
        <v>4109</v>
      </c>
      <c r="DA139" s="70" t="s">
        <v>859</v>
      </c>
      <c r="DD139" s="165" t="s">
        <v>2462</v>
      </c>
      <c r="DE139" s="166">
        <v>5950.0000000000009</v>
      </c>
      <c r="DF139" s="528">
        <f t="shared" si="100"/>
        <v>5950</v>
      </c>
      <c r="DG139" s="523"/>
      <c r="DH139" s="530">
        <f t="shared" si="118"/>
        <v>5950</v>
      </c>
      <c r="DP139" s="798" t="s">
        <v>422</v>
      </c>
      <c r="DQ139" s="726">
        <v>370</v>
      </c>
      <c r="DR139" s="522">
        <f>ROUND(((DQ139-(DQ139/6))/$DD$3)*$DE$3,2)</f>
        <v>370</v>
      </c>
      <c r="DS139" s="523"/>
      <c r="DT139" s="524">
        <f>IF(DS139="",DR139,
IF(AND($DQ$10&gt;=VLOOKUP(DS139,$DP$5:$DT$9,2,0),$DQ$10&lt;=VLOOKUP(DS139,$DP$5:$DT$9,3,0)),
(DR139*(1-VLOOKUP(DS139,$DP$5:$DT$9,4,0))),
DR139))</f>
        <v>370</v>
      </c>
      <c r="DU139" s="166"/>
      <c r="DV139" s="795" t="s">
        <v>4126</v>
      </c>
      <c r="DW139" s="796">
        <v>0</v>
      </c>
      <c r="DX139" s="801">
        <f t="shared" ref="DX139:DX167" si="133">ROUND(((DW139-(DW139/6))/$DD$3)*$DE$3,2)</f>
        <v>0</v>
      </c>
      <c r="DY139" s="514"/>
      <c r="DZ139" s="511">
        <f t="shared" ref="DZ139:DZ167" si="134">IF(DY139="",DX139,
IF(AND($DW$10&gt;=VLOOKUP(DY139,$DV$5:$DZ$9,2,0),$DW$10&lt;=VLOOKUP(DY139,$DV$5:$DZ$9,3,0)),
(DX139*(1-VLOOKUP(DY139,$DV$5:$DZ$9,4,0))),
DX139))</f>
        <v>0</v>
      </c>
      <c r="EG139" s="165"/>
      <c r="EH139" s="739" t="s">
        <v>3481</v>
      </c>
      <c r="EI139" s="164">
        <v>1720</v>
      </c>
      <c r="EJ139" s="531">
        <f>ROUND(((EI139-(EI139/6))/$DD$3)*$DE$3,2)</f>
        <v>1720</v>
      </c>
      <c r="EK139" s="526"/>
      <c r="EL139" s="527">
        <f>IF(EK139="",EJ139,
IF(AND($EI$10&gt;=VLOOKUP(EK139,$EH$5:$EL$9,2,0),$EI$10&lt;=VLOOKUP(EK139,$EH$5:$EL$9,3,0)),
(EJ139*(1-VLOOKUP(EK139,$EH$5:$EL$9,4,0))),
EJ139))</f>
        <v>1720</v>
      </c>
    </row>
    <row r="140" spans="2:142">
      <c r="C140" s="21"/>
      <c r="D140" s="21"/>
      <c r="L140" s="144"/>
      <c r="M140" s="48"/>
      <c r="N140" s="94"/>
      <c r="O140" s="423"/>
      <c r="Q140" s="144"/>
      <c r="R140" s="98"/>
      <c r="S140" s="94"/>
      <c r="U140" s="764" t="s">
        <v>3482</v>
      </c>
      <c r="V140" s="151" t="s">
        <v>88</v>
      </c>
      <c r="W140" s="435" t="s">
        <v>5437</v>
      </c>
      <c r="AK140" s="583"/>
      <c r="AL140" s="478"/>
      <c r="AM140" s="584"/>
      <c r="AO140" s="791" t="s">
        <v>6193</v>
      </c>
      <c r="AP140" s="151" t="s">
        <v>5495</v>
      </c>
      <c r="AQ140" s="584" t="s">
        <v>2321</v>
      </c>
      <c r="AU140" s="250" t="s">
        <v>2651</v>
      </c>
      <c r="AV140" s="151" t="s">
        <v>1314</v>
      </c>
      <c r="AW140" s="138" t="str">
        <f t="shared" si="93"/>
        <v>ДП Міра.1/3</v>
      </c>
      <c r="AY140" s="234" t="s">
        <v>1352</v>
      </c>
      <c r="AZ140" s="137" t="s">
        <v>1725</v>
      </c>
      <c r="BA140" s="138" t="str">
        <f t="shared" si="129"/>
        <v>ДП ЛАДА A.3А/1.фальц,</v>
      </c>
      <c r="BK140" s="147" t="s">
        <v>3009</v>
      </c>
      <c r="BL140" s="62" t="s">
        <v>557</v>
      </c>
      <c r="BM140" s="139" t="str">
        <f t="shared" si="131"/>
        <v>ДП Добір.Резист</v>
      </c>
      <c r="BS140" s="58" t="s">
        <v>1365</v>
      </c>
      <c r="BT140" s="56" t="s">
        <v>4086</v>
      </c>
      <c r="BU140" s="541" t="str">
        <f t="shared" si="126"/>
        <v>ДП ЛАДА C.5/2.Масив</v>
      </c>
      <c r="BW140" s="58" t="s">
        <v>1343</v>
      </c>
      <c r="BX140" s="784" t="s">
        <v>4106</v>
      </c>
      <c r="BY140" s="239" t="str">
        <f t="shared" ref="BY140:BY166" si="135">CONCATENATE(BW140,".",BX140)</f>
        <v>ДП ЛАДА A.2А/0.(ні)</v>
      </c>
      <c r="CA140" s="742" t="s">
        <v>3208</v>
      </c>
      <c r="CB140" s="137" t="s">
        <v>4305</v>
      </c>
      <c r="CC140" s="138" t="str">
        <f>CONCATENATE(CA140,".",CB140)</f>
        <v>ДП Геометрія.фальц.робоча.Magnet ст +2завіс</v>
      </c>
      <c r="CE140" s="147" t="s">
        <v>3282</v>
      </c>
      <c r="CF140" s="62" t="s">
        <v>739</v>
      </c>
      <c r="CG140" s="139" t="str">
        <f t="shared" si="130"/>
        <v>ДП Ліса.фальц..неробоча..ВП</v>
      </c>
      <c r="CM140" s="424" t="s">
        <v>3289</v>
      </c>
      <c r="CN140" s="62" t="s">
        <v>371</v>
      </c>
      <c r="CO140" s="139" t="str">
        <f t="shared" si="132"/>
        <v>ДП ЛАДА-НОВА.фальц..робоча..Verto-FIT Plus</v>
      </c>
      <c r="CY140" s="751" t="s">
        <v>5736</v>
      </c>
      <c r="CZ140" s="767" t="s">
        <v>4847</v>
      </c>
      <c r="DA140" s="135" t="s">
        <v>859</v>
      </c>
      <c r="DD140" s="165" t="s">
        <v>2463</v>
      </c>
      <c r="DE140" s="166">
        <v>5950.0000000000009</v>
      </c>
      <c r="DF140" s="528">
        <f t="shared" si="100"/>
        <v>5950</v>
      </c>
      <c r="DG140" s="523"/>
      <c r="DH140" s="530">
        <f t="shared" si="118"/>
        <v>5950</v>
      </c>
      <c r="DP140" s="799" t="s">
        <v>3877</v>
      </c>
      <c r="DQ140" s="726">
        <v>410</v>
      </c>
      <c r="DR140" s="522">
        <f t="shared" si="123"/>
        <v>410</v>
      </c>
      <c r="DS140" s="523"/>
      <c r="DT140" s="524">
        <f t="shared" si="97"/>
        <v>410</v>
      </c>
      <c r="DU140" s="166"/>
      <c r="DV140" s="802" t="s">
        <v>4429</v>
      </c>
      <c r="DW140" s="728">
        <v>0</v>
      </c>
      <c r="DX140" s="803">
        <f t="shared" si="133"/>
        <v>0</v>
      </c>
      <c r="DY140" s="529"/>
      <c r="DZ140" s="530">
        <f t="shared" si="134"/>
        <v>0</v>
      </c>
      <c r="EG140" s="165"/>
      <c r="EH140" s="738" t="s">
        <v>3483</v>
      </c>
      <c r="EI140" s="166">
        <v>0</v>
      </c>
      <c r="EJ140" s="522">
        <f t="shared" si="117"/>
        <v>0</v>
      </c>
      <c r="EK140" s="523"/>
      <c r="EL140" s="524">
        <f t="shared" si="128"/>
        <v>0</v>
      </c>
    </row>
    <row r="141" spans="2:142">
      <c r="C141" s="21"/>
      <c r="D141" s="21"/>
      <c r="L141" s="58" t="s">
        <v>124</v>
      </c>
      <c r="M141" s="48" t="s">
        <v>402</v>
      </c>
      <c r="N141" s="94" t="s">
        <v>2083</v>
      </c>
      <c r="O141" s="423" t="s">
        <v>728</v>
      </c>
      <c r="Q141" s="58" t="s">
        <v>124</v>
      </c>
      <c r="R141" s="98" t="s">
        <v>196</v>
      </c>
      <c r="S141" s="94" t="s">
        <v>140</v>
      </c>
      <c r="U141" s="764" t="s">
        <v>3484</v>
      </c>
      <c r="V141" s="151" t="s">
        <v>89</v>
      </c>
      <c r="W141" s="435" t="s">
        <v>5438</v>
      </c>
      <c r="AK141" s="777" t="s">
        <v>4420</v>
      </c>
      <c r="AL141" s="151" t="s">
        <v>591</v>
      </c>
      <c r="AM141" s="584" t="s">
        <v>2302</v>
      </c>
      <c r="AO141" s="792" t="s">
        <v>6194</v>
      </c>
      <c r="AP141" s="152" t="s">
        <v>177</v>
      </c>
      <c r="AQ141" s="586" t="s">
        <v>2324</v>
      </c>
      <c r="AU141" s="250" t="s">
        <v>2651</v>
      </c>
      <c r="AV141" s="151" t="s">
        <v>1388</v>
      </c>
      <c r="AW141" s="138" t="str">
        <f t="shared" si="93"/>
        <v>ДП Міра.1/4</v>
      </c>
      <c r="AY141" s="234" t="s">
        <v>1352</v>
      </c>
      <c r="AZ141" s="137" t="s">
        <v>1723</v>
      </c>
      <c r="BA141" s="138" t="str">
        <f t="shared" si="129"/>
        <v>ДП ЛАДА A.3А/1.б/з фальц.</v>
      </c>
      <c r="BK141" s="746" t="s">
        <v>3010</v>
      </c>
      <c r="BL141" s="134" t="s">
        <v>409</v>
      </c>
      <c r="BM141" s="135" t="str">
        <f t="shared" si="131"/>
        <v>ДП Добір-ЛАДА.Verto-Cell</v>
      </c>
      <c r="BS141" s="58" t="s">
        <v>1366</v>
      </c>
      <c r="BT141" s="56" t="s">
        <v>4086</v>
      </c>
      <c r="BU141" s="541" t="str">
        <f t="shared" si="126"/>
        <v>ДП ЛАДА C.5/3.Масив</v>
      </c>
      <c r="BW141" s="162" t="s">
        <v>1344</v>
      </c>
      <c r="BX141" s="566" t="s">
        <v>458</v>
      </c>
      <c r="BY141" s="238" t="str">
        <f t="shared" si="135"/>
        <v>ДП ЛАДА A.2А/1.Сатин</v>
      </c>
      <c r="CA141" s="742" t="s">
        <v>3208</v>
      </c>
      <c r="CB141" s="137"/>
      <c r="CC141" s="138"/>
      <c r="CE141" s="145" t="s">
        <v>3283</v>
      </c>
      <c r="CF141" s="137"/>
      <c r="CG141" s="138" t="str">
        <f t="shared" si="130"/>
        <v>ДП Ліса.б/з фальц..робоча..</v>
      </c>
      <c r="CM141" s="424" t="s">
        <v>3290</v>
      </c>
      <c r="CN141" s="62" t="s">
        <v>4106</v>
      </c>
      <c r="CO141" s="70" t="str">
        <f t="shared" si="132"/>
        <v>ДП ЛАДА-НОВА.фальц..неробоча..(ні)</v>
      </c>
      <c r="CY141" s="750" t="s">
        <v>5737</v>
      </c>
      <c r="CZ141" s="785" t="s">
        <v>4877</v>
      </c>
      <c r="DA141" s="139" t="s">
        <v>859</v>
      </c>
      <c r="DD141" s="165" t="s">
        <v>2464</v>
      </c>
      <c r="DE141" s="166">
        <v>6080</v>
      </c>
      <c r="DF141" s="528">
        <f t="shared" si="100"/>
        <v>6080</v>
      </c>
      <c r="DG141" s="523"/>
      <c r="DH141" s="530">
        <f t="shared" si="118"/>
        <v>6080</v>
      </c>
      <c r="DP141" s="800" t="s">
        <v>1830</v>
      </c>
      <c r="DQ141" s="727">
        <v>410</v>
      </c>
      <c r="DR141" s="525">
        <f t="shared" si="123"/>
        <v>410</v>
      </c>
      <c r="DS141" s="526"/>
      <c r="DT141" s="527">
        <f t="shared" si="97"/>
        <v>410</v>
      </c>
      <c r="DU141" s="166"/>
      <c r="DV141" s="799" t="s">
        <v>4430</v>
      </c>
      <c r="DW141" s="726">
        <v>0</v>
      </c>
      <c r="DX141" s="804">
        <f t="shared" si="133"/>
        <v>0</v>
      </c>
      <c r="DY141" s="523"/>
      <c r="DZ141" s="524">
        <f t="shared" si="134"/>
        <v>0</v>
      </c>
      <c r="EG141" s="165"/>
      <c r="EH141" s="739" t="s">
        <v>3485</v>
      </c>
      <c r="EI141" s="164">
        <v>1780</v>
      </c>
      <c r="EJ141" s="531">
        <f t="shared" si="117"/>
        <v>1780</v>
      </c>
      <c r="EK141" s="526"/>
      <c r="EL141" s="527">
        <f t="shared" si="128"/>
        <v>1780</v>
      </c>
    </row>
    <row r="142" spans="2:142">
      <c r="C142" s="21"/>
      <c r="D142" s="21"/>
      <c r="L142" s="49" t="s">
        <v>125</v>
      </c>
      <c r="M142" s="48" t="s">
        <v>402</v>
      </c>
      <c r="N142" s="94" t="s">
        <v>2083</v>
      </c>
      <c r="O142" s="423" t="s">
        <v>728</v>
      </c>
      <c r="Q142" s="58" t="s">
        <v>125</v>
      </c>
      <c r="R142" s="98" t="s">
        <v>198</v>
      </c>
      <c r="S142" s="94" t="s">
        <v>142</v>
      </c>
      <c r="U142" s="764" t="s">
        <v>3486</v>
      </c>
      <c r="V142" s="151" t="s">
        <v>90</v>
      </c>
      <c r="W142" s="435" t="s">
        <v>5439</v>
      </c>
      <c r="AK142" s="777" t="s">
        <v>4422</v>
      </c>
      <c r="AL142" s="151" t="s">
        <v>808</v>
      </c>
      <c r="AM142" s="584" t="s">
        <v>2303</v>
      </c>
      <c r="AO142" s="598"/>
      <c r="AP142" s="599"/>
      <c r="AQ142" s="586"/>
      <c r="AU142" s="250" t="s">
        <v>2651</v>
      </c>
      <c r="AV142" s="151" t="s">
        <v>1389</v>
      </c>
      <c r="AW142" s="138" t="str">
        <f t="shared" si="93"/>
        <v>ДП Міра.1/5</v>
      </c>
      <c r="AY142" s="224" t="s">
        <v>1352</v>
      </c>
      <c r="AZ142" s="62" t="s">
        <v>1724</v>
      </c>
      <c r="BA142" s="139" t="str">
        <f t="shared" si="129"/>
        <v>ДП ЛАДА A.3А/1.купе.</v>
      </c>
      <c r="BK142" s="742" t="s">
        <v>3010</v>
      </c>
      <c r="BL142" s="137"/>
      <c r="BM142" s="138" t="str">
        <f t="shared" si="131"/>
        <v>ДП Добір-ЛАДА.</v>
      </c>
      <c r="BS142" s="58" t="s">
        <v>1367</v>
      </c>
      <c r="BT142" s="56" t="s">
        <v>4086</v>
      </c>
      <c r="BU142" s="541" t="str">
        <f t="shared" si="126"/>
        <v>ДП ЛАДА C.5/4.Масив</v>
      </c>
      <c r="BW142" s="165" t="s">
        <v>1344</v>
      </c>
      <c r="BX142" s="772" t="s">
        <v>3851</v>
      </c>
      <c r="BY142" s="239" t="str">
        <f t="shared" si="135"/>
        <v>ДП ЛАДА A.2А/1.Графіт</v>
      </c>
      <c r="CA142" s="742" t="s">
        <v>3208</v>
      </c>
      <c r="CB142" s="137" t="s">
        <v>4316</v>
      </c>
      <c r="CC142" s="138" t="str">
        <f>CONCATENATE(CA142,".",CB142)</f>
        <v>ДП Геометрія.фальц.робоча.Magnet цл +3завіс</v>
      </c>
      <c r="CE142" s="146" t="s">
        <v>3283</v>
      </c>
      <c r="CF142" s="137" t="s">
        <v>4261</v>
      </c>
      <c r="CG142" s="138" t="str">
        <f t="shared" si="130"/>
        <v>ДП Ліса.б/з фальц..робоча..ВВ</v>
      </c>
      <c r="CM142" s="86" t="s">
        <v>3291</v>
      </c>
      <c r="CN142" s="56" t="s">
        <v>941</v>
      </c>
      <c r="CO142" s="70" t="str">
        <f t="shared" si="132"/>
        <v>ДП ЛАДА-НОВА.б/з фальц..робоча..Verto-FIT Comfort</v>
      </c>
      <c r="CY142" s="752" t="s">
        <v>5738</v>
      </c>
      <c r="CZ142" s="767" t="s">
        <v>4847</v>
      </c>
      <c r="DA142" s="138" t="s">
        <v>859</v>
      </c>
      <c r="DD142" s="165" t="s">
        <v>2465</v>
      </c>
      <c r="DE142" s="166">
        <v>6080</v>
      </c>
      <c r="DF142" s="528">
        <f t="shared" si="100"/>
        <v>6080</v>
      </c>
      <c r="DG142" s="523"/>
      <c r="DH142" s="530">
        <f t="shared" si="118"/>
        <v>6080</v>
      </c>
      <c r="DP142" s="797" t="s">
        <v>423</v>
      </c>
      <c r="DQ142" s="728">
        <v>0</v>
      </c>
      <c r="DR142" s="528">
        <f t="shared" si="123"/>
        <v>0</v>
      </c>
      <c r="DS142" s="529"/>
      <c r="DT142" s="530">
        <f t="shared" si="97"/>
        <v>0</v>
      </c>
      <c r="DU142" s="166"/>
      <c r="DV142" s="799" t="s">
        <v>4431</v>
      </c>
      <c r="DW142" s="726">
        <v>0</v>
      </c>
      <c r="DX142" s="804">
        <f t="shared" si="133"/>
        <v>0</v>
      </c>
      <c r="DY142" s="523"/>
      <c r="DZ142" s="524">
        <f t="shared" si="134"/>
        <v>0</v>
      </c>
      <c r="EG142" s="165"/>
      <c r="EH142" s="738" t="s">
        <v>3487</v>
      </c>
      <c r="EI142" s="166">
        <v>0</v>
      </c>
      <c r="EJ142" s="522">
        <f t="shared" si="117"/>
        <v>0</v>
      </c>
      <c r="EK142" s="523"/>
      <c r="EL142" s="524">
        <f t="shared" si="128"/>
        <v>0</v>
      </c>
    </row>
    <row r="143" spans="2:142">
      <c r="C143" s="21"/>
      <c r="D143" s="21"/>
      <c r="L143" s="49" t="s">
        <v>126</v>
      </c>
      <c r="M143" s="48" t="s">
        <v>402</v>
      </c>
      <c r="N143" s="94" t="s">
        <v>2083</v>
      </c>
      <c r="O143" s="423" t="s">
        <v>728</v>
      </c>
      <c r="Q143" s="58" t="s">
        <v>126</v>
      </c>
      <c r="R143" s="98" t="s">
        <v>185</v>
      </c>
      <c r="S143" s="94" t="s">
        <v>143</v>
      </c>
      <c r="U143" s="764" t="s">
        <v>3488</v>
      </c>
      <c r="V143" s="151" t="s">
        <v>91</v>
      </c>
      <c r="W143" s="435" t="s">
        <v>5440</v>
      </c>
      <c r="AK143" s="777" t="s">
        <v>4424</v>
      </c>
      <c r="AL143" s="151" t="s">
        <v>809</v>
      </c>
      <c r="AM143" s="584" t="s">
        <v>2304</v>
      </c>
      <c r="AO143" s="789" t="s">
        <v>4850</v>
      </c>
      <c r="AP143" s="101" t="s">
        <v>5495</v>
      </c>
      <c r="AQ143" s="589" t="s">
        <v>2321</v>
      </c>
      <c r="AU143" s="250" t="s">
        <v>2651</v>
      </c>
      <c r="AV143" s="151" t="s">
        <v>1390</v>
      </c>
      <c r="AW143" s="138" t="str">
        <f t="shared" si="93"/>
        <v>ДП Міра.1/6</v>
      </c>
      <c r="AY143" s="234" t="s">
        <v>1353</v>
      </c>
      <c r="AZ143" s="137" t="s">
        <v>1725</v>
      </c>
      <c r="BA143" s="138" t="str">
        <f t="shared" si="129"/>
        <v>ДП ЛАДА A.3А/2.фальц,</v>
      </c>
      <c r="BK143" s="742" t="s">
        <v>3010</v>
      </c>
      <c r="BL143" s="137" t="s">
        <v>1894</v>
      </c>
      <c r="BM143" s="138" t="str">
        <f>CONCATENATE(BK143,".",BL143)</f>
        <v>ДП Добір-ЛАДА.Uni-Mat.</v>
      </c>
      <c r="BS143" s="58" t="s">
        <v>1368</v>
      </c>
      <c r="BT143" s="56" t="s">
        <v>4086</v>
      </c>
      <c r="BU143" s="541" t="str">
        <f t="shared" si="126"/>
        <v>ДП ЛАДА C.5/5.Масив</v>
      </c>
      <c r="BW143" s="108" t="s">
        <v>1344</v>
      </c>
      <c r="BX143" s="567" t="s">
        <v>832</v>
      </c>
      <c r="BY143" s="240" t="str">
        <f t="shared" si="135"/>
        <v>ДП ЛАДА A.2А/1.Бронза</v>
      </c>
      <c r="CA143" s="742" t="s">
        <v>3208</v>
      </c>
      <c r="CB143" s="62" t="s">
        <v>4319</v>
      </c>
      <c r="CC143" s="139" t="str">
        <f>CONCATENATE(CA143,".",CB143)</f>
        <v>ДП Геометрія.фальц.робоча.Magnet ст +3завіс</v>
      </c>
      <c r="CE143" s="147" t="s">
        <v>3283</v>
      </c>
      <c r="CF143" s="62" t="s">
        <v>739</v>
      </c>
      <c r="CG143" s="139" t="str">
        <f t="shared" si="130"/>
        <v>ДП Ліса.б/з фальц..робоча..ВП</v>
      </c>
      <c r="CM143" s="86" t="s">
        <v>3292</v>
      </c>
      <c r="CN143" s="56" t="s">
        <v>841</v>
      </c>
      <c r="CO143" s="70" t="str">
        <f t="shared" si="132"/>
        <v>ДП ЛАДА-НОВА.купе..робоча..Verto-FIT</v>
      </c>
      <c r="CY143" s="750" t="s">
        <v>5739</v>
      </c>
      <c r="CZ143" s="785" t="s">
        <v>4877</v>
      </c>
      <c r="DA143" s="139" t="s">
        <v>859</v>
      </c>
      <c r="DD143" s="165" t="s">
        <v>2466</v>
      </c>
      <c r="DE143" s="166">
        <v>6080</v>
      </c>
      <c r="DF143" s="528">
        <f t="shared" si="100"/>
        <v>6080</v>
      </c>
      <c r="DG143" s="523"/>
      <c r="DH143" s="530">
        <f t="shared" si="118"/>
        <v>6080</v>
      </c>
      <c r="DP143" s="798" t="s">
        <v>424</v>
      </c>
      <c r="DQ143" s="726">
        <v>370</v>
      </c>
      <c r="DR143" s="522">
        <f>ROUND(((DQ143-(DQ143/6))/$DD$3)*$DE$3,2)</f>
        <v>370</v>
      </c>
      <c r="DS143" s="523"/>
      <c r="DT143" s="524">
        <f>IF(DS143="",DR143,
IF(AND($DQ$10&gt;=VLOOKUP(DS143,$DP$5:$DT$9,2,0),$DQ$10&lt;=VLOOKUP(DS143,$DP$5:$DT$9,3,0)),
(DR143*(1-VLOOKUP(DS143,$DP$5:$DT$9,4,0))),
DR143))</f>
        <v>370</v>
      </c>
      <c r="DU143" s="166"/>
      <c r="DV143" s="799" t="s">
        <v>4432</v>
      </c>
      <c r="DW143" s="726">
        <v>450</v>
      </c>
      <c r="DX143" s="804">
        <f t="shared" si="133"/>
        <v>450</v>
      </c>
      <c r="DY143" s="523"/>
      <c r="DZ143" s="524">
        <f t="shared" si="134"/>
        <v>450</v>
      </c>
      <c r="EG143" s="165"/>
      <c r="EH143" s="739" t="s">
        <v>3489</v>
      </c>
      <c r="EI143" s="164">
        <v>1890</v>
      </c>
      <c r="EJ143" s="531">
        <f t="shared" si="117"/>
        <v>1890</v>
      </c>
      <c r="EK143" s="526"/>
      <c r="EL143" s="527">
        <f t="shared" si="128"/>
        <v>1890</v>
      </c>
    </row>
    <row r="144" spans="2:142">
      <c r="C144" s="21"/>
      <c r="D144" s="21"/>
      <c r="L144" s="49" t="s">
        <v>127</v>
      </c>
      <c r="M144" s="48" t="s">
        <v>402</v>
      </c>
      <c r="N144" s="94" t="s">
        <v>2083</v>
      </c>
      <c r="O144" s="423" t="s">
        <v>728</v>
      </c>
      <c r="Q144" s="58" t="s">
        <v>127</v>
      </c>
      <c r="R144" s="98" t="s">
        <v>200</v>
      </c>
      <c r="S144" s="94" t="s">
        <v>146</v>
      </c>
      <c r="U144" s="764" t="s">
        <v>3490</v>
      </c>
      <c r="V144" s="151" t="s">
        <v>92</v>
      </c>
      <c r="W144" s="435" t="s">
        <v>5441</v>
      </c>
      <c r="AK144" s="777" t="s">
        <v>5626</v>
      </c>
      <c r="AL144" s="151" t="s">
        <v>810</v>
      </c>
      <c r="AM144" s="584" t="s">
        <v>5625</v>
      </c>
      <c r="AO144" s="778" t="s">
        <v>4880</v>
      </c>
      <c r="AP144" s="152" t="s">
        <v>177</v>
      </c>
      <c r="AQ144" s="586" t="s">
        <v>2324</v>
      </c>
      <c r="AU144" s="250" t="s">
        <v>2651</v>
      </c>
      <c r="AV144" s="151" t="s">
        <v>197</v>
      </c>
      <c r="AW144" s="138" t="str">
        <f t="shared" si="93"/>
        <v>ДП Міра.2/1</v>
      </c>
      <c r="AY144" s="234" t="s">
        <v>1353</v>
      </c>
      <c r="AZ144" s="137" t="s">
        <v>1723</v>
      </c>
      <c r="BA144" s="138" t="str">
        <f t="shared" si="129"/>
        <v>ДП ЛАДА A.3А/2.б/з фальц.</v>
      </c>
      <c r="BK144" s="742" t="s">
        <v>3010</v>
      </c>
      <c r="BL144" s="137" t="s">
        <v>557</v>
      </c>
      <c r="BM144" s="138" t="str">
        <f t="shared" si="131"/>
        <v>ДП Добір-ЛАДА.Резист</v>
      </c>
      <c r="BS144" s="58" t="s">
        <v>1369</v>
      </c>
      <c r="BT144" s="56" t="s">
        <v>4086</v>
      </c>
      <c r="BU144" s="541" t="str">
        <f t="shared" si="126"/>
        <v>ДП ЛАДА C.5/6.Масив</v>
      </c>
      <c r="BW144" s="58" t="s">
        <v>1351</v>
      </c>
      <c r="BX144" s="784" t="s">
        <v>4106</v>
      </c>
      <c r="BY144" s="239" t="str">
        <f t="shared" si="135"/>
        <v>ДП ЛАДА A.3А/0.(ні)</v>
      </c>
      <c r="CA144" s="746" t="s">
        <v>3215</v>
      </c>
      <c r="CB144" s="137" t="s">
        <v>4106</v>
      </c>
      <c r="CC144" s="138" t="str">
        <f>CONCATENATE(CA144,".",CB144)</f>
        <v>ДП Геометрія.фальц.неробоча.(ні)</v>
      </c>
      <c r="CE144" s="145" t="s">
        <v>3284</v>
      </c>
      <c r="CF144" s="137"/>
      <c r="CG144" s="138" t="str">
        <f t="shared" si="130"/>
        <v>ДП Ліса.купе..робоча..</v>
      </c>
      <c r="CM144" s="432"/>
      <c r="CN144" s="427"/>
      <c r="CO144" s="428"/>
      <c r="CY144" s="752" t="s">
        <v>5740</v>
      </c>
      <c r="CZ144" s="767" t="s">
        <v>4847</v>
      </c>
      <c r="DA144" s="138" t="s">
        <v>859</v>
      </c>
      <c r="DD144" s="165" t="s">
        <v>2467</v>
      </c>
      <c r="DE144" s="166">
        <v>6080</v>
      </c>
      <c r="DF144" s="528">
        <f t="shared" si="100"/>
        <v>6080</v>
      </c>
      <c r="DG144" s="523"/>
      <c r="DH144" s="530">
        <f t="shared" si="118"/>
        <v>6080</v>
      </c>
      <c r="DP144" s="799" t="s">
        <v>3878</v>
      </c>
      <c r="DQ144" s="726">
        <v>410</v>
      </c>
      <c r="DR144" s="522">
        <f t="shared" si="123"/>
        <v>410</v>
      </c>
      <c r="DS144" s="523"/>
      <c r="DT144" s="524">
        <f t="shared" si="97"/>
        <v>410</v>
      </c>
      <c r="DU144" s="166"/>
      <c r="DV144" s="799" t="s">
        <v>4433</v>
      </c>
      <c r="DW144" s="726">
        <v>450</v>
      </c>
      <c r="DX144" s="804">
        <f t="shared" si="133"/>
        <v>450</v>
      </c>
      <c r="DY144" s="523"/>
      <c r="DZ144" s="524">
        <f t="shared" si="134"/>
        <v>450</v>
      </c>
      <c r="EG144" s="165"/>
      <c r="EH144" s="738" t="s">
        <v>5085</v>
      </c>
      <c r="EI144" s="166">
        <v>0</v>
      </c>
      <c r="EJ144" s="522">
        <f>ROUND(((EI144-(EI144/6))/$DD$3)*$DE$3,2)</f>
        <v>0</v>
      </c>
      <c r="EK144" s="523"/>
      <c r="EL144" s="524">
        <f>IF(EK144="",EJ144,
IF(AND($EI$10&gt;=VLOOKUP(EK144,$EH$5:$EL$9,2,0),$EI$10&lt;=VLOOKUP(EK144,$EH$5:$EL$9,3,0)),
(EJ144*(1-VLOOKUP(EK144,$EH$5:$EL$9,4,0))),
EJ144))</f>
        <v>0</v>
      </c>
    </row>
    <row r="145" spans="3:143">
      <c r="C145" s="21"/>
      <c r="D145" s="21"/>
      <c r="L145" s="49" t="s">
        <v>650</v>
      </c>
      <c r="M145" s="48" t="s">
        <v>402</v>
      </c>
      <c r="N145" s="94" t="s">
        <v>2083</v>
      </c>
      <c r="O145" s="423" t="s">
        <v>728</v>
      </c>
      <c r="Q145" s="49" t="s">
        <v>650</v>
      </c>
      <c r="R145" s="98" t="s">
        <v>187</v>
      </c>
      <c r="S145" s="94" t="s">
        <v>147</v>
      </c>
      <c r="U145" s="765" t="s">
        <v>3491</v>
      </c>
      <c r="V145" s="152" t="s">
        <v>93</v>
      </c>
      <c r="W145" s="599" t="s">
        <v>5442</v>
      </c>
      <c r="AK145" s="777" t="s">
        <v>5627</v>
      </c>
      <c r="AL145" s="151" t="s">
        <v>5630</v>
      </c>
      <c r="AM145" s="584" t="s">
        <v>5633</v>
      </c>
      <c r="AO145" s="791" t="s">
        <v>4851</v>
      </c>
      <c r="AP145" s="151" t="s">
        <v>5495</v>
      </c>
      <c r="AQ145" s="584" t="s">
        <v>2321</v>
      </c>
      <c r="AU145" s="250" t="s">
        <v>2651</v>
      </c>
      <c r="AV145" s="151" t="s">
        <v>198</v>
      </c>
      <c r="AW145" s="138" t="str">
        <f t="shared" si="93"/>
        <v>ДП Міра.2/2</v>
      </c>
      <c r="AY145" s="224" t="s">
        <v>1353</v>
      </c>
      <c r="AZ145" s="62" t="s">
        <v>1724</v>
      </c>
      <c r="BA145" s="139" t="str">
        <f t="shared" si="129"/>
        <v>ДП ЛАДА A.3А/2.купе.</v>
      </c>
      <c r="BK145" s="742" t="s">
        <v>3010</v>
      </c>
      <c r="BL145" s="137" t="s">
        <v>62</v>
      </c>
      <c r="BM145" s="138" t="str">
        <f t="shared" si="131"/>
        <v>ДП Добір-ЛАДА.LINE-3D</v>
      </c>
      <c r="BS145" s="426"/>
      <c r="BT145" s="427"/>
      <c r="BU145" s="428"/>
      <c r="BW145" s="162" t="s">
        <v>1352</v>
      </c>
      <c r="BX145" s="566" t="s">
        <v>458</v>
      </c>
      <c r="BY145" s="238" t="str">
        <f t="shared" si="135"/>
        <v>ДП ЛАДА A.3А/1.Сатин</v>
      </c>
      <c r="CA145" s="742" t="s">
        <v>3215</v>
      </c>
      <c r="CB145" s="137"/>
      <c r="CC145" s="21"/>
      <c r="CE145" s="146" t="s">
        <v>3284</v>
      </c>
      <c r="CF145" s="62" t="s">
        <v>4261</v>
      </c>
      <c r="CG145" s="139" t="str">
        <f t="shared" si="130"/>
        <v>ДП Ліса.купе..робоча..ВВ</v>
      </c>
      <c r="CM145" s="742" t="s">
        <v>3293</v>
      </c>
      <c r="CN145" s="137" t="s">
        <v>975</v>
      </c>
      <c r="CO145" s="138" t="str">
        <f t="shared" ref="CO145:CO151" si="136">CONCATENATE(CM145,".",CN145)</f>
        <v>ДП Міра.фальц..робоча..Standard-MDF</v>
      </c>
      <c r="CY145" s="750" t="s">
        <v>5741</v>
      </c>
      <c r="CZ145" s="785" t="s">
        <v>4877</v>
      </c>
      <c r="DA145" s="139" t="s">
        <v>859</v>
      </c>
      <c r="DD145" s="165" t="s">
        <v>2468</v>
      </c>
      <c r="DE145" s="166">
        <v>6080</v>
      </c>
      <c r="DF145" s="528">
        <f t="shared" si="100"/>
        <v>6080</v>
      </c>
      <c r="DG145" s="523"/>
      <c r="DH145" s="530">
        <f t="shared" si="118"/>
        <v>6080</v>
      </c>
      <c r="DP145" s="800" t="s">
        <v>1831</v>
      </c>
      <c r="DQ145" s="727">
        <v>410</v>
      </c>
      <c r="DR145" s="525">
        <f t="shared" si="123"/>
        <v>410</v>
      </c>
      <c r="DS145" s="526"/>
      <c r="DT145" s="527">
        <f t="shared" si="97"/>
        <v>410</v>
      </c>
      <c r="DU145" s="166"/>
      <c r="DV145" s="799" t="s">
        <v>4434</v>
      </c>
      <c r="DW145" s="726">
        <v>660</v>
      </c>
      <c r="DX145" s="804">
        <f t="shared" si="133"/>
        <v>660</v>
      </c>
      <c r="DY145" s="523"/>
      <c r="DZ145" s="524">
        <f t="shared" si="134"/>
        <v>660</v>
      </c>
      <c r="EG145" s="165"/>
      <c r="EH145" s="739" t="s">
        <v>5086</v>
      </c>
      <c r="EI145" s="164">
        <v>2010</v>
      </c>
      <c r="EJ145" s="531">
        <f>ROUND(((EI145-(EI145/6))/$DD$3)*$DE$3,2)</f>
        <v>2010</v>
      </c>
      <c r="EK145" s="526"/>
      <c r="EL145" s="527">
        <f>IF(EK145="",EJ145,
IF(AND($EI$10&gt;=VLOOKUP(EK145,$EH$5:$EL$9,2,0),$EI$10&lt;=VLOOKUP(EK145,$EH$5:$EL$9,3,0)),
(EJ145*(1-VLOOKUP(EK145,$EH$5:$EL$9,4,0))),
EJ145))</f>
        <v>2010</v>
      </c>
    </row>
    <row r="146" spans="3:143">
      <c r="C146" s="21"/>
      <c r="D146" s="21"/>
      <c r="L146" s="49" t="s">
        <v>1061</v>
      </c>
      <c r="M146" s="48" t="s">
        <v>402</v>
      </c>
      <c r="N146" s="94" t="s">
        <v>2083</v>
      </c>
      <c r="O146" s="423" t="s">
        <v>728</v>
      </c>
      <c r="P146" s="21"/>
      <c r="Q146" s="49" t="s">
        <v>1061</v>
      </c>
      <c r="R146" s="98" t="s">
        <v>202</v>
      </c>
      <c r="S146" s="94" t="s">
        <v>150</v>
      </c>
      <c r="U146" s="815"/>
      <c r="V146" s="816"/>
      <c r="W146" s="808"/>
      <c r="AK146" s="777" t="s">
        <v>5628</v>
      </c>
      <c r="AL146" s="151" t="s">
        <v>5631</v>
      </c>
      <c r="AM146" s="584" t="s">
        <v>5634</v>
      </c>
      <c r="AO146" s="792" t="s">
        <v>4881</v>
      </c>
      <c r="AP146" s="152" t="s">
        <v>177</v>
      </c>
      <c r="AQ146" s="586" t="s">
        <v>2324</v>
      </c>
      <c r="AU146" s="249" t="s">
        <v>2651</v>
      </c>
      <c r="AV146" s="152" t="s">
        <v>1398</v>
      </c>
      <c r="AW146" s="139" t="str">
        <f t="shared" si="93"/>
        <v>ДП Міра.2/3</v>
      </c>
      <c r="AY146" s="234" t="s">
        <v>1378</v>
      </c>
      <c r="AZ146" s="137" t="s">
        <v>1725</v>
      </c>
      <c r="BA146" s="138" t="str">
        <f t="shared" si="129"/>
        <v>ДП ЛАДА A.8/0.фальц,</v>
      </c>
      <c r="BK146" s="424" t="s">
        <v>3010</v>
      </c>
      <c r="BL146" s="62" t="s">
        <v>5071</v>
      </c>
      <c r="BM146" s="139" t="str">
        <f t="shared" si="131"/>
        <v>ДП Добір-ЛАДА.Е-шпон</v>
      </c>
      <c r="BS146" s="58" t="s">
        <v>1370</v>
      </c>
      <c r="BT146" s="56" t="s">
        <v>4086</v>
      </c>
      <c r="BU146" s="541" t="str">
        <f t="shared" ref="BU146:BU153" si="137">CONCATENATE(BS146,".",BT146)</f>
        <v>ДП ЛАДА D.6/0.Масив</v>
      </c>
      <c r="BW146" s="165" t="s">
        <v>1352</v>
      </c>
      <c r="BX146" s="772" t="s">
        <v>3851</v>
      </c>
      <c r="BY146" s="239" t="str">
        <f t="shared" si="135"/>
        <v>ДП ЛАДА A.3А/1.Графіт</v>
      </c>
      <c r="CA146" s="742" t="s">
        <v>3215</v>
      </c>
      <c r="CB146" s="137" t="s">
        <v>4323</v>
      </c>
      <c r="CC146" s="138" t="str">
        <f>CONCATENATE(CA146,".",CB146)</f>
        <v>ДП Геометрія.фальц.неробоча.Пл Stand +2завіс</v>
      </c>
      <c r="CE146" s="546"/>
      <c r="CF146" s="544"/>
      <c r="CG146" s="545"/>
      <c r="CM146" s="742" t="s">
        <v>3293</v>
      </c>
      <c r="CN146" s="137" t="s">
        <v>840</v>
      </c>
      <c r="CO146" s="138" t="str">
        <f t="shared" si="136"/>
        <v>ДП Міра.фальц..робоча..Standard</v>
      </c>
      <c r="CY146" s="752" t="s">
        <v>4828</v>
      </c>
      <c r="CZ146" s="151" t="s">
        <v>4848</v>
      </c>
      <c r="DA146" s="138" t="s">
        <v>859</v>
      </c>
      <c r="DD146" s="165" t="s">
        <v>2469</v>
      </c>
      <c r="DE146" s="166">
        <v>6550.0000000000009</v>
      </c>
      <c r="DF146" s="528">
        <f t="shared" si="100"/>
        <v>6550</v>
      </c>
      <c r="DG146" s="523"/>
      <c r="DH146" s="530">
        <f t="shared" si="118"/>
        <v>6550</v>
      </c>
      <c r="DP146" s="256"/>
      <c r="DQ146" s="257"/>
      <c r="DR146" s="517"/>
      <c r="DS146" s="532"/>
      <c r="DT146" s="259"/>
      <c r="DU146" s="166"/>
      <c r="DV146" s="805" t="s">
        <v>4436</v>
      </c>
      <c r="DW146" s="727">
        <v>660</v>
      </c>
      <c r="DX146" s="806">
        <f t="shared" si="133"/>
        <v>660</v>
      </c>
      <c r="DY146" s="526"/>
      <c r="DZ146" s="527">
        <f t="shared" si="134"/>
        <v>660</v>
      </c>
      <c r="EG146" s="165"/>
      <c r="EH146" s="738" t="s">
        <v>3492</v>
      </c>
      <c r="EI146" s="166">
        <v>0</v>
      </c>
      <c r="EJ146" s="522">
        <f t="shared" si="117"/>
        <v>0</v>
      </c>
      <c r="EK146" s="523"/>
      <c r="EL146" s="524">
        <f t="shared" si="128"/>
        <v>0</v>
      </c>
    </row>
    <row r="147" spans="3:143">
      <c r="C147" s="21"/>
      <c r="D147" s="21"/>
      <c r="L147" s="49" t="s">
        <v>1062</v>
      </c>
      <c r="M147" s="48" t="s">
        <v>402</v>
      </c>
      <c r="N147" s="94" t="s">
        <v>2083</v>
      </c>
      <c r="O147" s="423" t="s">
        <v>728</v>
      </c>
      <c r="Q147" s="49" t="s">
        <v>1062</v>
      </c>
      <c r="R147" s="98" t="s">
        <v>191</v>
      </c>
      <c r="S147" s="94" t="s">
        <v>740</v>
      </c>
      <c r="U147" s="744" t="s">
        <v>3493</v>
      </c>
      <c r="V147" s="477" t="s">
        <v>239</v>
      </c>
      <c r="W147" s="100" t="s">
        <v>2188</v>
      </c>
      <c r="AK147" s="777" t="s">
        <v>5629</v>
      </c>
      <c r="AL147" s="151" t="s">
        <v>5632</v>
      </c>
      <c r="AM147" s="584" t="s">
        <v>5625</v>
      </c>
      <c r="AO147" s="791" t="s">
        <v>4852</v>
      </c>
      <c r="AP147" s="151" t="s">
        <v>5495</v>
      </c>
      <c r="AQ147" s="584" t="s">
        <v>2321</v>
      </c>
      <c r="AU147" s="231" t="s">
        <v>1075</v>
      </c>
      <c r="AV147" s="150" t="s">
        <v>194</v>
      </c>
      <c r="AW147" s="135" t="str">
        <f t="shared" si="93"/>
        <v>ДП ЛАДА-ЛОФТ.1/0</v>
      </c>
      <c r="AY147" s="234" t="s">
        <v>1378</v>
      </c>
      <c r="AZ147" s="137" t="s">
        <v>1723</v>
      </c>
      <c r="BA147" s="138" t="str">
        <f t="shared" si="129"/>
        <v>ДП ЛАДА A.8/0.б/з фальц.</v>
      </c>
      <c r="BK147" s="426"/>
      <c r="BL147" s="427"/>
      <c r="BM147" s="428"/>
      <c r="BS147" s="58" t="s">
        <v>1371</v>
      </c>
      <c r="BT147" s="56" t="s">
        <v>4086</v>
      </c>
      <c r="BU147" s="541" t="str">
        <f t="shared" si="137"/>
        <v>ДП ЛАДА D.6/1.Масив</v>
      </c>
      <c r="BW147" s="108" t="s">
        <v>1352</v>
      </c>
      <c r="BX147" s="567" t="s">
        <v>832</v>
      </c>
      <c r="BY147" s="240" t="str">
        <f t="shared" si="135"/>
        <v>ДП ЛАДА A.3А/1.Бронза</v>
      </c>
      <c r="CA147" s="742" t="s">
        <v>3215</v>
      </c>
      <c r="CB147" s="137" t="s">
        <v>4325</v>
      </c>
      <c r="CC147" s="138" t="str">
        <f>CONCATENATE(CA147,".",CB147)</f>
        <v>ДП Геометрія.фальц.неробоча.Пл Stand +3завіс</v>
      </c>
      <c r="CE147" s="742" t="s">
        <v>3285</v>
      </c>
      <c r="CF147" s="137"/>
      <c r="CG147" s="138" t="str">
        <f t="shared" ref="CG147:CG157" si="138">CONCATENATE(CE147,".",CF147)</f>
        <v>ДП ЛАДА-КОНЦЕПТ.фальц..робоча..</v>
      </c>
      <c r="CM147" s="742" t="s">
        <v>3293</v>
      </c>
      <c r="CN147" s="137" t="s">
        <v>841</v>
      </c>
      <c r="CO147" s="138" t="str">
        <f t="shared" si="136"/>
        <v>ДП Міра.фальц..робоча..Verto-FIT</v>
      </c>
      <c r="CY147" s="750" t="s">
        <v>4858</v>
      </c>
      <c r="CZ147" s="152" t="s">
        <v>4878</v>
      </c>
      <c r="DA147" s="139" t="s">
        <v>859</v>
      </c>
      <c r="DD147" s="165" t="s">
        <v>2470</v>
      </c>
      <c r="DE147" s="166">
        <v>6550.0000000000009</v>
      </c>
      <c r="DF147" s="528">
        <f t="shared" si="100"/>
        <v>6550</v>
      </c>
      <c r="DG147" s="523"/>
      <c r="DH147" s="530">
        <f t="shared" si="118"/>
        <v>6550</v>
      </c>
      <c r="DP147" s="736" t="s">
        <v>4136</v>
      </c>
      <c r="DQ147" s="105">
        <v>0</v>
      </c>
      <c r="DR147" s="403">
        <f t="shared" si="123"/>
        <v>0</v>
      </c>
      <c r="DS147" s="514"/>
      <c r="DT147" s="511">
        <f t="shared" si="97"/>
        <v>0</v>
      </c>
      <c r="DU147" s="166"/>
      <c r="DV147" s="802" t="s">
        <v>4438</v>
      </c>
      <c r="DW147" s="728">
        <v>60</v>
      </c>
      <c r="DX147" s="803">
        <f t="shared" si="133"/>
        <v>60</v>
      </c>
      <c r="DY147" s="529"/>
      <c r="DZ147" s="530">
        <f t="shared" si="134"/>
        <v>60</v>
      </c>
      <c r="EG147" s="165"/>
      <c r="EH147" s="739" t="s">
        <v>3494</v>
      </c>
      <c r="EI147" s="164">
        <v>2010</v>
      </c>
      <c r="EJ147" s="531">
        <f t="shared" si="117"/>
        <v>2010</v>
      </c>
      <c r="EK147" s="526"/>
      <c r="EL147" s="527">
        <f t="shared" si="128"/>
        <v>2010</v>
      </c>
    </row>
    <row r="148" spans="3:143">
      <c r="C148" s="21"/>
      <c r="D148" s="21"/>
      <c r="L148" s="49" t="s">
        <v>1063</v>
      </c>
      <c r="M148" s="48" t="s">
        <v>402</v>
      </c>
      <c r="N148" s="94" t="s">
        <v>2083</v>
      </c>
      <c r="O148" s="423" t="s">
        <v>728</v>
      </c>
      <c r="Q148" s="49" t="s">
        <v>1063</v>
      </c>
      <c r="R148" s="98" t="s">
        <v>192</v>
      </c>
      <c r="S148" s="94" t="s">
        <v>741</v>
      </c>
      <c r="U148" s="740" t="s">
        <v>3495</v>
      </c>
      <c r="V148" s="478" t="s">
        <v>240</v>
      </c>
      <c r="W148" s="159" t="s">
        <v>2189</v>
      </c>
      <c r="AK148" s="591"/>
      <c r="AL148" s="475"/>
      <c r="AM148" s="592"/>
      <c r="AO148" s="792" t="s">
        <v>4882</v>
      </c>
      <c r="AP148" s="152" t="s">
        <v>177</v>
      </c>
      <c r="AQ148" s="586" t="s">
        <v>2324</v>
      </c>
      <c r="AU148" s="250" t="s">
        <v>1075</v>
      </c>
      <c r="AV148" s="148" t="s">
        <v>195</v>
      </c>
      <c r="AW148" s="138" t="str">
        <f t="shared" ref="AW148:AW211" si="139">CONCATENATE(AU148,".",AV148)</f>
        <v>ДП ЛАДА-ЛОФТ.1/1</v>
      </c>
      <c r="AY148" s="224" t="s">
        <v>1378</v>
      </c>
      <c r="AZ148" s="62" t="s">
        <v>1724</v>
      </c>
      <c r="BA148" s="139" t="str">
        <f t="shared" si="129"/>
        <v>ДП ЛАДА A.8/0.купе.</v>
      </c>
      <c r="BK148" s="142" t="s">
        <v>901</v>
      </c>
      <c r="BL148" s="134" t="s">
        <v>4904</v>
      </c>
      <c r="BM148" s="135" t="str">
        <f t="shared" ref="BM148:BM155" si="140">CONCATENATE(BK148,".",BL148)</f>
        <v>КД Standard-MDF.Сімплекс</v>
      </c>
      <c r="BS148" s="58" t="s">
        <v>1372</v>
      </c>
      <c r="BT148" s="56" t="s">
        <v>4086</v>
      </c>
      <c r="BU148" s="541" t="str">
        <f t="shared" si="137"/>
        <v>ДП ЛАДА D.6/2.Масив</v>
      </c>
      <c r="BW148" s="162" t="s">
        <v>1353</v>
      </c>
      <c r="BX148" s="566" t="s">
        <v>458</v>
      </c>
      <c r="BY148" s="238" t="str">
        <f t="shared" si="135"/>
        <v>ДП ЛАДА A.3А/2.Сатин</v>
      </c>
      <c r="CA148" s="742" t="s">
        <v>3215</v>
      </c>
      <c r="CB148" s="137"/>
      <c r="CC148" s="138"/>
      <c r="CE148" s="742" t="s">
        <v>3285</v>
      </c>
      <c r="CF148" s="137" t="s">
        <v>4261</v>
      </c>
      <c r="CG148" s="138" t="str">
        <f t="shared" si="138"/>
        <v>ДП ЛАДА-КОНЦЕПТ.фальц..робоча..ВВ</v>
      </c>
      <c r="CM148" s="424" t="s">
        <v>3293</v>
      </c>
      <c r="CN148" s="62" t="s">
        <v>371</v>
      </c>
      <c r="CO148" s="139" t="str">
        <f t="shared" si="136"/>
        <v>ДП Міра.фальц..робоча..Verto-FIT Plus</v>
      </c>
      <c r="CY148" s="752" t="s">
        <v>4829</v>
      </c>
      <c r="CZ148" s="151" t="s">
        <v>4848</v>
      </c>
      <c r="DA148" s="138" t="s">
        <v>859</v>
      </c>
      <c r="DD148" s="165" t="s">
        <v>2471</v>
      </c>
      <c r="DE148" s="166">
        <v>4990.0000000000009</v>
      </c>
      <c r="DF148" s="528">
        <f t="shared" si="100"/>
        <v>4990</v>
      </c>
      <c r="DG148" s="523"/>
      <c r="DH148" s="530">
        <f t="shared" si="118"/>
        <v>4990</v>
      </c>
      <c r="DP148" s="736" t="s">
        <v>4137</v>
      </c>
      <c r="DQ148" s="105">
        <v>0</v>
      </c>
      <c r="DR148" s="403">
        <f t="shared" si="123"/>
        <v>0</v>
      </c>
      <c r="DS148" s="514"/>
      <c r="DT148" s="511">
        <f t="shared" si="97"/>
        <v>0</v>
      </c>
      <c r="DU148" s="166"/>
      <c r="DV148" s="799" t="s">
        <v>4440</v>
      </c>
      <c r="DW148" s="726">
        <v>60</v>
      </c>
      <c r="DX148" s="804">
        <f t="shared" si="133"/>
        <v>60</v>
      </c>
      <c r="DY148" s="523"/>
      <c r="DZ148" s="524">
        <f t="shared" si="134"/>
        <v>60</v>
      </c>
      <c r="EG148" s="165"/>
      <c r="EH148" s="538"/>
      <c r="EI148" s="539"/>
      <c r="EJ148" s="650"/>
      <c r="EK148" s="651"/>
      <c r="EL148" s="652"/>
      <c r="EM148" s="121"/>
    </row>
    <row r="149" spans="3:143">
      <c r="C149" s="21"/>
      <c r="D149" s="21"/>
      <c r="L149" s="49" t="s">
        <v>1064</v>
      </c>
      <c r="M149" s="48" t="s">
        <v>402</v>
      </c>
      <c r="N149" s="94" t="s">
        <v>2083</v>
      </c>
      <c r="O149" s="423" t="s">
        <v>728</v>
      </c>
      <c r="Q149" s="49" t="s">
        <v>1064</v>
      </c>
      <c r="R149" s="98" t="s">
        <v>193</v>
      </c>
      <c r="S149" s="94" t="s">
        <v>742</v>
      </c>
      <c r="U149" s="740" t="s">
        <v>3496</v>
      </c>
      <c r="V149" s="478" t="s">
        <v>241</v>
      </c>
      <c r="W149" s="159" t="s">
        <v>2190</v>
      </c>
      <c r="AK149" s="583"/>
      <c r="AL149" s="478"/>
      <c r="AM149" s="584"/>
      <c r="AO149" s="791" t="s">
        <v>6195</v>
      </c>
      <c r="AP149" s="151" t="s">
        <v>5495</v>
      </c>
      <c r="AQ149" s="584" t="s">
        <v>2321</v>
      </c>
      <c r="AU149" s="250" t="s">
        <v>1075</v>
      </c>
      <c r="AV149" s="148" t="s">
        <v>185</v>
      </c>
      <c r="AW149" s="138" t="str">
        <f t="shared" si="139"/>
        <v>ДП ЛАДА-ЛОФТ.3/0</v>
      </c>
      <c r="AY149" s="234" t="s">
        <v>1379</v>
      </c>
      <c r="AZ149" s="137" t="s">
        <v>1725</v>
      </c>
      <c r="BA149" s="138" t="str">
        <f t="shared" si="129"/>
        <v>ДП ЛАДА A.8/1.фальц,</v>
      </c>
      <c r="BK149" s="143" t="s">
        <v>901</v>
      </c>
      <c r="BL149" s="137" t="s">
        <v>409</v>
      </c>
      <c r="BM149" s="138" t="str">
        <f t="shared" si="140"/>
        <v>КД Standard-MDF.Verto-Cell</v>
      </c>
      <c r="BS149" s="58" t="s">
        <v>1373</v>
      </c>
      <c r="BT149" s="56" t="s">
        <v>4086</v>
      </c>
      <c r="BU149" s="541" t="str">
        <f t="shared" si="137"/>
        <v>ДП ЛАДА D.6/3.Масив</v>
      </c>
      <c r="BW149" s="165" t="s">
        <v>1353</v>
      </c>
      <c r="BX149" s="772" t="s">
        <v>3851</v>
      </c>
      <c r="BY149" s="239" t="str">
        <f t="shared" si="135"/>
        <v>ДП ЛАДА A.3А/2.Графіт</v>
      </c>
      <c r="CA149" s="742" t="s">
        <v>3215</v>
      </c>
      <c r="CB149" s="137" t="s">
        <v>4330</v>
      </c>
      <c r="CC149" s="138" t="str">
        <f>CONCATENATE(CA149,".",CB149)</f>
        <v>ДП Геометрія.фальц.неробоча.Пл Soft +2завіс</v>
      </c>
      <c r="CE149" s="424" t="s">
        <v>3285</v>
      </c>
      <c r="CF149" s="62" t="s">
        <v>739</v>
      </c>
      <c r="CG149" s="139" t="str">
        <f t="shared" si="138"/>
        <v>ДП ЛАДА-КОНЦЕПТ.фальц..робоча..ВП</v>
      </c>
      <c r="CM149" s="424" t="s">
        <v>3294</v>
      </c>
      <c r="CN149" s="62" t="s">
        <v>4106</v>
      </c>
      <c r="CO149" s="70" t="str">
        <f t="shared" si="136"/>
        <v>ДП Міра.фальц..неробоча..(ні)</v>
      </c>
      <c r="CY149" s="750" t="s">
        <v>4859</v>
      </c>
      <c r="CZ149" s="152" t="s">
        <v>4878</v>
      </c>
      <c r="DA149" s="139" t="s">
        <v>859</v>
      </c>
      <c r="DD149" s="108" t="s">
        <v>2472</v>
      </c>
      <c r="DE149" s="164">
        <v>4990.0000000000009</v>
      </c>
      <c r="DF149" s="528">
        <f t="shared" si="100"/>
        <v>4990</v>
      </c>
      <c r="DG149" s="526"/>
      <c r="DH149" s="530">
        <f>IF(DG149="",DF149,
IF(AND($DE$10&gt;=VLOOKUP(DG149,$DD$5:$DH$9,2,0),$DE$10&lt;=VLOOKUP(DG149,$DD$5:$DH$9,3,0)),
(DF149*(1-VLOOKUP(DG149,$DD$5:$DH$9,4,0))),
DF149))</f>
        <v>4990</v>
      </c>
      <c r="DP149" s="162" t="s">
        <v>2473</v>
      </c>
      <c r="DQ149" s="163">
        <v>0</v>
      </c>
      <c r="DR149" s="528">
        <f t="shared" si="123"/>
        <v>0</v>
      </c>
      <c r="DS149" s="529"/>
      <c r="DT149" s="530">
        <f t="shared" si="97"/>
        <v>0</v>
      </c>
      <c r="DU149" s="166"/>
      <c r="DV149" s="799" t="s">
        <v>4441</v>
      </c>
      <c r="DW149" s="726">
        <v>60</v>
      </c>
      <c r="DX149" s="804">
        <f t="shared" si="133"/>
        <v>60</v>
      </c>
      <c r="DY149" s="523"/>
      <c r="DZ149" s="524">
        <f t="shared" si="134"/>
        <v>60</v>
      </c>
      <c r="EG149" s="165"/>
      <c r="EH149" s="737" t="s">
        <v>4960</v>
      </c>
      <c r="EI149" s="163">
        <v>0</v>
      </c>
      <c r="EJ149" s="537">
        <f t="shared" si="117"/>
        <v>0</v>
      </c>
      <c r="EK149" s="529"/>
      <c r="EL149" s="530">
        <f t="shared" si="128"/>
        <v>0</v>
      </c>
    </row>
    <row r="150" spans="3:143">
      <c r="C150" s="21"/>
      <c r="D150" s="21"/>
      <c r="L150" s="49"/>
      <c r="M150" s="48"/>
      <c r="N150" s="94"/>
      <c r="O150" s="423"/>
      <c r="Q150" s="49"/>
      <c r="R150" s="98"/>
      <c r="S150" s="94"/>
      <c r="U150" s="740" t="s">
        <v>3497</v>
      </c>
      <c r="V150" s="478" t="s">
        <v>242</v>
      </c>
      <c r="W150" s="159" t="s">
        <v>2191</v>
      </c>
      <c r="AK150" s="593"/>
      <c r="AL150" s="577"/>
      <c r="AM150" s="594"/>
      <c r="AO150" s="792" t="s">
        <v>6196</v>
      </c>
      <c r="AP150" s="152" t="s">
        <v>177</v>
      </c>
      <c r="AQ150" s="586" t="s">
        <v>2324</v>
      </c>
      <c r="AU150" s="250" t="s">
        <v>1075</v>
      </c>
      <c r="AV150" s="148" t="s">
        <v>186</v>
      </c>
      <c r="AW150" s="138" t="str">
        <f t="shared" si="139"/>
        <v>ДП ЛАДА-ЛОФТ.3/1</v>
      </c>
      <c r="AY150" s="234" t="s">
        <v>1379</v>
      </c>
      <c r="AZ150" s="137" t="s">
        <v>1723</v>
      </c>
      <c r="BA150" s="138" t="str">
        <f t="shared" si="129"/>
        <v>ДП ЛАДА A.8/1.б/з фальц.</v>
      </c>
      <c r="BK150" s="143" t="s">
        <v>901</v>
      </c>
      <c r="BL150" s="137"/>
      <c r="BM150" s="138" t="str">
        <f>CONCATENATE(BK150,".",BL150)</f>
        <v>КД Standard-MDF.</v>
      </c>
      <c r="BS150" s="58" t="s">
        <v>1374</v>
      </c>
      <c r="BT150" s="56" t="s">
        <v>4086</v>
      </c>
      <c r="BU150" s="541" t="str">
        <f t="shared" si="137"/>
        <v>ДП ЛАДА D.6/4.Масив</v>
      </c>
      <c r="BW150" s="108" t="s">
        <v>1353</v>
      </c>
      <c r="BX150" s="567" t="s">
        <v>832</v>
      </c>
      <c r="BY150" s="240" t="str">
        <f t="shared" si="135"/>
        <v>ДП ЛАДА A.3А/2.Бронза</v>
      </c>
      <c r="CA150" s="742" t="s">
        <v>3215</v>
      </c>
      <c r="CB150" s="137" t="s">
        <v>4333</v>
      </c>
      <c r="CC150" s="138" t="str">
        <f>CONCATENATE(CA150,".",CB150)</f>
        <v>ДП Геометрія.фальц.неробоча.Пл Soft +3завіс</v>
      </c>
      <c r="CE150" s="742" t="s">
        <v>3286</v>
      </c>
      <c r="CF150" s="137"/>
      <c r="CG150" s="138" t="str">
        <f t="shared" si="138"/>
        <v>ДП ЛАДА-КОНЦЕПТ.фальц..неробоча..</v>
      </c>
      <c r="CM150" s="86" t="s">
        <v>3295</v>
      </c>
      <c r="CN150" s="56" t="s">
        <v>941</v>
      </c>
      <c r="CO150" s="70" t="str">
        <f t="shared" si="136"/>
        <v>ДП Міра.б/з фальц..робоча..Verto-FIT Comfort</v>
      </c>
      <c r="CY150" s="752" t="s">
        <v>4830</v>
      </c>
      <c r="CZ150" s="151" t="s">
        <v>4849</v>
      </c>
      <c r="DA150" s="138" t="s">
        <v>859</v>
      </c>
      <c r="DD150" s="636"/>
      <c r="DE150" s="637"/>
      <c r="DF150" s="638"/>
      <c r="DG150" s="639"/>
      <c r="DH150" s="640"/>
      <c r="DP150" s="738" t="s">
        <v>4209</v>
      </c>
      <c r="DQ150" s="166">
        <v>0</v>
      </c>
      <c r="DR150" s="522">
        <f t="shared" si="123"/>
        <v>0</v>
      </c>
      <c r="DS150" s="523"/>
      <c r="DT150" s="524">
        <f t="shared" si="97"/>
        <v>0</v>
      </c>
      <c r="DU150" s="166"/>
      <c r="DV150" s="799" t="s">
        <v>4443</v>
      </c>
      <c r="DW150" s="726">
        <v>510</v>
      </c>
      <c r="DX150" s="804">
        <f t="shared" si="133"/>
        <v>510</v>
      </c>
      <c r="DY150" s="523"/>
      <c r="DZ150" s="524">
        <f t="shared" si="134"/>
        <v>510</v>
      </c>
      <c r="EG150" s="165"/>
      <c r="EH150" s="739" t="s">
        <v>4961</v>
      </c>
      <c r="EI150" s="164">
        <v>1570</v>
      </c>
      <c r="EJ150" s="531">
        <f t="shared" si="117"/>
        <v>1570</v>
      </c>
      <c r="EK150" s="526"/>
      <c r="EL150" s="527">
        <f t="shared" si="128"/>
        <v>1570</v>
      </c>
    </row>
    <row r="151" spans="3:143">
      <c r="C151" s="21"/>
      <c r="D151" s="21"/>
      <c r="L151" s="49" t="s">
        <v>128</v>
      </c>
      <c r="M151" s="48" t="s">
        <v>403</v>
      </c>
      <c r="N151" s="94" t="s">
        <v>2084</v>
      </c>
      <c r="O151" s="423" t="s">
        <v>728</v>
      </c>
      <c r="Q151" s="49" t="s">
        <v>128</v>
      </c>
      <c r="R151" s="98" t="s">
        <v>187</v>
      </c>
      <c r="S151" s="94" t="s">
        <v>147</v>
      </c>
      <c r="U151" s="740" t="s">
        <v>3498</v>
      </c>
      <c r="V151" s="478" t="s">
        <v>243</v>
      </c>
      <c r="W151" s="159" t="s">
        <v>2192</v>
      </c>
      <c r="AK151" s="583"/>
      <c r="AL151" s="478"/>
      <c r="AM151" s="584"/>
      <c r="AO151" s="591"/>
      <c r="AP151" s="475"/>
      <c r="AQ151" s="592"/>
      <c r="AU151" s="250" t="s">
        <v>1075</v>
      </c>
      <c r="AV151" s="148" t="s">
        <v>187</v>
      </c>
      <c r="AW151" s="138" t="str">
        <f t="shared" si="139"/>
        <v>ДП ЛАДА-ЛОФТ.4/0</v>
      </c>
      <c r="AY151" s="224" t="s">
        <v>1379</v>
      </c>
      <c r="AZ151" s="62" t="s">
        <v>1724</v>
      </c>
      <c r="BA151" s="139" t="str">
        <f t="shared" si="129"/>
        <v>ДП ЛАДА A.8/1.купе.</v>
      </c>
      <c r="BK151" s="143" t="s">
        <v>901</v>
      </c>
      <c r="BL151" s="137" t="s">
        <v>1893</v>
      </c>
      <c r="BM151" s="138" t="str">
        <f>CONCATENATE(BK151,".",BL151)</f>
        <v>КД Standard-MDF.Uni-Mat</v>
      </c>
      <c r="BS151" s="58" t="s">
        <v>1375</v>
      </c>
      <c r="BT151" s="56" t="s">
        <v>4086</v>
      </c>
      <c r="BU151" s="541" t="str">
        <f t="shared" si="137"/>
        <v>ДП ЛАДА D.7/0.Масив</v>
      </c>
      <c r="BW151" s="58" t="s">
        <v>1378</v>
      </c>
      <c r="BX151" s="784" t="s">
        <v>4106</v>
      </c>
      <c r="BY151" s="239" t="str">
        <f t="shared" si="135"/>
        <v>ДП ЛАДА A.8/0.(ні)</v>
      </c>
      <c r="CA151" s="742" t="s">
        <v>3215</v>
      </c>
      <c r="CB151" s="137"/>
      <c r="CC151" s="138"/>
      <c r="CE151" s="742" t="s">
        <v>3286</v>
      </c>
      <c r="CF151" s="137" t="s">
        <v>4261</v>
      </c>
      <c r="CG151" s="138" t="str">
        <f t="shared" si="138"/>
        <v>ДП ЛАДА-КОНЦЕПТ.фальц..неробоча..ВВ</v>
      </c>
      <c r="CM151" s="86" t="s">
        <v>3296</v>
      </c>
      <c r="CN151" s="56" t="s">
        <v>841</v>
      </c>
      <c r="CO151" s="70" t="str">
        <f t="shared" si="136"/>
        <v>ДП Міра.купе..робоча..Verto-FIT</v>
      </c>
      <c r="CY151" s="750" t="s">
        <v>4860</v>
      </c>
      <c r="CZ151" s="152" t="s">
        <v>4879</v>
      </c>
      <c r="DA151" s="139" t="s">
        <v>859</v>
      </c>
      <c r="DD151" s="108" t="s">
        <v>2474</v>
      </c>
      <c r="DE151" s="164">
        <v>3870</v>
      </c>
      <c r="DF151" s="525">
        <f>ROUND(((DE151-(DE151/6))/$DD$3)*$DE$3,2)</f>
        <v>3870</v>
      </c>
      <c r="DG151" s="526"/>
      <c r="DH151" s="527">
        <f>IF(DG151="",DF151,
IF(AND($DE$10&gt;=VLOOKUP(DG151,$DD$5:$DH$9,2,0),$DE$10&lt;=VLOOKUP(DG151,$DD$5:$DH$9,3,0)),
(DF151*(1-VLOOKUP(DG151,$DD$5:$DH$9,4,0))),
DF151))</f>
        <v>3870</v>
      </c>
      <c r="DP151" s="738" t="s">
        <v>3879</v>
      </c>
      <c r="DQ151" s="166">
        <v>550</v>
      </c>
      <c r="DR151" s="522">
        <f>ROUND(((DQ151-(DQ151/6))/$DD$3)*$DE$3,2)</f>
        <v>550</v>
      </c>
      <c r="DS151" s="523"/>
      <c r="DT151" s="524">
        <f>IF(DS151="",DR151,
IF(AND($DQ$10&gt;=VLOOKUP(DS151,$DP$5:$DT$9,2,0),$DQ$10&lt;=VLOOKUP(DS151,$DP$5:$DT$9,3,0)),
(DR151*(1-VLOOKUP(DS151,$DP$5:$DT$9,4,0))),
DR151))</f>
        <v>550</v>
      </c>
      <c r="DU151" s="166"/>
      <c r="DV151" s="799" t="s">
        <v>4445</v>
      </c>
      <c r="DW151" s="726">
        <v>510</v>
      </c>
      <c r="DX151" s="804">
        <f t="shared" si="133"/>
        <v>510</v>
      </c>
      <c r="DY151" s="523"/>
      <c r="DZ151" s="524">
        <f t="shared" si="134"/>
        <v>510</v>
      </c>
      <c r="EG151" s="165"/>
      <c r="EH151" s="738" t="s">
        <v>3499</v>
      </c>
      <c r="EI151" s="166">
        <v>0</v>
      </c>
      <c r="EJ151" s="522">
        <f t="shared" si="117"/>
        <v>0</v>
      </c>
      <c r="EK151" s="523"/>
      <c r="EL151" s="524">
        <f t="shared" si="128"/>
        <v>0</v>
      </c>
    </row>
    <row r="152" spans="3:143">
      <c r="C152" s="21"/>
      <c r="D152" s="21"/>
      <c r="L152" s="49" t="s">
        <v>276</v>
      </c>
      <c r="M152" s="48" t="s">
        <v>403</v>
      </c>
      <c r="N152" s="94" t="s">
        <v>2084</v>
      </c>
      <c r="O152" s="423" t="s">
        <v>728</v>
      </c>
      <c r="Q152" s="49" t="s">
        <v>276</v>
      </c>
      <c r="R152" s="98" t="s">
        <v>201</v>
      </c>
      <c r="S152" s="94" t="s">
        <v>149</v>
      </c>
      <c r="U152" s="815"/>
      <c r="V152" s="816"/>
      <c r="W152" s="808"/>
      <c r="AK152" s="588" t="s">
        <v>754</v>
      </c>
      <c r="AL152" s="101" t="s">
        <v>321</v>
      </c>
      <c r="AM152" s="589" t="s">
        <v>2306</v>
      </c>
      <c r="AO152" s="759" t="s">
        <v>4130</v>
      </c>
      <c r="AP152" s="98" t="s">
        <v>176</v>
      </c>
      <c r="AQ152" s="592" t="s">
        <v>2325</v>
      </c>
      <c r="AU152" s="250" t="s">
        <v>1075</v>
      </c>
      <c r="AV152" s="148" t="s">
        <v>188</v>
      </c>
      <c r="AW152" s="138" t="str">
        <f t="shared" si="139"/>
        <v>ДП ЛАДА-ЛОФТ.4/1</v>
      </c>
      <c r="AY152" s="234" t="s">
        <v>1380</v>
      </c>
      <c r="AZ152" s="137" t="s">
        <v>1725</v>
      </c>
      <c r="BA152" s="138" t="str">
        <f t="shared" si="129"/>
        <v>ДП ЛАДА A.8/2.фальц,</v>
      </c>
      <c r="BK152" s="143" t="s">
        <v>901</v>
      </c>
      <c r="BL152" s="137" t="s">
        <v>557</v>
      </c>
      <c r="BM152" s="138" t="str">
        <f t="shared" si="140"/>
        <v>КД Standard-MDF.Резист</v>
      </c>
      <c r="BS152" s="58" t="s">
        <v>1376</v>
      </c>
      <c r="BT152" s="56" t="s">
        <v>4086</v>
      </c>
      <c r="BU152" s="541" t="str">
        <f t="shared" si="137"/>
        <v>ДП ЛАДА D.7/1.Масив</v>
      </c>
      <c r="BW152" s="162" t="s">
        <v>1379</v>
      </c>
      <c r="BX152" s="566" t="s">
        <v>458</v>
      </c>
      <c r="BY152" s="238" t="str">
        <f t="shared" si="135"/>
        <v>ДП ЛАДА A.8/1.Сатин</v>
      </c>
      <c r="CA152" s="742" t="s">
        <v>3215</v>
      </c>
      <c r="CB152" s="137" t="s">
        <v>4335</v>
      </c>
      <c r="CC152" s="138" t="str">
        <f>CONCATENATE(CA152,".",CB152)</f>
        <v>ДП Геометрія.фальц.неробоча.Пл Magnet +2завіс</v>
      </c>
      <c r="CE152" s="424" t="s">
        <v>3286</v>
      </c>
      <c r="CF152" s="62" t="s">
        <v>739</v>
      </c>
      <c r="CG152" s="139" t="str">
        <f t="shared" si="138"/>
        <v>ДП ЛАДА-КОНЦЕПТ.фальц..неробоча..ВП</v>
      </c>
      <c r="CM152" s="432"/>
      <c r="CN152" s="427"/>
      <c r="CO152" s="428"/>
      <c r="CY152" s="752" t="s">
        <v>6173</v>
      </c>
      <c r="CZ152" s="151" t="s">
        <v>6193</v>
      </c>
      <c r="DA152" s="138" t="s">
        <v>859</v>
      </c>
      <c r="DD152" s="636"/>
      <c r="DE152" s="637"/>
      <c r="DF152" s="638"/>
      <c r="DG152" s="639"/>
      <c r="DH152" s="640"/>
      <c r="DP152" s="108" t="s">
        <v>2475</v>
      </c>
      <c r="DQ152" s="164">
        <v>550</v>
      </c>
      <c r="DR152" s="525">
        <f>ROUND(((DQ152-(DQ152/6))/$DD$3)*$DE$3,2)</f>
        <v>550</v>
      </c>
      <c r="DS152" s="526"/>
      <c r="DT152" s="527">
        <f>IF(DS152="",DR152,
IF(AND($DQ$10&gt;=VLOOKUP(DS152,$DP$5:$DT$9,2,0),$DQ$10&lt;=VLOOKUP(DS152,$DP$5:$DT$9,3,0)),
(DR152*(1-VLOOKUP(DS152,$DP$5:$DT$9,4,0))),
DR152))</f>
        <v>550</v>
      </c>
      <c r="DU152" s="166"/>
      <c r="DV152" s="799" t="s">
        <v>4447</v>
      </c>
      <c r="DW152" s="726">
        <v>720</v>
      </c>
      <c r="DX152" s="804">
        <f t="shared" si="133"/>
        <v>720</v>
      </c>
      <c r="DY152" s="523"/>
      <c r="DZ152" s="524">
        <f t="shared" si="134"/>
        <v>720</v>
      </c>
      <c r="EG152" s="165"/>
      <c r="EH152" s="739" t="s">
        <v>3500</v>
      </c>
      <c r="EI152" s="164">
        <v>1570</v>
      </c>
      <c r="EJ152" s="531">
        <f t="shared" si="117"/>
        <v>1570</v>
      </c>
      <c r="EK152" s="526"/>
      <c r="EL152" s="527">
        <f t="shared" si="128"/>
        <v>1570</v>
      </c>
    </row>
    <row r="153" spans="3:143">
      <c r="C153" s="21"/>
      <c r="D153" s="21"/>
      <c r="L153" s="49" t="s">
        <v>595</v>
      </c>
      <c r="M153" s="48" t="s">
        <v>403</v>
      </c>
      <c r="N153" s="94" t="s">
        <v>2084</v>
      </c>
      <c r="O153" s="423" t="s">
        <v>728</v>
      </c>
      <c r="Q153" s="49" t="s">
        <v>595</v>
      </c>
      <c r="R153" s="98" t="s">
        <v>535</v>
      </c>
      <c r="S153" s="94" t="s">
        <v>1018</v>
      </c>
      <c r="U153" s="763" t="s">
        <v>3501</v>
      </c>
      <c r="V153" s="101" t="s">
        <v>239</v>
      </c>
      <c r="W153" s="100" t="s">
        <v>2193</v>
      </c>
      <c r="AK153" s="585" t="s">
        <v>755</v>
      </c>
      <c r="AL153" s="152" t="s">
        <v>982</v>
      </c>
      <c r="AM153" s="586" t="s">
        <v>2305</v>
      </c>
      <c r="AO153" s="759" t="s">
        <v>6197</v>
      </c>
      <c r="AP153" s="98" t="s">
        <v>176</v>
      </c>
      <c r="AQ153" s="592" t="s">
        <v>2325</v>
      </c>
      <c r="AU153" s="250" t="s">
        <v>1075</v>
      </c>
      <c r="AV153" s="148" t="s">
        <v>190</v>
      </c>
      <c r="AW153" s="138" t="str">
        <f t="shared" si="139"/>
        <v>ДП ЛАДА-ЛОФТ.5/0</v>
      </c>
      <c r="AY153" s="234" t="s">
        <v>1380</v>
      </c>
      <c r="AZ153" s="137" t="s">
        <v>1723</v>
      </c>
      <c r="BA153" s="138" t="str">
        <f t="shared" si="129"/>
        <v>ДП ЛАДА A.8/2.б/з фальц.</v>
      </c>
      <c r="BK153" s="143" t="s">
        <v>901</v>
      </c>
      <c r="BL153" s="137" t="s">
        <v>62</v>
      </c>
      <c r="BM153" s="138" t="str">
        <f t="shared" si="140"/>
        <v>КД Standard-MDF.LINE-3D</v>
      </c>
      <c r="BS153" s="58" t="s">
        <v>1377</v>
      </c>
      <c r="BT153" s="56" t="s">
        <v>4086</v>
      </c>
      <c r="BU153" s="541" t="str">
        <f t="shared" si="137"/>
        <v>ДП ЛАДА D.7/2.Масив</v>
      </c>
      <c r="BW153" s="165" t="s">
        <v>1379</v>
      </c>
      <c r="BX153" s="772" t="s">
        <v>3851</v>
      </c>
      <c r="BY153" s="239" t="str">
        <f t="shared" si="135"/>
        <v>ДП ЛАДА A.8/1.Графіт</v>
      </c>
      <c r="CA153" s="742" t="s">
        <v>3215</v>
      </c>
      <c r="CB153" s="62" t="s">
        <v>4336</v>
      </c>
      <c r="CC153" s="139" t="str">
        <f>CONCATENATE(CA153,".",CB153)</f>
        <v>ДП Геометрія.фальц.неробоча.Пл Magnet +3завіс</v>
      </c>
      <c r="CE153" s="146" t="s">
        <v>3287</v>
      </c>
      <c r="CF153" s="137"/>
      <c r="CG153" s="138" t="str">
        <f t="shared" si="138"/>
        <v>ДП ЛАДА-КОНЦЕПТ.б/з фальц..робоча..</v>
      </c>
      <c r="CM153" s="742" t="s">
        <v>3297</v>
      </c>
      <c r="CN153" s="137" t="s">
        <v>975</v>
      </c>
      <c r="CO153" s="138" t="str">
        <f t="shared" ref="CO153:CO159" si="141">CONCATENATE(CM153,".",CN153)</f>
        <v>ДП ЛАДА-ЛОФТ.фальц,.робоча..Standard-MDF</v>
      </c>
      <c r="CY153" s="750" t="s">
        <v>6174</v>
      </c>
      <c r="CZ153" s="152" t="s">
        <v>6194</v>
      </c>
      <c r="DA153" s="139" t="s">
        <v>859</v>
      </c>
      <c r="DD153" s="60"/>
      <c r="DE153" s="105"/>
      <c r="DF153" s="403"/>
      <c r="DG153" s="514"/>
      <c r="DH153" s="511"/>
      <c r="DP153" s="162" t="s">
        <v>2476</v>
      </c>
      <c r="DQ153" s="163">
        <v>0</v>
      </c>
      <c r="DR153" s="528">
        <f t="shared" si="123"/>
        <v>0</v>
      </c>
      <c r="DS153" s="529"/>
      <c r="DT153" s="530">
        <f t="shared" si="97"/>
        <v>0</v>
      </c>
      <c r="DU153" s="166"/>
      <c r="DV153" s="805" t="s">
        <v>4448</v>
      </c>
      <c r="DW153" s="727">
        <v>720</v>
      </c>
      <c r="DX153" s="806">
        <f t="shared" si="133"/>
        <v>720</v>
      </c>
      <c r="DY153" s="526"/>
      <c r="DZ153" s="527">
        <f t="shared" si="134"/>
        <v>720</v>
      </c>
      <c r="EG153" s="165"/>
      <c r="EH153" s="738" t="s">
        <v>3502</v>
      </c>
      <c r="EI153" s="166">
        <v>0</v>
      </c>
      <c r="EJ153" s="522">
        <f>ROUND(((EI153-(EI153/6))/$DD$3)*$DE$3,2)</f>
        <v>0</v>
      </c>
      <c r="EK153" s="523"/>
      <c r="EL153" s="524">
        <f>IF(EK153="",EJ153,
IF(AND($EI$10&gt;=VLOOKUP(EK153,$EH$5:$EL$9,2,0),$EI$10&lt;=VLOOKUP(EK153,$EH$5:$EL$9,3,0)),
(EJ153*(1-VLOOKUP(EK153,$EH$5:$EL$9,4,0))),
EJ153))</f>
        <v>0</v>
      </c>
    </row>
    <row r="154" spans="3:143">
      <c r="C154" s="21"/>
      <c r="D154" s="21"/>
      <c r="L154" s="49" t="s">
        <v>596</v>
      </c>
      <c r="M154" s="48" t="s">
        <v>403</v>
      </c>
      <c r="N154" s="94" t="s">
        <v>2084</v>
      </c>
      <c r="O154" s="423" t="s">
        <v>728</v>
      </c>
      <c r="Q154" s="49" t="s">
        <v>596</v>
      </c>
      <c r="R154" s="98" t="s">
        <v>536</v>
      </c>
      <c r="S154" s="94" t="s">
        <v>1019</v>
      </c>
      <c r="U154" s="764" t="s">
        <v>3503</v>
      </c>
      <c r="V154" s="151" t="s">
        <v>240</v>
      </c>
      <c r="W154" s="159" t="s">
        <v>2194</v>
      </c>
      <c r="AK154" s="789" t="s">
        <v>4286</v>
      </c>
      <c r="AL154" s="101" t="s">
        <v>1784</v>
      </c>
      <c r="AM154" s="589" t="s">
        <v>2307</v>
      </c>
      <c r="AO154" s="591"/>
      <c r="AP154" s="475"/>
      <c r="AQ154" s="592"/>
      <c r="AU154" s="250" t="s">
        <v>1075</v>
      </c>
      <c r="AV154" s="148" t="s">
        <v>191</v>
      </c>
      <c r="AW154" s="138" t="str">
        <f t="shared" si="139"/>
        <v>ДП ЛАДА-ЛОФТ.5/1</v>
      </c>
      <c r="AY154" s="224" t="s">
        <v>1380</v>
      </c>
      <c r="AZ154" s="62" t="s">
        <v>1724</v>
      </c>
      <c r="BA154" s="139" t="str">
        <f t="shared" si="129"/>
        <v>ДП ЛАДА A.8/2.купе.</v>
      </c>
      <c r="BK154" s="143" t="s">
        <v>901</v>
      </c>
      <c r="BL154" s="137" t="s">
        <v>5071</v>
      </c>
      <c r="BM154" s="138" t="str">
        <f>CONCATENATE(BK154,".",BL154)</f>
        <v>КД Standard-MDF.Е-шпон</v>
      </c>
      <c r="BS154" s="426"/>
      <c r="BT154" s="427"/>
      <c r="BU154" s="428"/>
      <c r="BW154" s="108" t="s">
        <v>1379</v>
      </c>
      <c r="BX154" s="567" t="s">
        <v>832</v>
      </c>
      <c r="BY154" s="240" t="str">
        <f t="shared" si="135"/>
        <v>ДП ЛАДА A.8/1.Бронза</v>
      </c>
      <c r="CA154" s="145" t="s">
        <v>3220</v>
      </c>
      <c r="CB154" s="137" t="s">
        <v>4106</v>
      </c>
      <c r="CC154" s="238" t="str">
        <f>CONCATENATE(CA154,".",CB154)</f>
        <v>ДП Геометрія.б/з фальц.робоча.(ні)</v>
      </c>
      <c r="CE154" s="146" t="s">
        <v>3287</v>
      </c>
      <c r="CF154" s="137" t="s">
        <v>4261</v>
      </c>
      <c r="CG154" s="138" t="str">
        <f t="shared" si="138"/>
        <v>ДП ЛАДА-КОНЦЕПТ.б/з фальц..робоча..ВВ</v>
      </c>
      <c r="CM154" s="742" t="s">
        <v>3297</v>
      </c>
      <c r="CN154" s="137" t="s">
        <v>840</v>
      </c>
      <c r="CO154" s="138" t="str">
        <f t="shared" si="141"/>
        <v>ДП ЛАДА-ЛОФТ.фальц,.робоча..Standard</v>
      </c>
      <c r="CY154" s="752" t="s">
        <v>4831</v>
      </c>
      <c r="CZ154" s="151" t="s">
        <v>4849</v>
      </c>
      <c r="DA154" s="138" t="s">
        <v>859</v>
      </c>
      <c r="DD154" s="631"/>
      <c r="DE154" s="632"/>
      <c r="DF154" s="633"/>
      <c r="DG154" s="634"/>
      <c r="DH154" s="635"/>
      <c r="DP154" s="738" t="s">
        <v>4210</v>
      </c>
      <c r="DQ154" s="166">
        <v>0</v>
      </c>
      <c r="DR154" s="522">
        <f>ROUND(((DQ154-(DQ154/6))/$DD$3)*$DE$3,2)</f>
        <v>0</v>
      </c>
      <c r="DS154" s="523"/>
      <c r="DT154" s="524">
        <f>IF(DS154="",DR154,
IF(AND($DQ$10&gt;=VLOOKUP(DS154,$DP$5:$DT$9,2,0),$DQ$10&lt;=VLOOKUP(DS154,$DP$5:$DT$9,3,0)),
(DR154*(1-VLOOKUP(DS154,$DP$5:$DT$9,4,0))),
DR154))</f>
        <v>0</v>
      </c>
      <c r="DU154" s="166"/>
      <c r="DV154" s="802" t="s">
        <v>4450</v>
      </c>
      <c r="DW154" s="728">
        <v>0</v>
      </c>
      <c r="DX154" s="803">
        <f t="shared" si="133"/>
        <v>0</v>
      </c>
      <c r="DY154" s="529"/>
      <c r="DZ154" s="530">
        <f t="shared" si="134"/>
        <v>0</v>
      </c>
      <c r="EG154" s="165"/>
      <c r="EH154" s="739" t="s">
        <v>3504</v>
      </c>
      <c r="EI154" s="164">
        <v>1570</v>
      </c>
      <c r="EJ154" s="531">
        <f>ROUND(((EI154-(EI154/6))/$DD$3)*$DE$3,2)</f>
        <v>1570</v>
      </c>
      <c r="EK154" s="526"/>
      <c r="EL154" s="527">
        <f>IF(EK154="",EJ154,
IF(AND($EI$10&gt;=VLOOKUP(EK154,$EH$5:$EL$9,2,0),$EI$10&lt;=VLOOKUP(EK154,$EH$5:$EL$9,3,0)),
(EJ154*(1-VLOOKUP(EK154,$EH$5:$EL$9,4,0))),
EJ154))</f>
        <v>1570</v>
      </c>
    </row>
    <row r="155" spans="3:143">
      <c r="C155" s="21"/>
      <c r="D155" s="21"/>
      <c r="L155" s="49" t="s">
        <v>651</v>
      </c>
      <c r="M155" s="48" t="s">
        <v>403</v>
      </c>
      <c r="N155" s="94" t="s">
        <v>2084</v>
      </c>
      <c r="O155" s="423" t="s">
        <v>728</v>
      </c>
      <c r="P155" s="21"/>
      <c r="Q155" s="49" t="s">
        <v>651</v>
      </c>
      <c r="R155" s="98" t="s">
        <v>209</v>
      </c>
      <c r="S155" s="94" t="s">
        <v>1008</v>
      </c>
      <c r="U155" s="764" t="s">
        <v>3505</v>
      </c>
      <c r="V155" s="151" t="s">
        <v>241</v>
      </c>
      <c r="W155" s="159" t="s">
        <v>2195</v>
      </c>
      <c r="AK155" s="778" t="s">
        <v>4287</v>
      </c>
      <c r="AL155" s="152" t="s">
        <v>1785</v>
      </c>
      <c r="AM155" s="586" t="s">
        <v>2308</v>
      </c>
      <c r="AO155" s="583"/>
      <c r="AP155" s="478"/>
      <c r="AQ155" s="584"/>
      <c r="AU155" s="250" t="s">
        <v>1075</v>
      </c>
      <c r="AV155" s="148" t="s">
        <v>205</v>
      </c>
      <c r="AW155" s="138" t="str">
        <f t="shared" si="139"/>
        <v>ДП ЛАДА-ЛОФТ.6/0</v>
      </c>
      <c r="AY155" s="234" t="s">
        <v>1381</v>
      </c>
      <c r="AZ155" s="137" t="s">
        <v>1725</v>
      </c>
      <c r="BA155" s="138" t="str">
        <f t="shared" si="129"/>
        <v>ДП ЛАДА A.8/3.фальц,</v>
      </c>
      <c r="BK155" s="144" t="s">
        <v>901</v>
      </c>
      <c r="BL155" s="62" t="s">
        <v>1836</v>
      </c>
      <c r="BM155" s="139" t="str">
        <f t="shared" si="140"/>
        <v>КД Standard-MDF.Лофт</v>
      </c>
      <c r="BS155" s="58" t="s">
        <v>2499</v>
      </c>
      <c r="BT155" s="56" t="s">
        <v>4086</v>
      </c>
      <c r="BU155" s="70" t="str">
        <f t="shared" ref="BU155:BU167" si="142">CONCATENATE(BS155,".",BT155)</f>
        <v>ДП Ніка.1/0.Масив</v>
      </c>
      <c r="BW155" s="162" t="s">
        <v>1380</v>
      </c>
      <c r="BX155" s="566" t="s">
        <v>458</v>
      </c>
      <c r="BY155" s="238" t="str">
        <f t="shared" si="135"/>
        <v>ДП ЛАДА A.8/2.Сатин</v>
      </c>
      <c r="CA155" s="146" t="s">
        <v>3220</v>
      </c>
      <c r="CB155" s="97"/>
      <c r="CC155" s="97"/>
      <c r="CE155" s="147" t="s">
        <v>3287</v>
      </c>
      <c r="CF155" s="62" t="s">
        <v>739</v>
      </c>
      <c r="CG155" s="139" t="str">
        <f t="shared" si="138"/>
        <v>ДП ЛАДА-КОНЦЕПТ.б/з фальц..робоча..ВП</v>
      </c>
      <c r="CM155" s="742" t="s">
        <v>3297</v>
      </c>
      <c r="CN155" s="137" t="s">
        <v>841</v>
      </c>
      <c r="CO155" s="138" t="str">
        <f t="shared" si="141"/>
        <v>ДП ЛАДА-ЛОФТ.фальц,.робоча..Verto-FIT</v>
      </c>
      <c r="CY155" s="750" t="s">
        <v>4861</v>
      </c>
      <c r="CZ155" s="152" t="s">
        <v>4879</v>
      </c>
      <c r="DA155" s="139" t="s">
        <v>859</v>
      </c>
      <c r="DD155" s="162"/>
      <c r="DE155" s="163"/>
      <c r="DF155" s="528"/>
      <c r="DG155" s="529"/>
      <c r="DH155" s="530"/>
      <c r="DP155" s="738" t="s">
        <v>3880</v>
      </c>
      <c r="DQ155" s="166">
        <v>550</v>
      </c>
      <c r="DR155" s="522">
        <f>ROUND(((DQ155-(DQ155/6))/$DD$3)*$DE$3,2)</f>
        <v>550</v>
      </c>
      <c r="DS155" s="523"/>
      <c r="DT155" s="524">
        <f>IF(DS155="",DR155,
IF(AND($DQ$10&gt;=VLOOKUP(DS155,$DP$5:$DT$9,2,0),$DQ$10&lt;=VLOOKUP(DS155,$DP$5:$DT$9,3,0)),
(DR155*(1-VLOOKUP(DS155,$DP$5:$DT$9,4,0))),
DR155))</f>
        <v>550</v>
      </c>
      <c r="DU155" s="166"/>
      <c r="DV155" s="799" t="s">
        <v>4452</v>
      </c>
      <c r="DW155" s="726">
        <v>0</v>
      </c>
      <c r="DX155" s="804">
        <f t="shared" si="133"/>
        <v>0</v>
      </c>
      <c r="DY155" s="523"/>
      <c r="DZ155" s="524">
        <f t="shared" si="134"/>
        <v>0</v>
      </c>
      <c r="EG155" s="165"/>
      <c r="EH155" s="738" t="s">
        <v>3506</v>
      </c>
      <c r="EI155" s="166">
        <v>0</v>
      </c>
      <c r="EJ155" s="522">
        <f>ROUND(((EI155-(EI155/6))/$DD$3)*$DE$3,2)</f>
        <v>0</v>
      </c>
      <c r="EK155" s="523"/>
      <c r="EL155" s="524">
        <f>IF(EK155="",EJ155,
IF(AND($EI$10&gt;=VLOOKUP(EK155,$EH$5:$EL$9,2,0),$EI$10&lt;=VLOOKUP(EK155,$EH$5:$EL$9,3,0)),
(EJ155*(1-VLOOKUP(EK155,$EH$5:$EL$9,4,0))),
EJ155))</f>
        <v>0</v>
      </c>
    </row>
    <row r="156" spans="3:143">
      <c r="C156" s="21"/>
      <c r="D156" s="21"/>
      <c r="L156" s="49" t="s">
        <v>652</v>
      </c>
      <c r="M156" s="48" t="s">
        <v>403</v>
      </c>
      <c r="N156" s="94" t="s">
        <v>2084</v>
      </c>
      <c r="O156" s="423" t="s">
        <v>728</v>
      </c>
      <c r="Q156" s="49" t="s">
        <v>652</v>
      </c>
      <c r="R156" s="98" t="s">
        <v>210</v>
      </c>
      <c r="S156" s="94" t="s">
        <v>1009</v>
      </c>
      <c r="U156" s="765" t="s">
        <v>3507</v>
      </c>
      <c r="V156" s="152" t="s">
        <v>242</v>
      </c>
      <c r="W156" s="160" t="s">
        <v>2196</v>
      </c>
      <c r="AK156" s="591"/>
      <c r="AL156" s="475"/>
      <c r="AM156" s="592"/>
      <c r="AO156" s="593"/>
      <c r="AP156" s="577"/>
      <c r="AQ156" s="594"/>
      <c r="AU156" s="249" t="s">
        <v>1075</v>
      </c>
      <c r="AV156" s="149" t="s">
        <v>206</v>
      </c>
      <c r="AW156" s="139" t="str">
        <f t="shared" si="139"/>
        <v>ДП ЛАДА-ЛОФТ.6/1</v>
      </c>
      <c r="AY156" s="234" t="s">
        <v>1381</v>
      </c>
      <c r="AZ156" s="137" t="s">
        <v>1723</v>
      </c>
      <c r="BA156" s="138" t="str">
        <f t="shared" si="129"/>
        <v>ДП ЛАДА A.8/3.б/з фальц.</v>
      </c>
      <c r="BK156" s="142" t="s">
        <v>549</v>
      </c>
      <c r="BL156" s="134" t="s">
        <v>4904</v>
      </c>
      <c r="BM156" s="135" t="str">
        <f t="shared" ref="BM156:BM180" si="143">CONCATENATE(BK156,".",BL156)</f>
        <v>КД Standard.Сімплекс</v>
      </c>
      <c r="BS156" s="58" t="s">
        <v>2500</v>
      </c>
      <c r="BT156" s="56" t="s">
        <v>4086</v>
      </c>
      <c r="BU156" s="70" t="str">
        <f t="shared" si="142"/>
        <v>ДП Ніка.1/1.Масив</v>
      </c>
      <c r="BW156" s="165" t="s">
        <v>1380</v>
      </c>
      <c r="BX156" s="772" t="s">
        <v>3851</v>
      </c>
      <c r="BY156" s="239" t="str">
        <f t="shared" si="135"/>
        <v>ДП ЛАДА A.8/2.Графіт</v>
      </c>
      <c r="CA156" s="146" t="s">
        <v>3220</v>
      </c>
      <c r="CB156" s="478" t="s">
        <v>4337</v>
      </c>
      <c r="CC156" s="239" t="str">
        <f>CONCATENATE(CA156,".",CB156)</f>
        <v>ДП Геометрія.б/з фальц.робоча.Magnet цл б/з завіс.</v>
      </c>
      <c r="CE156" s="742" t="s">
        <v>3288</v>
      </c>
      <c r="CF156" s="137"/>
      <c r="CG156" s="138" t="str">
        <f t="shared" si="138"/>
        <v>ДП ЛАДА-КОНЦЕПТ.купе..робоча..</v>
      </c>
      <c r="CM156" s="424" t="s">
        <v>3297</v>
      </c>
      <c r="CN156" s="62" t="s">
        <v>371</v>
      </c>
      <c r="CO156" s="139" t="str">
        <f t="shared" si="141"/>
        <v>ДП ЛАДА-ЛОФТ.фальц,.робоча..Verto-FIT Plus</v>
      </c>
      <c r="CY156" s="752" t="s">
        <v>6175</v>
      </c>
      <c r="CZ156" s="151" t="s">
        <v>6193</v>
      </c>
      <c r="DA156" s="138" t="s">
        <v>859</v>
      </c>
      <c r="DD156" s="251" t="s">
        <v>1442</v>
      </c>
      <c r="DE156" s="163">
        <v>6230</v>
      </c>
      <c r="DF156" s="537">
        <f>ROUND(((DE156-(DE156/6))/$DD$3)*$DE$3,2)</f>
        <v>6230</v>
      </c>
      <c r="DG156" s="529"/>
      <c r="DH156" s="530">
        <f>IF(DG156="",DF156,
IF(AND($DE$10&gt;=VLOOKUP(DG156,$DD$5:$DH$9,2,0),$DE$10&lt;=VLOOKUP(DG156,$DD$5:$DH$9,3,0)),
(DF156*(1-VLOOKUP(DG156,$DD$5:$DH$9,4,0))),
DF156))</f>
        <v>6230</v>
      </c>
      <c r="DP156" s="108" t="s">
        <v>2477</v>
      </c>
      <c r="DQ156" s="164">
        <v>550</v>
      </c>
      <c r="DR156" s="525">
        <f>ROUND(((DQ156-(DQ156/6))/$DD$3)*$DE$3,2)</f>
        <v>550</v>
      </c>
      <c r="DS156" s="526"/>
      <c r="DT156" s="527">
        <f>IF(DS156="",DR156,
IF(AND($DQ$10&gt;=VLOOKUP(DS156,$DP$5:$DT$9,2,0),$DQ$10&lt;=VLOOKUP(DS156,$DP$5:$DT$9,3,0)),
(DR156*(1-VLOOKUP(DS156,$DP$5:$DT$9,4,0))),
DR156))</f>
        <v>550</v>
      </c>
      <c r="DU156" s="166"/>
      <c r="DV156" s="805" t="s">
        <v>4454</v>
      </c>
      <c r="DW156" s="727">
        <v>0</v>
      </c>
      <c r="DX156" s="807">
        <f t="shared" si="133"/>
        <v>0</v>
      </c>
      <c r="DY156" s="526"/>
      <c r="DZ156" s="527">
        <f t="shared" si="134"/>
        <v>0</v>
      </c>
      <c r="EG156" s="165"/>
      <c r="EH156" s="739" t="s">
        <v>3508</v>
      </c>
      <c r="EI156" s="164">
        <v>1790</v>
      </c>
      <c r="EJ156" s="531">
        <f>ROUND(((EI156-(EI156/6))/$DD$3)*$DE$3,2)</f>
        <v>1790</v>
      </c>
      <c r="EK156" s="526"/>
      <c r="EL156" s="527">
        <f>IF(EK156="",EJ156,
IF(AND($EI$10&gt;=VLOOKUP(EK156,$EH$5:$EL$9,2,0),$EI$10&lt;=VLOOKUP(EK156,$EH$5:$EL$9,3,0)),
(EJ156*(1-VLOOKUP(EK156,$EH$5:$EL$9,4,0))),
EJ156))</f>
        <v>1790</v>
      </c>
    </row>
    <row r="157" spans="3:143">
      <c r="C157" s="21"/>
      <c r="L157" s="49" t="s">
        <v>653</v>
      </c>
      <c r="M157" s="48" t="s">
        <v>403</v>
      </c>
      <c r="N157" s="94" t="s">
        <v>2084</v>
      </c>
      <c r="O157" s="423" t="s">
        <v>728</v>
      </c>
      <c r="Q157" s="49" t="s">
        <v>653</v>
      </c>
      <c r="R157" s="98" t="s">
        <v>648</v>
      </c>
      <c r="S157" s="94" t="s">
        <v>649</v>
      </c>
      <c r="U157" s="815"/>
      <c r="V157" s="816"/>
      <c r="W157" s="808"/>
      <c r="AK157" s="583"/>
      <c r="AL157" s="478"/>
      <c r="AM157" s="584"/>
      <c r="AO157" s="583"/>
      <c r="AP157" s="478"/>
      <c r="AQ157" s="584"/>
      <c r="AU157" s="250" t="s">
        <v>2725</v>
      </c>
      <c r="AV157" s="151" t="s">
        <v>194</v>
      </c>
      <c r="AW157" s="138" t="str">
        <f t="shared" si="139"/>
        <v>ДП Лінда.1/0</v>
      </c>
      <c r="AY157" s="224" t="s">
        <v>1381</v>
      </c>
      <c r="AZ157" s="62" t="s">
        <v>1724</v>
      </c>
      <c r="BA157" s="139" t="str">
        <f t="shared" si="129"/>
        <v>ДП ЛАДА A.8/3.купе.</v>
      </c>
      <c r="BK157" s="143" t="s">
        <v>549</v>
      </c>
      <c r="BL157" s="137" t="s">
        <v>409</v>
      </c>
      <c r="BM157" s="138" t="str">
        <f t="shared" si="143"/>
        <v>КД Standard.Verto-Cell</v>
      </c>
      <c r="BS157" s="58" t="s">
        <v>2501</v>
      </c>
      <c r="BT157" s="56" t="s">
        <v>4086</v>
      </c>
      <c r="BU157" s="70" t="str">
        <f t="shared" si="142"/>
        <v>ДП Ніка.1/2.Масив</v>
      </c>
      <c r="BW157" s="108" t="s">
        <v>1380</v>
      </c>
      <c r="BX157" s="567" t="s">
        <v>832</v>
      </c>
      <c r="BY157" s="240" t="str">
        <f t="shared" si="135"/>
        <v>ДП ЛАДА A.8/2.Бронза</v>
      </c>
      <c r="CA157" s="146" t="s">
        <v>3220</v>
      </c>
      <c r="CB157" s="478" t="s">
        <v>4339</v>
      </c>
      <c r="CC157" s="239" t="str">
        <f>CONCATENATE(CA157,".",CB157)</f>
        <v>ДП Геометрія.б/з фальц.робоча.Magnet ст б/з завіс.</v>
      </c>
      <c r="CE157" s="424" t="s">
        <v>3288</v>
      </c>
      <c r="CF157" s="62" t="s">
        <v>4261</v>
      </c>
      <c r="CG157" s="139" t="str">
        <f t="shared" si="138"/>
        <v>ДП ЛАДА-КОНЦЕПТ.купе..робоча..ВВ</v>
      </c>
      <c r="CM157" s="424" t="s">
        <v>3298</v>
      </c>
      <c r="CN157" s="62" t="s">
        <v>4106</v>
      </c>
      <c r="CO157" s="70" t="str">
        <f t="shared" si="141"/>
        <v>ДП ЛАДА-ЛОФТ.фальц,.неробоча,.(ні)</v>
      </c>
      <c r="CY157" s="750" t="s">
        <v>6176</v>
      </c>
      <c r="CZ157" s="152" t="s">
        <v>6194</v>
      </c>
      <c r="DA157" s="139" t="s">
        <v>859</v>
      </c>
      <c r="DD157" s="250" t="s">
        <v>1443</v>
      </c>
      <c r="DE157" s="166">
        <v>6230</v>
      </c>
      <c r="DF157" s="537">
        <f t="shared" ref="DF157:DF231" si="144">ROUND(((DE157-(DE157/6))/$DD$3)*$DE$3,2)</f>
        <v>6230</v>
      </c>
      <c r="DG157" s="529"/>
      <c r="DH157" s="530">
        <f t="shared" ref="DH157:DH231" si="145">IF(DG157="",DF157,
IF(AND($DE$10&gt;=VLOOKUP(DG157,$DD$5:$DH$9,2,0),$DE$10&lt;=VLOOKUP(DG157,$DD$5:$DH$9,3,0)),
(DF157*(1-VLOOKUP(DG157,$DD$5:$DH$9,4,0))),
DF157))</f>
        <v>6230</v>
      </c>
      <c r="DP157" s="162" t="s">
        <v>2478</v>
      </c>
      <c r="DQ157" s="163">
        <v>0</v>
      </c>
      <c r="DR157" s="528">
        <f t="shared" si="123"/>
        <v>0</v>
      </c>
      <c r="DS157" s="529"/>
      <c r="DT157" s="530">
        <f t="shared" si="97"/>
        <v>0</v>
      </c>
      <c r="DU157" s="166"/>
      <c r="DV157" s="799" t="s">
        <v>4455</v>
      </c>
      <c r="DW157" s="726">
        <v>60</v>
      </c>
      <c r="DX157" s="804">
        <f t="shared" si="133"/>
        <v>60</v>
      </c>
      <c r="DY157" s="523"/>
      <c r="DZ157" s="524">
        <f t="shared" si="134"/>
        <v>60</v>
      </c>
      <c r="EG157" s="165"/>
      <c r="EH157" s="738" t="s">
        <v>3509</v>
      </c>
      <c r="EI157" s="166">
        <v>0</v>
      </c>
      <c r="EJ157" s="522">
        <f t="shared" si="117"/>
        <v>0</v>
      </c>
      <c r="EK157" s="523"/>
      <c r="EL157" s="524">
        <f t="shared" si="128"/>
        <v>0</v>
      </c>
    </row>
    <row r="158" spans="3:143">
      <c r="C158" s="21"/>
      <c r="L158" s="49" t="s">
        <v>654</v>
      </c>
      <c r="M158" s="48" t="s">
        <v>403</v>
      </c>
      <c r="N158" s="94" t="s">
        <v>2084</v>
      </c>
      <c r="O158" s="423" t="s">
        <v>728</v>
      </c>
      <c r="Q158" s="49" t="s">
        <v>654</v>
      </c>
      <c r="R158" s="98" t="s">
        <v>655</v>
      </c>
      <c r="S158" s="94" t="s">
        <v>656</v>
      </c>
      <c r="U158" s="49"/>
      <c r="V158" s="98"/>
      <c r="W158" s="94"/>
      <c r="AK158" s="593"/>
      <c r="AL158" s="577"/>
      <c r="AM158" s="594"/>
      <c r="AO158" s="777" t="s">
        <v>4853</v>
      </c>
      <c r="AP158" s="151" t="s">
        <v>5495</v>
      </c>
      <c r="AQ158" s="584" t="s">
        <v>2321</v>
      </c>
      <c r="AU158" s="250" t="s">
        <v>2725</v>
      </c>
      <c r="AV158" s="151" t="s">
        <v>195</v>
      </c>
      <c r="AW158" s="138" t="str">
        <f t="shared" si="139"/>
        <v>ДП Лінда.1/1</v>
      </c>
      <c r="AY158" s="234" t="s">
        <v>1382</v>
      </c>
      <c r="AZ158" s="137" t="s">
        <v>1725</v>
      </c>
      <c r="BA158" s="138" t="str">
        <f t="shared" si="129"/>
        <v>ДП ЛАДА A.8/4.фальц,</v>
      </c>
      <c r="BK158" s="143" t="s">
        <v>549</v>
      </c>
      <c r="BL158" s="137"/>
      <c r="BM158" s="138" t="str">
        <f>CONCATENATE(BK158,".",BL158)</f>
        <v>КД Standard.</v>
      </c>
      <c r="BS158" s="58" t="s">
        <v>2502</v>
      </c>
      <c r="BT158" s="56" t="s">
        <v>4086</v>
      </c>
      <c r="BU158" s="70" t="str">
        <f t="shared" si="142"/>
        <v>ДП Ніка.1/3.Масив</v>
      </c>
      <c r="BW158" s="162" t="s">
        <v>1381</v>
      </c>
      <c r="BX158" s="566" t="s">
        <v>458</v>
      </c>
      <c r="BY158" s="238" t="str">
        <f t="shared" si="135"/>
        <v>ДП ЛАДА A.8/3.Сатин</v>
      </c>
      <c r="CA158" s="146" t="s">
        <v>3220</v>
      </c>
      <c r="CB158" s="97"/>
      <c r="CC158" s="97"/>
      <c r="CE158" s="228"/>
      <c r="CF158" s="222"/>
      <c r="CG158" s="223"/>
      <c r="CM158" s="86" t="s">
        <v>3299</v>
      </c>
      <c r="CN158" s="56" t="s">
        <v>941</v>
      </c>
      <c r="CO158" s="70" t="str">
        <f t="shared" si="141"/>
        <v>ДП ЛАДА-ЛОФТ.б/з фальц..робоча..Verto-FIT Comfort</v>
      </c>
      <c r="CY158" s="437"/>
      <c r="CZ158" s="95"/>
      <c r="DA158" s="223"/>
      <c r="DD158" s="250" t="s">
        <v>1450</v>
      </c>
      <c r="DE158" s="166">
        <v>6230</v>
      </c>
      <c r="DF158" s="537">
        <f t="shared" si="144"/>
        <v>6230</v>
      </c>
      <c r="DG158" s="529"/>
      <c r="DH158" s="530">
        <f t="shared" si="145"/>
        <v>6230</v>
      </c>
      <c r="DP158" s="738" t="s">
        <v>4211</v>
      </c>
      <c r="DQ158" s="166">
        <v>0</v>
      </c>
      <c r="DR158" s="522">
        <f>ROUND(((DQ158-(DQ158/6))/$DD$3)*$DE$3,2)</f>
        <v>0</v>
      </c>
      <c r="DS158" s="523"/>
      <c r="DT158" s="524">
        <f>IF(DS158="",DR158,
IF(AND($DQ$10&gt;=VLOOKUP(DS158,$DP$5:$DT$9,2,0),$DQ$10&lt;=VLOOKUP(DS158,$DP$5:$DT$9,3,0)),
(DR158*(1-VLOOKUP(DS158,$DP$5:$DT$9,4,0))),
DR158))</f>
        <v>0</v>
      </c>
      <c r="DU158" s="166"/>
      <c r="DV158" s="799" t="s">
        <v>4457</v>
      </c>
      <c r="DW158" s="726">
        <v>60</v>
      </c>
      <c r="DX158" s="804">
        <f t="shared" si="133"/>
        <v>60</v>
      </c>
      <c r="DY158" s="523"/>
      <c r="DZ158" s="524">
        <f t="shared" si="134"/>
        <v>60</v>
      </c>
      <c r="EG158" s="165"/>
      <c r="EH158" s="739" t="s">
        <v>3510</v>
      </c>
      <c r="EI158" s="164">
        <v>1860</v>
      </c>
      <c r="EJ158" s="531">
        <f t="shared" si="117"/>
        <v>1860</v>
      </c>
      <c r="EK158" s="526"/>
      <c r="EL158" s="527">
        <f t="shared" si="128"/>
        <v>1860</v>
      </c>
    </row>
    <row r="159" spans="3:143">
      <c r="L159" s="49" t="s">
        <v>657</v>
      </c>
      <c r="M159" s="48" t="s">
        <v>403</v>
      </c>
      <c r="N159" s="94" t="s">
        <v>2084</v>
      </c>
      <c r="O159" s="423" t="s">
        <v>728</v>
      </c>
      <c r="Q159" s="49" t="s">
        <v>657</v>
      </c>
      <c r="R159" s="98" t="s">
        <v>658</v>
      </c>
      <c r="S159" s="94" t="s">
        <v>659</v>
      </c>
      <c r="U159" s="576"/>
      <c r="V159" s="577"/>
      <c r="W159" s="578"/>
      <c r="AK159" s="583"/>
      <c r="AL159" s="478"/>
      <c r="AM159" s="584"/>
      <c r="AO159" s="778" t="s">
        <v>4883</v>
      </c>
      <c r="AP159" s="152" t="s">
        <v>177</v>
      </c>
      <c r="AQ159" s="586" t="s">
        <v>2324</v>
      </c>
      <c r="AU159" s="250" t="s">
        <v>2725</v>
      </c>
      <c r="AV159" s="151" t="s">
        <v>531</v>
      </c>
      <c r="AW159" s="138" t="str">
        <f t="shared" si="139"/>
        <v>ДП Лінда.1/2</v>
      </c>
      <c r="AY159" s="234" t="s">
        <v>1382</v>
      </c>
      <c r="AZ159" s="137" t="s">
        <v>1723</v>
      </c>
      <c r="BA159" s="138" t="str">
        <f>CONCATENATE(AY159,".",AZ159)</f>
        <v>ДП ЛАДА A.8/4.б/з фальц.</v>
      </c>
      <c r="BK159" s="143" t="s">
        <v>549</v>
      </c>
      <c r="BL159" s="137" t="s">
        <v>1893</v>
      </c>
      <c r="BM159" s="138" t="str">
        <f t="shared" si="143"/>
        <v>КД Standard.Uni-Mat</v>
      </c>
      <c r="BS159" s="58" t="s">
        <v>2503</v>
      </c>
      <c r="BT159" s="56" t="s">
        <v>4086</v>
      </c>
      <c r="BU159" s="70" t="str">
        <f t="shared" si="142"/>
        <v>ДП Ніка.1/4.Масив</v>
      </c>
      <c r="BW159" s="165" t="s">
        <v>1381</v>
      </c>
      <c r="BX159" s="772" t="s">
        <v>3851</v>
      </c>
      <c r="BY159" s="239" t="str">
        <f t="shared" si="135"/>
        <v>ДП ЛАДА A.8/3.Графіт</v>
      </c>
      <c r="CA159" s="146" t="s">
        <v>3220</v>
      </c>
      <c r="CB159" s="478" t="s">
        <v>4343</v>
      </c>
      <c r="CC159" s="239" t="str">
        <f>CONCATENATE(CA159,".",CB159)</f>
        <v>ДП Геометрія.б/з фальц.робоча.Magnet цл +2завіс 3D</v>
      </c>
      <c r="CE159" s="742" t="s">
        <v>3289</v>
      </c>
      <c r="CF159" s="137"/>
      <c r="CG159" s="138" t="str">
        <f t="shared" ref="CG159:CG169" si="146">CONCATENATE(CE159,".",CF159)</f>
        <v>ДП ЛАДА-НОВА.фальц..робоча..</v>
      </c>
      <c r="CM159" s="86" t="s">
        <v>3300</v>
      </c>
      <c r="CN159" s="56" t="s">
        <v>841</v>
      </c>
      <c r="CO159" s="70" t="str">
        <f t="shared" si="141"/>
        <v>ДП ЛАДА-ЛОФТ.купе..робоча..Verto-FIT</v>
      </c>
      <c r="CY159" s="751" t="s">
        <v>5742</v>
      </c>
      <c r="CZ159" s="767" t="s">
        <v>4850</v>
      </c>
      <c r="DA159" s="138" t="s">
        <v>859</v>
      </c>
      <c r="DD159" s="250" t="s">
        <v>1451</v>
      </c>
      <c r="DE159" s="166">
        <v>6230</v>
      </c>
      <c r="DF159" s="537">
        <f t="shared" si="144"/>
        <v>6230</v>
      </c>
      <c r="DG159" s="529"/>
      <c r="DH159" s="530">
        <f t="shared" si="145"/>
        <v>6230</v>
      </c>
      <c r="DP159" s="738" t="s">
        <v>3881</v>
      </c>
      <c r="DQ159" s="166">
        <v>550</v>
      </c>
      <c r="DR159" s="522">
        <f>ROUND(((DQ159-(DQ159/6))/$DD$3)*$DE$3,2)</f>
        <v>550</v>
      </c>
      <c r="DS159" s="523"/>
      <c r="DT159" s="524">
        <f>IF(DS159="",DR159,
IF(AND($DQ$10&gt;=VLOOKUP(DS159,$DP$5:$DT$9,2,0),$DQ$10&lt;=VLOOKUP(DS159,$DP$5:$DT$9,3,0)),
(DR159*(1-VLOOKUP(DS159,$DP$5:$DT$9,4,0))),
DR159))</f>
        <v>550</v>
      </c>
      <c r="DU159" s="166"/>
      <c r="DV159" s="805" t="s">
        <v>4459</v>
      </c>
      <c r="DW159" s="727">
        <v>60</v>
      </c>
      <c r="DX159" s="807">
        <f t="shared" si="133"/>
        <v>60</v>
      </c>
      <c r="DY159" s="526"/>
      <c r="DZ159" s="527">
        <f t="shared" si="134"/>
        <v>60</v>
      </c>
      <c r="EG159" s="165"/>
      <c r="EH159" s="738" t="s">
        <v>3511</v>
      </c>
      <c r="EI159" s="166">
        <v>0</v>
      </c>
      <c r="EJ159" s="522">
        <f t="shared" si="117"/>
        <v>0</v>
      </c>
      <c r="EK159" s="523"/>
      <c r="EL159" s="524">
        <f t="shared" ref="EL159:EL169" si="147">IF(EK159="",EJ159,
IF(AND($EI$10&gt;=VLOOKUP(EK159,$EH$5:$EL$9,2,0),$EI$10&lt;=VLOOKUP(EK159,$EH$5:$EL$9,3,0)),
(EJ159*(1-VLOOKUP(EK159,$EH$5:$EL$9,4,0))),
EJ159))</f>
        <v>0</v>
      </c>
    </row>
    <row r="160" spans="3:143">
      <c r="L160" s="144"/>
      <c r="M160" s="48"/>
      <c r="N160" s="94"/>
      <c r="O160" s="423"/>
      <c r="Q160" s="144"/>
      <c r="R160" s="98"/>
      <c r="S160" s="94"/>
      <c r="U160" s="49"/>
      <c r="V160" s="98"/>
      <c r="W160" s="94"/>
      <c r="AK160" s="777" t="s">
        <v>4435</v>
      </c>
      <c r="AL160" s="151" t="s">
        <v>174</v>
      </c>
      <c r="AM160" s="760" t="s">
        <v>3140</v>
      </c>
      <c r="AO160" s="777" t="s">
        <v>6198</v>
      </c>
      <c r="AP160" s="151" t="s">
        <v>5495</v>
      </c>
      <c r="AQ160" s="584" t="s">
        <v>2321</v>
      </c>
      <c r="AU160" s="250" t="s">
        <v>2725</v>
      </c>
      <c r="AV160" s="151" t="s">
        <v>1314</v>
      </c>
      <c r="AW160" s="138" t="str">
        <f t="shared" si="139"/>
        <v>ДП Лінда.1/3</v>
      </c>
      <c r="AY160" s="224" t="s">
        <v>1382</v>
      </c>
      <c r="AZ160" s="62" t="s">
        <v>1724</v>
      </c>
      <c r="BA160" s="139" t="str">
        <f>CONCATENATE(AY160,".",AZ160)</f>
        <v>ДП ЛАДА A.8/4.купе.</v>
      </c>
      <c r="BK160" s="143" t="s">
        <v>549</v>
      </c>
      <c r="BL160" s="137" t="s">
        <v>557</v>
      </c>
      <c r="BM160" s="138" t="str">
        <f t="shared" si="143"/>
        <v>КД Standard.Резист</v>
      </c>
      <c r="BS160" s="58" t="s">
        <v>2504</v>
      </c>
      <c r="BT160" s="56" t="s">
        <v>4086</v>
      </c>
      <c r="BU160" s="70" t="str">
        <f t="shared" si="142"/>
        <v>ДП Ніка.1/5.Масив</v>
      </c>
      <c r="BW160" s="108" t="s">
        <v>1381</v>
      </c>
      <c r="BX160" s="567" t="s">
        <v>832</v>
      </c>
      <c r="BY160" s="240" t="str">
        <f t="shared" si="135"/>
        <v>ДП ЛАДА A.8/3.Бронза</v>
      </c>
      <c r="CA160" s="146" t="s">
        <v>3220</v>
      </c>
      <c r="CB160" s="478" t="s">
        <v>4347</v>
      </c>
      <c r="CC160" s="239" t="str">
        <f>CONCATENATE(CA160,".",CB160)</f>
        <v>ДП Геометрія.б/з фальц.робоча.Magnet ст +2завіс 3D</v>
      </c>
      <c r="CE160" s="742" t="s">
        <v>3289</v>
      </c>
      <c r="CF160" s="137" t="s">
        <v>4261</v>
      </c>
      <c r="CG160" s="138" t="str">
        <f t="shared" si="146"/>
        <v>ДП ЛАДА-НОВА.фальц..робоча..ВВ</v>
      </c>
      <c r="CM160" s="432"/>
      <c r="CN160" s="427"/>
      <c r="CO160" s="428"/>
      <c r="CY160" s="750" t="s">
        <v>5743</v>
      </c>
      <c r="CZ160" s="785" t="s">
        <v>4880</v>
      </c>
      <c r="DA160" s="139" t="s">
        <v>859</v>
      </c>
      <c r="DD160" s="250" t="s">
        <v>1452</v>
      </c>
      <c r="DE160" s="166">
        <v>6230</v>
      </c>
      <c r="DF160" s="537">
        <f t="shared" si="144"/>
        <v>6230</v>
      </c>
      <c r="DG160" s="529"/>
      <c r="DH160" s="530">
        <f t="shared" si="145"/>
        <v>6230</v>
      </c>
      <c r="DP160" s="108" t="s">
        <v>2479</v>
      </c>
      <c r="DQ160" s="164">
        <v>550</v>
      </c>
      <c r="DR160" s="525">
        <f>ROUND(((DQ160-(DQ160/6))/$DD$3)*$DE$3,2)</f>
        <v>550</v>
      </c>
      <c r="DS160" s="526"/>
      <c r="DT160" s="527">
        <f>IF(DS160="",DR160,
IF(AND($DQ$10&gt;=VLOOKUP(DS160,$DP$5:$DT$9,2,0),$DQ$10&lt;=VLOOKUP(DS160,$DP$5:$DT$9,3,0)),
(DR160*(1-VLOOKUP(DS160,$DP$5:$DT$9,4,0))),
DR160))</f>
        <v>550</v>
      </c>
      <c r="DU160" s="166"/>
      <c r="DV160" s="799" t="s">
        <v>4461</v>
      </c>
      <c r="DW160" s="726">
        <v>660</v>
      </c>
      <c r="DX160" s="804">
        <f t="shared" si="133"/>
        <v>660</v>
      </c>
      <c r="DY160" s="523"/>
      <c r="DZ160" s="524">
        <f t="shared" si="134"/>
        <v>660</v>
      </c>
      <c r="EG160" s="165"/>
      <c r="EH160" s="739" t="s">
        <v>3512</v>
      </c>
      <c r="EI160" s="164">
        <v>1980</v>
      </c>
      <c r="EJ160" s="531">
        <f t="shared" si="117"/>
        <v>1980</v>
      </c>
      <c r="EK160" s="526"/>
      <c r="EL160" s="527">
        <f t="shared" si="147"/>
        <v>1980</v>
      </c>
    </row>
    <row r="161" spans="12:142">
      <c r="L161" s="58" t="s">
        <v>2654</v>
      </c>
      <c r="M161" s="48" t="s">
        <v>2651</v>
      </c>
      <c r="N161" s="94" t="s">
        <v>2096</v>
      </c>
      <c r="O161" s="423" t="s">
        <v>728</v>
      </c>
      <c r="Q161" s="58" t="s">
        <v>2654</v>
      </c>
      <c r="R161" s="98" t="s">
        <v>194</v>
      </c>
      <c r="S161" s="94" t="s">
        <v>138</v>
      </c>
      <c r="U161" s="49" t="s">
        <v>791</v>
      </c>
      <c r="V161" s="98"/>
      <c r="W161" s="94" t="s">
        <v>2197</v>
      </c>
      <c r="AK161" s="777" t="s">
        <v>4437</v>
      </c>
      <c r="AL161" s="151" t="s">
        <v>159</v>
      </c>
      <c r="AM161" s="760" t="s">
        <v>3141</v>
      </c>
      <c r="AO161" s="778" t="s">
        <v>6199</v>
      </c>
      <c r="AP161" s="152" t="s">
        <v>177</v>
      </c>
      <c r="AQ161" s="586" t="s">
        <v>2324</v>
      </c>
      <c r="AU161" s="250" t="s">
        <v>2725</v>
      </c>
      <c r="AV161" s="151" t="s">
        <v>1388</v>
      </c>
      <c r="AW161" s="138" t="str">
        <f t="shared" si="139"/>
        <v>ДП Лінда.1/4</v>
      </c>
      <c r="AY161" s="234" t="s">
        <v>1383</v>
      </c>
      <c r="AZ161" s="137" t="s">
        <v>1725</v>
      </c>
      <c r="BA161" s="138" t="str">
        <f>CONCATENATE(AY161,".",AZ161)</f>
        <v>ДП ЛАДА A.8/5.фальц,</v>
      </c>
      <c r="BK161" s="143" t="s">
        <v>549</v>
      </c>
      <c r="BL161" s="137" t="s">
        <v>62</v>
      </c>
      <c r="BM161" s="138" t="str">
        <f t="shared" si="143"/>
        <v>КД Standard.LINE-3D</v>
      </c>
      <c r="BS161" s="58" t="s">
        <v>2505</v>
      </c>
      <c r="BT161" s="56" t="s">
        <v>4086</v>
      </c>
      <c r="BU161" s="70" t="str">
        <f t="shared" si="142"/>
        <v>ДП Ніка.1/6.Масив</v>
      </c>
      <c r="BW161" s="162" t="s">
        <v>1382</v>
      </c>
      <c r="BX161" s="566" t="s">
        <v>458</v>
      </c>
      <c r="BY161" s="238" t="str">
        <f t="shared" si="135"/>
        <v>ДП ЛАДА A.8/4.Сатин</v>
      </c>
      <c r="CA161" s="146" t="s">
        <v>3220</v>
      </c>
      <c r="CB161" s="97"/>
      <c r="CC161" s="97"/>
      <c r="CE161" s="424" t="s">
        <v>3289</v>
      </c>
      <c r="CF161" s="62" t="s">
        <v>739</v>
      </c>
      <c r="CG161" s="139" t="str">
        <f t="shared" si="146"/>
        <v>ДП ЛАДА-НОВА.фальц..робоча..ВП</v>
      </c>
      <c r="CM161" s="742" t="s">
        <v>3301</v>
      </c>
      <c r="CN161" s="137" t="s">
        <v>975</v>
      </c>
      <c r="CO161" s="138" t="str">
        <f t="shared" ref="CO161:CO167" si="148">CONCATENATE(CM161,".",CN161)</f>
        <v>ДП Лінда.фальц..робоча..Standard-MDF</v>
      </c>
      <c r="CY161" s="752" t="s">
        <v>5744</v>
      </c>
      <c r="CZ161" s="768" t="s">
        <v>4850</v>
      </c>
      <c r="DA161" s="138" t="s">
        <v>859</v>
      </c>
      <c r="DD161" s="250" t="s">
        <v>1477</v>
      </c>
      <c r="DE161" s="166">
        <v>6230</v>
      </c>
      <c r="DF161" s="537">
        <f t="shared" si="144"/>
        <v>6230</v>
      </c>
      <c r="DG161" s="529"/>
      <c r="DH161" s="530">
        <f>IF(DG161="",DF161,
IF(AND($DE$10&gt;=VLOOKUP(DG161,$DD$5:$DH$9,2,0),$DE$10&lt;=VLOOKUP(DG161,$DD$5:$DH$9,3,0)),
(DF161*(1-VLOOKUP(DG161,$DD$5:$DH$9,4,0))),
DF161))</f>
        <v>6230</v>
      </c>
      <c r="DP161" s="736" t="s">
        <v>4138</v>
      </c>
      <c r="DQ161" s="105">
        <v>0</v>
      </c>
      <c r="DR161" s="403">
        <f t="shared" si="123"/>
        <v>0</v>
      </c>
      <c r="DS161" s="514"/>
      <c r="DT161" s="511">
        <f t="shared" si="97"/>
        <v>0</v>
      </c>
      <c r="DU161" s="166"/>
      <c r="DV161" s="799" t="s">
        <v>4462</v>
      </c>
      <c r="DW161" s="726">
        <v>660</v>
      </c>
      <c r="DX161" s="804">
        <f t="shared" si="133"/>
        <v>660</v>
      </c>
      <c r="DY161" s="523"/>
      <c r="DZ161" s="524">
        <f t="shared" si="134"/>
        <v>660</v>
      </c>
      <c r="EG161" s="165"/>
      <c r="EH161" s="738" t="s">
        <v>5087</v>
      </c>
      <c r="EI161" s="166">
        <v>0</v>
      </c>
      <c r="EJ161" s="522">
        <f>ROUND(((EI161-(EI161/6))/$DD$3)*$DE$3,2)</f>
        <v>0</v>
      </c>
      <c r="EK161" s="523"/>
      <c r="EL161" s="524">
        <f>IF(EK161="",EJ161,
IF(AND($EI$10&gt;=VLOOKUP(EK161,$EH$5:$EL$9,2,0),$EI$10&lt;=VLOOKUP(EK161,$EH$5:$EL$9,3,0)),
(EJ161*(1-VLOOKUP(EK161,$EH$5:$EL$9,4,0))),
EJ161))</f>
        <v>0</v>
      </c>
    </row>
    <row r="162" spans="12:142">
      <c r="L162" s="58" t="s">
        <v>2655</v>
      </c>
      <c r="M162" s="48" t="s">
        <v>2651</v>
      </c>
      <c r="N162" s="94" t="s">
        <v>2096</v>
      </c>
      <c r="O162" s="423" t="s">
        <v>728</v>
      </c>
      <c r="Q162" s="58" t="s">
        <v>2655</v>
      </c>
      <c r="R162" s="98" t="s">
        <v>195</v>
      </c>
      <c r="S162" s="94" t="s">
        <v>139</v>
      </c>
      <c r="U162" s="815"/>
      <c r="V162" s="816"/>
      <c r="W162" s="808"/>
      <c r="AK162" s="778" t="s">
        <v>4439</v>
      </c>
      <c r="AL162" s="152" t="s">
        <v>160</v>
      </c>
      <c r="AM162" s="761" t="s">
        <v>3142</v>
      </c>
      <c r="AO162" s="777" t="s">
        <v>4854</v>
      </c>
      <c r="AP162" s="151" t="s">
        <v>5495</v>
      </c>
      <c r="AQ162" s="584" t="s">
        <v>2321</v>
      </c>
      <c r="AU162" s="250" t="s">
        <v>2725</v>
      </c>
      <c r="AV162" s="151" t="s">
        <v>1389</v>
      </c>
      <c r="AW162" s="138" t="str">
        <f t="shared" si="139"/>
        <v>ДП Лінда.1/5</v>
      </c>
      <c r="AY162" s="234" t="s">
        <v>1383</v>
      </c>
      <c r="AZ162" s="137" t="s">
        <v>1723</v>
      </c>
      <c r="BA162" s="138" t="str">
        <f>CONCATENATE(AY162,".",AZ162)</f>
        <v>ДП ЛАДА A.8/5.б/з фальц.</v>
      </c>
      <c r="BK162" s="143" t="s">
        <v>549</v>
      </c>
      <c r="BL162" s="137" t="s">
        <v>5071</v>
      </c>
      <c r="BM162" s="138" t="str">
        <f>CONCATENATE(BK162,".",BL162)</f>
        <v>КД Standard.Е-шпон</v>
      </c>
      <c r="BS162" s="58" t="s">
        <v>2506</v>
      </c>
      <c r="BT162" s="56" t="s">
        <v>4086</v>
      </c>
      <c r="BU162" s="70" t="str">
        <f t="shared" si="142"/>
        <v>ДП Ніка.1/7.Масив</v>
      </c>
      <c r="BW162" s="165" t="s">
        <v>1382</v>
      </c>
      <c r="BX162" s="772" t="s">
        <v>3851</v>
      </c>
      <c r="BY162" s="239" t="str">
        <f t="shared" si="135"/>
        <v>ДП ЛАДА A.8/4.Графіт</v>
      </c>
      <c r="CA162" s="146" t="s">
        <v>3220</v>
      </c>
      <c r="CB162" s="478" t="s">
        <v>4349</v>
      </c>
      <c r="CC162" s="239" t="str">
        <f>CONCATENATE(CA162,".",CB162)</f>
        <v>ДП Геометрія.б/з фальц.робоча.Magnet цл +3завіс 3D</v>
      </c>
      <c r="CE162" s="742" t="s">
        <v>3290</v>
      </c>
      <c r="CF162" s="137"/>
      <c r="CG162" s="138" t="str">
        <f t="shared" si="146"/>
        <v>ДП ЛАДА-НОВА.фальц..неробоча..</v>
      </c>
      <c r="CM162" s="742" t="s">
        <v>3301</v>
      </c>
      <c r="CN162" s="137" t="s">
        <v>840</v>
      </c>
      <c r="CO162" s="138" t="str">
        <f t="shared" si="148"/>
        <v>ДП Лінда.фальц..робоча..Standard</v>
      </c>
      <c r="CY162" s="750" t="s">
        <v>5745</v>
      </c>
      <c r="CZ162" s="785" t="s">
        <v>4880</v>
      </c>
      <c r="DA162" s="139" t="s">
        <v>859</v>
      </c>
      <c r="DD162" s="250" t="s">
        <v>1478</v>
      </c>
      <c r="DE162" s="166">
        <v>6230</v>
      </c>
      <c r="DF162" s="537">
        <f t="shared" si="144"/>
        <v>6230</v>
      </c>
      <c r="DG162" s="529"/>
      <c r="DH162" s="530">
        <f t="shared" si="145"/>
        <v>6230</v>
      </c>
      <c r="DP162" s="162" t="s">
        <v>2480</v>
      </c>
      <c r="DQ162" s="163">
        <v>0</v>
      </c>
      <c r="DR162" s="528">
        <f t="shared" si="123"/>
        <v>0</v>
      </c>
      <c r="DS162" s="529"/>
      <c r="DT162" s="530">
        <f t="shared" si="97"/>
        <v>0</v>
      </c>
      <c r="DU162" s="166"/>
      <c r="DV162" s="799" t="s">
        <v>4464</v>
      </c>
      <c r="DW162" s="726">
        <v>660</v>
      </c>
      <c r="DX162" s="804">
        <f t="shared" si="133"/>
        <v>660</v>
      </c>
      <c r="DY162" s="523"/>
      <c r="DZ162" s="524">
        <f t="shared" si="134"/>
        <v>660</v>
      </c>
      <c r="EG162" s="165"/>
      <c r="EH162" s="739" t="s">
        <v>5088</v>
      </c>
      <c r="EI162" s="164">
        <v>2110</v>
      </c>
      <c r="EJ162" s="531">
        <f>ROUND(((EI162-(EI162/6))/$DD$3)*$DE$3,2)</f>
        <v>2110</v>
      </c>
      <c r="EK162" s="526"/>
      <c r="EL162" s="527">
        <f>IF(EK162="",EJ162,
IF(AND($EI$10&gt;=VLOOKUP(EK162,$EH$5:$EL$9,2,0),$EI$10&lt;=VLOOKUP(EK162,$EH$5:$EL$9,3,0)),
(EJ162*(1-VLOOKUP(EK162,$EH$5:$EL$9,4,0))),
EJ162))</f>
        <v>2110</v>
      </c>
    </row>
    <row r="163" spans="12:142">
      <c r="L163" s="58" t="s">
        <v>2656</v>
      </c>
      <c r="M163" s="48" t="s">
        <v>2651</v>
      </c>
      <c r="N163" s="94" t="s">
        <v>2096</v>
      </c>
      <c r="O163" s="423" t="s">
        <v>728</v>
      </c>
      <c r="Q163" s="58" t="s">
        <v>2656</v>
      </c>
      <c r="R163" s="98" t="s">
        <v>531</v>
      </c>
      <c r="S163" s="94" t="s">
        <v>1014</v>
      </c>
      <c r="U163" s="49" t="s">
        <v>792</v>
      </c>
      <c r="V163" s="98"/>
      <c r="W163" s="94" t="s">
        <v>2197</v>
      </c>
      <c r="AK163" s="778" t="s">
        <v>6150</v>
      </c>
      <c r="AL163" s="152" t="s">
        <v>6448</v>
      </c>
      <c r="AM163" s="761" t="s">
        <v>6151</v>
      </c>
      <c r="AO163" s="778" t="s">
        <v>4884</v>
      </c>
      <c r="AP163" s="152" t="s">
        <v>177</v>
      </c>
      <c r="AQ163" s="586" t="s">
        <v>2324</v>
      </c>
      <c r="AU163" s="250" t="s">
        <v>2725</v>
      </c>
      <c r="AV163" s="151" t="s">
        <v>1390</v>
      </c>
      <c r="AW163" s="138" t="str">
        <f t="shared" si="139"/>
        <v>ДП Лінда.1/6</v>
      </c>
      <c r="AY163" s="234" t="s">
        <v>1383</v>
      </c>
      <c r="AZ163" s="62" t="s">
        <v>1724</v>
      </c>
      <c r="BA163" s="139" t="str">
        <f>CONCATENATE(AY163,".",AZ163)</f>
        <v>ДП ЛАДА A.8/5.купе.</v>
      </c>
      <c r="BK163" s="144" t="s">
        <v>549</v>
      </c>
      <c r="BL163" s="62" t="s">
        <v>1836</v>
      </c>
      <c r="BM163" s="139" t="str">
        <f t="shared" si="143"/>
        <v>КД Standard.Лофт</v>
      </c>
      <c r="BS163" s="58" t="s">
        <v>2507</v>
      </c>
      <c r="BT163" s="56" t="s">
        <v>4086</v>
      </c>
      <c r="BU163" s="70" t="str">
        <f t="shared" si="142"/>
        <v>ДП Ніка.1/8.Масив</v>
      </c>
      <c r="BW163" s="108" t="s">
        <v>1382</v>
      </c>
      <c r="BX163" s="567" t="s">
        <v>832</v>
      </c>
      <c r="BY163" s="240" t="str">
        <f t="shared" si="135"/>
        <v>ДП ЛАДА A.8/4.Бронза</v>
      </c>
      <c r="CA163" s="147" t="s">
        <v>3220</v>
      </c>
      <c r="CB163" s="590" t="s">
        <v>4350</v>
      </c>
      <c r="CC163" s="240" t="str">
        <f>CONCATENATE(CA163,".",CB163)</f>
        <v>ДП Геометрія.б/з фальц.робоча.Magnet ст +3завіс 3D</v>
      </c>
      <c r="CE163" s="742" t="s">
        <v>3290</v>
      </c>
      <c r="CF163" s="137" t="s">
        <v>4261</v>
      </c>
      <c r="CG163" s="138" t="str">
        <f t="shared" si="146"/>
        <v>ДП ЛАДА-НОВА.фальц..неробоча..ВВ</v>
      </c>
      <c r="CM163" s="742" t="s">
        <v>3301</v>
      </c>
      <c r="CN163" s="137" t="s">
        <v>841</v>
      </c>
      <c r="CO163" s="138" t="str">
        <f t="shared" si="148"/>
        <v>ДП Лінда.фальц..робоча..Verto-FIT</v>
      </c>
      <c r="CY163" s="752" t="s">
        <v>5746</v>
      </c>
      <c r="CZ163" s="768" t="s">
        <v>4850</v>
      </c>
      <c r="DA163" s="138" t="s">
        <v>859</v>
      </c>
      <c r="DD163" s="250" t="s">
        <v>1479</v>
      </c>
      <c r="DE163" s="166">
        <v>6230</v>
      </c>
      <c r="DF163" s="537">
        <f t="shared" si="144"/>
        <v>6230</v>
      </c>
      <c r="DG163" s="529"/>
      <c r="DH163" s="530">
        <f t="shared" si="145"/>
        <v>6230</v>
      </c>
      <c r="DP163" s="738" t="s">
        <v>4212</v>
      </c>
      <c r="DQ163" s="166">
        <v>0</v>
      </c>
      <c r="DR163" s="522">
        <f>ROUND(((DQ163-(DQ163/6))/$DD$3)*$DE$3,2)</f>
        <v>0</v>
      </c>
      <c r="DS163" s="523"/>
      <c r="DT163" s="524">
        <f>IF(DS163="",DR163,
IF(AND($DQ$10&gt;=VLOOKUP(DS163,$DP$5:$DT$9,2,0),$DQ$10&lt;=VLOOKUP(DS163,$DP$5:$DT$9,3,0)),
(DR163*(1-VLOOKUP(DS163,$DP$5:$DT$9,4,0))),
DR163))</f>
        <v>0</v>
      </c>
      <c r="DU163" s="166"/>
      <c r="DV163" s="799" t="s">
        <v>4466</v>
      </c>
      <c r="DW163" s="726">
        <v>660</v>
      </c>
      <c r="DX163" s="804">
        <f t="shared" si="133"/>
        <v>660</v>
      </c>
      <c r="DY163" s="523"/>
      <c r="DZ163" s="524">
        <f t="shared" si="134"/>
        <v>660</v>
      </c>
      <c r="EG163" s="165"/>
      <c r="EH163" s="738" t="s">
        <v>3513</v>
      </c>
      <c r="EI163" s="166">
        <v>0</v>
      </c>
      <c r="EJ163" s="522">
        <f t="shared" si="117"/>
        <v>0</v>
      </c>
      <c r="EK163" s="523"/>
      <c r="EL163" s="524">
        <f t="shared" si="147"/>
        <v>0</v>
      </c>
    </row>
    <row r="164" spans="12:142">
      <c r="L164" s="58" t="s">
        <v>2657</v>
      </c>
      <c r="M164" s="48" t="s">
        <v>2651</v>
      </c>
      <c r="N164" s="94" t="s">
        <v>2096</v>
      </c>
      <c r="O164" s="423" t="s">
        <v>728</v>
      </c>
      <c r="Q164" s="58" t="s">
        <v>2657</v>
      </c>
      <c r="R164" s="98" t="s">
        <v>1314</v>
      </c>
      <c r="S164" s="94" t="s">
        <v>1315</v>
      </c>
      <c r="U164" s="815"/>
      <c r="V164" s="816"/>
      <c r="W164" s="808"/>
      <c r="AK164" s="591"/>
      <c r="AL164" s="475"/>
      <c r="AM164" s="592"/>
      <c r="AO164" s="777" t="s">
        <v>6200</v>
      </c>
      <c r="AP164" s="151" t="s">
        <v>5495</v>
      </c>
      <c r="AQ164" s="584" t="s">
        <v>2321</v>
      </c>
      <c r="AU164" s="250" t="s">
        <v>2725</v>
      </c>
      <c r="AV164" s="151" t="s">
        <v>1391</v>
      </c>
      <c r="AW164" s="138" t="str">
        <f t="shared" si="139"/>
        <v>ДП Лінда.1/7</v>
      </c>
      <c r="AY164" s="432"/>
      <c r="AZ164" s="222"/>
      <c r="BA164" s="223"/>
      <c r="BK164" s="142" t="s">
        <v>548</v>
      </c>
      <c r="BL164" s="134" t="s">
        <v>4904</v>
      </c>
      <c r="BM164" s="135" t="str">
        <f t="shared" si="143"/>
        <v>КД Verto-FIT.Сімплекс</v>
      </c>
      <c r="BS164" s="58" t="s">
        <v>2508</v>
      </c>
      <c r="BT164" s="56" t="s">
        <v>4086</v>
      </c>
      <c r="BU164" s="70" t="str">
        <f t="shared" si="142"/>
        <v>ДП Ніка.2/1.Масив</v>
      </c>
      <c r="BW164" s="162" t="s">
        <v>1383</v>
      </c>
      <c r="BX164" s="566" t="s">
        <v>458</v>
      </c>
      <c r="BY164" s="238" t="str">
        <f t="shared" si="135"/>
        <v>ДП ЛАДА A.8/5.Сатин</v>
      </c>
      <c r="CA164" s="742" t="s">
        <v>3225</v>
      </c>
      <c r="CB164" s="134" t="s">
        <v>4106</v>
      </c>
      <c r="CC164" s="138" t="str">
        <f>CONCATENATE(CA164,".",CB164)</f>
        <v>ДП Геометрія.купе.робоча.(ні)</v>
      </c>
      <c r="CE164" s="424" t="s">
        <v>3290</v>
      </c>
      <c r="CF164" s="62" t="s">
        <v>739</v>
      </c>
      <c r="CG164" s="139" t="str">
        <f t="shared" si="146"/>
        <v>ДП ЛАДА-НОВА.фальц..неробоча..ВП</v>
      </c>
      <c r="CM164" s="424" t="s">
        <v>3301</v>
      </c>
      <c r="CN164" s="62" t="s">
        <v>371</v>
      </c>
      <c r="CO164" s="139" t="str">
        <f t="shared" si="148"/>
        <v>ДП Лінда.фальц..робоча..Verto-FIT Plus</v>
      </c>
      <c r="CY164" s="750" t="s">
        <v>5747</v>
      </c>
      <c r="CZ164" s="785" t="s">
        <v>4880</v>
      </c>
      <c r="DA164" s="139" t="s">
        <v>859</v>
      </c>
      <c r="DD164" s="250" t="s">
        <v>1480</v>
      </c>
      <c r="DE164" s="166">
        <v>6230</v>
      </c>
      <c r="DF164" s="537">
        <f t="shared" si="144"/>
        <v>6230</v>
      </c>
      <c r="DG164" s="529"/>
      <c r="DH164" s="530">
        <f t="shared" si="145"/>
        <v>6230</v>
      </c>
      <c r="DP164" s="738" t="s">
        <v>3882</v>
      </c>
      <c r="DQ164" s="166">
        <v>550</v>
      </c>
      <c r="DR164" s="522">
        <f>ROUND(((DQ164-(DQ164/6))/$DD$3)*$DE$3,2)</f>
        <v>550</v>
      </c>
      <c r="DS164" s="523"/>
      <c r="DT164" s="524">
        <f>IF(DS164="",DR164,
IF(AND($DQ$10&gt;=VLOOKUP(DS164,$DP$5:$DT$9,2,0),$DQ$10&lt;=VLOOKUP(DS164,$DP$5:$DT$9,3,0)),
(DR164*(1-VLOOKUP(DS164,$DP$5:$DT$9,4,0))),
DR164))</f>
        <v>550</v>
      </c>
      <c r="DU164" s="166"/>
      <c r="DV164" s="799" t="s">
        <v>4468</v>
      </c>
      <c r="DW164" s="726">
        <v>720</v>
      </c>
      <c r="DX164" s="804">
        <f t="shared" si="133"/>
        <v>720</v>
      </c>
      <c r="DY164" s="523"/>
      <c r="DZ164" s="524">
        <f t="shared" si="134"/>
        <v>720</v>
      </c>
      <c r="EG164" s="165"/>
      <c r="EH164" s="739" t="s">
        <v>3514</v>
      </c>
      <c r="EI164" s="164">
        <v>2110</v>
      </c>
      <c r="EJ164" s="531">
        <f t="shared" si="117"/>
        <v>2110</v>
      </c>
      <c r="EK164" s="526"/>
      <c r="EL164" s="527">
        <f t="shared" si="147"/>
        <v>2110</v>
      </c>
    </row>
    <row r="165" spans="12:142">
      <c r="L165" s="58" t="s">
        <v>2658</v>
      </c>
      <c r="M165" s="48" t="s">
        <v>2651</v>
      </c>
      <c r="N165" s="94" t="s">
        <v>2096</v>
      </c>
      <c r="O165" s="423" t="s">
        <v>728</v>
      </c>
      <c r="Q165" s="58" t="s">
        <v>2658</v>
      </c>
      <c r="R165" s="98" t="s">
        <v>1388</v>
      </c>
      <c r="S165" s="94" t="s">
        <v>1393</v>
      </c>
      <c r="U165" s="49"/>
      <c r="V165" s="98"/>
      <c r="W165" s="94"/>
      <c r="AK165" s="777" t="s">
        <v>4442</v>
      </c>
      <c r="AL165" s="151" t="s">
        <v>1752</v>
      </c>
      <c r="AM165" s="760" t="s">
        <v>3143</v>
      </c>
      <c r="AO165" s="778" t="s">
        <v>6201</v>
      </c>
      <c r="AP165" s="152" t="s">
        <v>177</v>
      </c>
      <c r="AQ165" s="586" t="s">
        <v>2324</v>
      </c>
      <c r="AU165" s="249" t="s">
        <v>2725</v>
      </c>
      <c r="AV165" s="152" t="s">
        <v>1392</v>
      </c>
      <c r="AW165" s="139" t="str">
        <f t="shared" si="139"/>
        <v>ДП Лінда.1/8</v>
      </c>
      <c r="AY165" s="234" t="s">
        <v>1336</v>
      </c>
      <c r="AZ165" s="137" t="s">
        <v>1722</v>
      </c>
      <c r="BA165" s="138" t="str">
        <f t="shared" ref="BA165:BA203" si="149">CONCATENATE(AY165,".",AZ165)</f>
        <v>ДП ЛАДА B.1/0.фальц.</v>
      </c>
      <c r="BK165" s="143" t="s">
        <v>548</v>
      </c>
      <c r="BL165" s="137" t="s">
        <v>409</v>
      </c>
      <c r="BM165" s="138" t="str">
        <f t="shared" si="143"/>
        <v>КД Verto-FIT.Verto-Cell</v>
      </c>
      <c r="BS165" s="58" t="s">
        <v>2509</v>
      </c>
      <c r="BT165" s="56" t="s">
        <v>4086</v>
      </c>
      <c r="BU165" s="70" t="str">
        <f t="shared" si="142"/>
        <v>ДП Ніка.2/2.Масив</v>
      </c>
      <c r="BW165" s="165" t="s">
        <v>1383</v>
      </c>
      <c r="BX165" s="772" t="s">
        <v>3851</v>
      </c>
      <c r="BY165" s="239" t="str">
        <f t="shared" si="135"/>
        <v>ДП ЛАДА A.8/5.Графіт</v>
      </c>
      <c r="CA165" s="742" t="s">
        <v>3225</v>
      </c>
      <c r="CB165" s="21"/>
      <c r="CC165" s="21"/>
      <c r="CE165" s="146" t="s">
        <v>3291</v>
      </c>
      <c r="CF165" s="137"/>
      <c r="CG165" s="138" t="str">
        <f t="shared" si="146"/>
        <v>ДП ЛАДА-НОВА.б/з фальц..робоча..</v>
      </c>
      <c r="CM165" s="424" t="s">
        <v>3302</v>
      </c>
      <c r="CN165" s="62" t="s">
        <v>4106</v>
      </c>
      <c r="CO165" s="70" t="str">
        <f t="shared" si="148"/>
        <v>ДП Лінда.фальц..неробоча..(ні)</v>
      </c>
      <c r="CY165" s="752" t="s">
        <v>4832</v>
      </c>
      <c r="CZ165" s="151" t="s">
        <v>4851</v>
      </c>
      <c r="DA165" s="138" t="s">
        <v>859</v>
      </c>
      <c r="DD165" s="250" t="s">
        <v>1481</v>
      </c>
      <c r="DE165" s="166">
        <v>6230</v>
      </c>
      <c r="DF165" s="537">
        <f t="shared" si="144"/>
        <v>6230</v>
      </c>
      <c r="DG165" s="529"/>
      <c r="DH165" s="530">
        <f t="shared" si="145"/>
        <v>6230</v>
      </c>
      <c r="DP165" s="108" t="s">
        <v>2481</v>
      </c>
      <c r="DQ165" s="164">
        <v>550</v>
      </c>
      <c r="DR165" s="525">
        <f>ROUND(((DQ165-(DQ165/6))/$DD$3)*$DE$3,2)</f>
        <v>550</v>
      </c>
      <c r="DS165" s="526"/>
      <c r="DT165" s="527">
        <f>IF(DS165="",DR165,
IF(AND($DQ$10&gt;=VLOOKUP(DS165,$DP$5:$DT$9,2,0),$DQ$10&lt;=VLOOKUP(DS165,$DP$5:$DT$9,3,0)),
(DR165*(1-VLOOKUP(DS165,$DP$5:$DT$9,4,0))),
DR165))</f>
        <v>550</v>
      </c>
      <c r="DU165" s="166"/>
      <c r="DV165" s="805" t="s">
        <v>4469</v>
      </c>
      <c r="DW165" s="727">
        <v>720</v>
      </c>
      <c r="DX165" s="806">
        <f t="shared" si="133"/>
        <v>720</v>
      </c>
      <c r="DY165" s="526"/>
      <c r="DZ165" s="527">
        <f t="shared" si="134"/>
        <v>720</v>
      </c>
      <c r="EG165" s="165"/>
      <c r="EH165" s="538"/>
      <c r="EI165" s="539"/>
      <c r="EJ165" s="650"/>
      <c r="EK165" s="651"/>
      <c r="EL165" s="652"/>
    </row>
    <row r="166" spans="12:142">
      <c r="L166" s="58" t="s">
        <v>2659</v>
      </c>
      <c r="M166" s="48" t="s">
        <v>2651</v>
      </c>
      <c r="N166" s="94" t="s">
        <v>2096</v>
      </c>
      <c r="O166" s="423" t="s">
        <v>728</v>
      </c>
      <c r="Q166" s="58" t="s">
        <v>2659</v>
      </c>
      <c r="R166" s="98" t="s">
        <v>1389</v>
      </c>
      <c r="S166" s="94" t="s">
        <v>1394</v>
      </c>
      <c r="U166" s="576"/>
      <c r="V166" s="577"/>
      <c r="W166" s="578"/>
      <c r="AK166" s="777" t="s">
        <v>4444</v>
      </c>
      <c r="AL166" s="151" t="s">
        <v>1755</v>
      </c>
      <c r="AM166" s="760" t="s">
        <v>3144</v>
      </c>
      <c r="AO166" s="777" t="s">
        <v>4855</v>
      </c>
      <c r="AP166" s="151" t="s">
        <v>5495</v>
      </c>
      <c r="AQ166" s="584" t="s">
        <v>2321</v>
      </c>
      <c r="AU166" s="740" t="s">
        <v>2868</v>
      </c>
      <c r="AV166" s="151" t="s">
        <v>194</v>
      </c>
      <c r="AW166" s="138" t="str">
        <f t="shared" si="139"/>
        <v>ДП Тіана.1/0</v>
      </c>
      <c r="AY166" s="234" t="s">
        <v>1336</v>
      </c>
      <c r="AZ166" s="137" t="s">
        <v>1723</v>
      </c>
      <c r="BA166" s="138" t="str">
        <f t="shared" si="149"/>
        <v>ДП ЛАДА B.1/0.б/з фальц.</v>
      </c>
      <c r="BK166" s="143" t="s">
        <v>548</v>
      </c>
      <c r="BL166" s="137"/>
      <c r="BM166" s="138" t="str">
        <f>CONCATENATE(BK166,".",BL166)</f>
        <v>КД Verto-FIT.</v>
      </c>
      <c r="BS166" s="58" t="s">
        <v>2510</v>
      </c>
      <c r="BT166" s="56" t="s">
        <v>4086</v>
      </c>
      <c r="BU166" s="70" t="str">
        <f t="shared" si="142"/>
        <v>ДП Ніка.2/3.Масив</v>
      </c>
      <c r="BW166" s="108" t="s">
        <v>1383</v>
      </c>
      <c r="BX166" s="567" t="s">
        <v>832</v>
      </c>
      <c r="BY166" s="240" t="str">
        <f t="shared" si="135"/>
        <v>ДП ЛАДА A.8/5.Бронза</v>
      </c>
      <c r="CA166" s="742" t="s">
        <v>3225</v>
      </c>
      <c r="CB166" s="137" t="s">
        <v>462</v>
      </c>
      <c r="CC166" s="138" t="str">
        <f>CONCATENATE(CA166,".",CB166)</f>
        <v>ДП Геометрія.купе.робоча.Ручка-Захват</v>
      </c>
      <c r="CE166" s="146" t="s">
        <v>3291</v>
      </c>
      <c r="CF166" s="137" t="s">
        <v>4261</v>
      </c>
      <c r="CG166" s="138" t="str">
        <f t="shared" si="146"/>
        <v>ДП ЛАДА-НОВА.б/з фальц..робоча..ВВ</v>
      </c>
      <c r="CM166" s="86" t="s">
        <v>3303</v>
      </c>
      <c r="CN166" s="56" t="s">
        <v>941</v>
      </c>
      <c r="CO166" s="70" t="str">
        <f t="shared" si="148"/>
        <v>ДП Лінда.б/з фальц..робоча..Verto-FIT Comfort</v>
      </c>
      <c r="CY166" s="750" t="s">
        <v>4862</v>
      </c>
      <c r="CZ166" s="152" t="s">
        <v>4881</v>
      </c>
      <c r="DA166" s="139" t="s">
        <v>859</v>
      </c>
      <c r="DD166" s="249" t="s">
        <v>1482</v>
      </c>
      <c r="DE166" s="166">
        <v>6230</v>
      </c>
      <c r="DF166" s="537">
        <f t="shared" si="144"/>
        <v>6230</v>
      </c>
      <c r="DG166" s="529"/>
      <c r="DH166" s="530">
        <f t="shared" si="145"/>
        <v>6230</v>
      </c>
      <c r="DP166" s="162" t="s">
        <v>2482</v>
      </c>
      <c r="DQ166" s="163">
        <v>0</v>
      </c>
      <c r="DR166" s="528">
        <f t="shared" si="123"/>
        <v>0</v>
      </c>
      <c r="DS166" s="529"/>
      <c r="DT166" s="530">
        <f t="shared" si="97"/>
        <v>0</v>
      </c>
      <c r="DU166" s="166"/>
      <c r="DV166" s="798" t="s">
        <v>248</v>
      </c>
      <c r="DW166" s="726">
        <v>0</v>
      </c>
      <c r="DX166" s="804">
        <f t="shared" si="133"/>
        <v>0</v>
      </c>
      <c r="DY166" s="523"/>
      <c r="DZ166" s="524">
        <f t="shared" si="134"/>
        <v>0</v>
      </c>
      <c r="EG166" s="165"/>
      <c r="EH166" s="737" t="s">
        <v>4962</v>
      </c>
      <c r="EI166" s="163">
        <v>0</v>
      </c>
      <c r="EJ166" s="537">
        <f t="shared" si="117"/>
        <v>0</v>
      </c>
      <c r="EK166" s="529"/>
      <c r="EL166" s="530">
        <f t="shared" si="147"/>
        <v>0</v>
      </c>
    </row>
    <row r="167" spans="12:142">
      <c r="L167" s="58" t="s">
        <v>2660</v>
      </c>
      <c r="M167" s="48" t="s">
        <v>2651</v>
      </c>
      <c r="N167" s="94" t="s">
        <v>2096</v>
      </c>
      <c r="O167" s="423" t="s">
        <v>728</v>
      </c>
      <c r="Q167" s="58" t="s">
        <v>2660</v>
      </c>
      <c r="R167" s="98" t="s">
        <v>1390</v>
      </c>
      <c r="S167" s="94" t="s">
        <v>1395</v>
      </c>
      <c r="U167" s="49"/>
      <c r="V167" s="98"/>
      <c r="W167" s="94"/>
      <c r="AK167" s="778" t="s">
        <v>4446</v>
      </c>
      <c r="AL167" s="152" t="s">
        <v>1757</v>
      </c>
      <c r="AM167" s="761" t="s">
        <v>3145</v>
      </c>
      <c r="AO167" s="778" t="s">
        <v>4885</v>
      </c>
      <c r="AP167" s="152" t="s">
        <v>177</v>
      </c>
      <c r="AQ167" s="586" t="s">
        <v>2324</v>
      </c>
      <c r="AU167" s="740" t="s">
        <v>2868</v>
      </c>
      <c r="AV167" s="151" t="s">
        <v>195</v>
      </c>
      <c r="AW167" s="138" t="str">
        <f t="shared" si="139"/>
        <v>ДП Тіана.1/1</v>
      </c>
      <c r="AY167" s="224" t="s">
        <v>1336</v>
      </c>
      <c r="AZ167" s="62" t="s">
        <v>1724</v>
      </c>
      <c r="BA167" s="139" t="str">
        <f t="shared" si="149"/>
        <v>ДП ЛАДА B.1/0.купе.</v>
      </c>
      <c r="BK167" s="143" t="s">
        <v>548</v>
      </c>
      <c r="BL167" s="137" t="s">
        <v>1893</v>
      </c>
      <c r="BM167" s="138" t="str">
        <f t="shared" si="143"/>
        <v>КД Verto-FIT.Uni-Mat</v>
      </c>
      <c r="BS167" s="58" t="s">
        <v>2511</v>
      </c>
      <c r="BT167" s="56" t="s">
        <v>4086</v>
      </c>
      <c r="BU167" s="70" t="str">
        <f t="shared" si="142"/>
        <v>ДП Ніка.2/4.Масив</v>
      </c>
      <c r="BW167" s="432"/>
      <c r="BX167" s="432"/>
      <c r="BY167" s="432"/>
      <c r="CA167" s="742" t="s">
        <v>3225</v>
      </c>
      <c r="CB167" s="137" t="s">
        <v>684</v>
      </c>
      <c r="CC167" s="138" t="str">
        <f>CONCATENATE(CA167,".",CB167)</f>
        <v>ДП Геометрія.купе.робоча.Ручка-Замок</v>
      </c>
      <c r="CE167" s="147" t="s">
        <v>3291</v>
      </c>
      <c r="CF167" s="62" t="s">
        <v>739</v>
      </c>
      <c r="CG167" s="139" t="str">
        <f t="shared" si="146"/>
        <v>ДП ЛАДА-НОВА.б/з фальц..робоча..ВП</v>
      </c>
      <c r="CM167" s="86" t="s">
        <v>3304</v>
      </c>
      <c r="CN167" s="56" t="s">
        <v>841</v>
      </c>
      <c r="CO167" s="70" t="str">
        <f t="shared" si="148"/>
        <v>ДП Лінда.купе..робоча..Verto-FIT</v>
      </c>
      <c r="CX167" s="121"/>
      <c r="CY167" s="752" t="s">
        <v>4833</v>
      </c>
      <c r="CZ167" s="151" t="s">
        <v>4851</v>
      </c>
      <c r="DA167" s="138" t="s">
        <v>859</v>
      </c>
      <c r="DD167" s="250" t="s">
        <v>1908</v>
      </c>
      <c r="DE167" s="166">
        <v>7100</v>
      </c>
      <c r="DF167" s="537">
        <f t="shared" si="144"/>
        <v>7100</v>
      </c>
      <c r="DG167" s="529"/>
      <c r="DH167" s="530">
        <f t="shared" si="145"/>
        <v>7100</v>
      </c>
      <c r="DP167" s="738" t="s">
        <v>4213</v>
      </c>
      <c r="DQ167" s="166">
        <v>0</v>
      </c>
      <c r="DR167" s="522">
        <f>ROUND(((DQ167-(DQ167/6))/$DD$3)*$DE$3,2)</f>
        <v>0</v>
      </c>
      <c r="DS167" s="523"/>
      <c r="DT167" s="524">
        <f>IF(DS167="",DR167,
IF(AND($DQ$10&gt;=VLOOKUP(DS167,$DP$5:$DT$9,2,0),$DQ$10&lt;=VLOOKUP(DS167,$DP$5:$DT$9,3,0)),
(DR167*(1-VLOOKUP(DS167,$DP$5:$DT$9,4,0))),
DR167))</f>
        <v>0</v>
      </c>
      <c r="DU167" s="166"/>
      <c r="DV167" s="800" t="s">
        <v>249</v>
      </c>
      <c r="DW167" s="727">
        <v>450</v>
      </c>
      <c r="DX167" s="807">
        <f t="shared" si="133"/>
        <v>450</v>
      </c>
      <c r="DY167" s="526"/>
      <c r="DZ167" s="527">
        <f t="shared" si="134"/>
        <v>450</v>
      </c>
      <c r="EG167" s="165"/>
      <c r="EH167" s="739" t="s">
        <v>4963</v>
      </c>
      <c r="EI167" s="164">
        <v>1640</v>
      </c>
      <c r="EJ167" s="531">
        <f t="shared" si="117"/>
        <v>1640</v>
      </c>
      <c r="EK167" s="526"/>
      <c r="EL167" s="527">
        <f t="shared" si="147"/>
        <v>1640</v>
      </c>
    </row>
    <row r="168" spans="12:142">
      <c r="L168" s="58" t="s">
        <v>2661</v>
      </c>
      <c r="M168" s="48" t="s">
        <v>2651</v>
      </c>
      <c r="N168" s="94" t="s">
        <v>2096</v>
      </c>
      <c r="O168" s="423" t="s">
        <v>728</v>
      </c>
      <c r="Q168" s="58" t="s">
        <v>2661</v>
      </c>
      <c r="R168" s="98" t="s">
        <v>197</v>
      </c>
      <c r="S168" s="94" t="s">
        <v>141</v>
      </c>
      <c r="U168" s="153" t="s">
        <v>793</v>
      </c>
      <c r="V168" s="101" t="s">
        <v>239</v>
      </c>
      <c r="W168" s="100" t="s">
        <v>2183</v>
      </c>
      <c r="AK168" s="778" t="s">
        <v>6152</v>
      </c>
      <c r="AL168" s="152" t="s">
        <v>6450</v>
      </c>
      <c r="AM168" s="761" t="s">
        <v>6153</v>
      </c>
      <c r="AO168" s="777" t="s">
        <v>6202</v>
      </c>
      <c r="AP168" s="151" t="s">
        <v>5495</v>
      </c>
      <c r="AQ168" s="584" t="s">
        <v>2321</v>
      </c>
      <c r="AU168" s="740" t="s">
        <v>2868</v>
      </c>
      <c r="AV168" s="151" t="s">
        <v>531</v>
      </c>
      <c r="AW168" s="138" t="str">
        <f t="shared" si="139"/>
        <v>ДП Тіана.1/2</v>
      </c>
      <c r="AY168" s="234" t="s">
        <v>1337</v>
      </c>
      <c r="AZ168" s="137" t="s">
        <v>1722</v>
      </c>
      <c r="BA168" s="138" t="str">
        <f t="shared" si="149"/>
        <v>ДП ЛАДА B.1/1.фальц.</v>
      </c>
      <c r="BK168" s="143" t="s">
        <v>548</v>
      </c>
      <c r="BL168" s="137" t="s">
        <v>557</v>
      </c>
      <c r="BM168" s="138" t="str">
        <f t="shared" si="143"/>
        <v>КД Verto-FIT.Резист</v>
      </c>
      <c r="BS168" s="426"/>
      <c r="BT168" s="427"/>
      <c r="BU168" s="428"/>
      <c r="BW168" s="162" t="s">
        <v>1336</v>
      </c>
      <c r="BX168" s="246" t="s">
        <v>458</v>
      </c>
      <c r="BY168" s="135" t="str">
        <f t="shared" ref="BY168:BY203" si="150">CONCATENATE(BW168,".",BX168)</f>
        <v>ДП ЛАДА B.1/0.Сатин</v>
      </c>
      <c r="CA168" s="432"/>
      <c r="CB168" s="222"/>
      <c r="CC168" s="223"/>
      <c r="CE168" s="746" t="s">
        <v>3292</v>
      </c>
      <c r="CF168" s="137"/>
      <c r="CG168" s="138" t="str">
        <f t="shared" si="146"/>
        <v>ДП ЛАДА-НОВА.купе..робоча..</v>
      </c>
      <c r="CM168" s="432"/>
      <c r="CN168" s="427"/>
      <c r="CO168" s="428"/>
      <c r="CX168" s="121"/>
      <c r="CY168" s="750" t="s">
        <v>4863</v>
      </c>
      <c r="CZ168" s="152" t="s">
        <v>4881</v>
      </c>
      <c r="DA168" s="139" t="s">
        <v>859</v>
      </c>
      <c r="DD168" s="250" t="s">
        <v>1909</v>
      </c>
      <c r="DE168" s="166">
        <v>7100</v>
      </c>
      <c r="DF168" s="537">
        <f t="shared" si="144"/>
        <v>7100</v>
      </c>
      <c r="DG168" s="529"/>
      <c r="DH168" s="530">
        <f t="shared" si="145"/>
        <v>7100</v>
      </c>
      <c r="DP168" s="738" t="s">
        <v>3883</v>
      </c>
      <c r="DQ168" s="166">
        <v>550</v>
      </c>
      <c r="DR168" s="522">
        <f>ROUND(((DQ168-(DQ168/6))/$DD$3)*$DE$3,2)</f>
        <v>550</v>
      </c>
      <c r="DS168" s="523"/>
      <c r="DT168" s="524">
        <f>IF(DS168="",DR168,
IF(AND($DQ$10&gt;=VLOOKUP(DS168,$DP$5:$DT$9,2,0),$DQ$10&lt;=VLOOKUP(DS168,$DP$5:$DT$9,3,0)),
(DR168*(1-VLOOKUP(DS168,$DP$5:$DT$9,4,0))),
DR168))</f>
        <v>550</v>
      </c>
      <c r="DU168" s="166"/>
      <c r="DV168" s="647"/>
      <c r="DW168" s="648"/>
      <c r="DX168" s="654"/>
      <c r="DY168" s="655"/>
      <c r="DZ168" s="656"/>
      <c r="EG168" s="165"/>
      <c r="EH168" s="738" t="s">
        <v>3515</v>
      </c>
      <c r="EI168" s="166">
        <v>0</v>
      </c>
      <c r="EJ168" s="522">
        <f t="shared" si="117"/>
        <v>0</v>
      </c>
      <c r="EK168" s="523"/>
      <c r="EL168" s="524">
        <f t="shared" si="147"/>
        <v>0</v>
      </c>
    </row>
    <row r="169" spans="12:142">
      <c r="L169" s="58" t="s">
        <v>2662</v>
      </c>
      <c r="M169" s="48" t="s">
        <v>2651</v>
      </c>
      <c r="N169" s="94" t="s">
        <v>2096</v>
      </c>
      <c r="O169" s="423" t="s">
        <v>728</v>
      </c>
      <c r="Q169" s="58" t="s">
        <v>2662</v>
      </c>
      <c r="R169" s="98" t="s">
        <v>198</v>
      </c>
      <c r="S169" s="94" t="s">
        <v>142</v>
      </c>
      <c r="U169" s="154" t="s">
        <v>794</v>
      </c>
      <c r="V169" s="151" t="s">
        <v>240</v>
      </c>
      <c r="W169" s="159" t="s">
        <v>2184</v>
      </c>
      <c r="AK169" s="591"/>
      <c r="AL169" s="475"/>
      <c r="AM169" s="592"/>
      <c r="AO169" s="778" t="s">
        <v>6203</v>
      </c>
      <c r="AP169" s="152" t="s">
        <v>177</v>
      </c>
      <c r="AQ169" s="586" t="s">
        <v>2324</v>
      </c>
      <c r="AU169" s="740" t="s">
        <v>2868</v>
      </c>
      <c r="AV169" s="151" t="s">
        <v>1314</v>
      </c>
      <c r="AW169" s="138" t="str">
        <f t="shared" si="139"/>
        <v>ДП Тіана.1/3</v>
      </c>
      <c r="AY169" s="234" t="s">
        <v>1337</v>
      </c>
      <c r="AZ169" s="137" t="s">
        <v>1723</v>
      </c>
      <c r="BA169" s="138" t="str">
        <f t="shared" si="149"/>
        <v>ДП ЛАДА B.1/1.б/з фальц.</v>
      </c>
      <c r="BK169" s="143" t="s">
        <v>548</v>
      </c>
      <c r="BL169" s="137" t="s">
        <v>62</v>
      </c>
      <c r="BM169" s="138" t="str">
        <f t="shared" si="143"/>
        <v>КД Verto-FIT.LINE-3D</v>
      </c>
      <c r="BS169" s="58" t="s">
        <v>2594</v>
      </c>
      <c r="BT169" s="56" t="s">
        <v>4086</v>
      </c>
      <c r="BU169" s="70" t="str">
        <f t="shared" ref="BU169:BU176" si="151">CONCATENATE(BS169,".",BT169)</f>
        <v>ДП Ліса.2/0.Масив</v>
      </c>
      <c r="BW169" s="165" t="s">
        <v>1336</v>
      </c>
      <c r="BX169" s="770" t="s">
        <v>3851</v>
      </c>
      <c r="BY169" s="138" t="str">
        <f t="shared" si="150"/>
        <v>ДП ЛАДА B.1/0.Графіт</v>
      </c>
      <c r="CA169" s="742" t="s">
        <v>3232</v>
      </c>
      <c r="CB169" s="137" t="s">
        <v>4106</v>
      </c>
      <c r="CC169" s="138" t="str">
        <f>CONCATENATE(CA169,".",CB169)</f>
        <v>ДП Ідея.фальц.робоча.(ні)</v>
      </c>
      <c r="CE169" s="424" t="s">
        <v>3292</v>
      </c>
      <c r="CF169" s="62" t="s">
        <v>4261</v>
      </c>
      <c r="CG169" s="139" t="str">
        <f t="shared" si="146"/>
        <v>ДП ЛАДА-НОВА.купе..робоча..ВВ</v>
      </c>
      <c r="CM169" s="742" t="s">
        <v>3305</v>
      </c>
      <c r="CN169" s="137" t="s">
        <v>975</v>
      </c>
      <c r="CO169" s="138" t="str">
        <f t="shared" ref="CO169:CO175" si="152">CONCATENATE(CM169,".",CN169)</f>
        <v>ДП Тіана.фальц..робоча..Standard-MDF</v>
      </c>
      <c r="CX169" s="121"/>
      <c r="CY169" s="752" t="s">
        <v>4834</v>
      </c>
      <c r="CZ169" s="151" t="s">
        <v>4852</v>
      </c>
      <c r="DA169" s="138" t="s">
        <v>859</v>
      </c>
      <c r="DD169" s="250" t="s">
        <v>1910</v>
      </c>
      <c r="DE169" s="166">
        <v>7100</v>
      </c>
      <c r="DF169" s="537">
        <f t="shared" si="144"/>
        <v>7100</v>
      </c>
      <c r="DG169" s="529"/>
      <c r="DH169" s="530">
        <f t="shared" si="145"/>
        <v>7100</v>
      </c>
      <c r="DP169" s="108" t="s">
        <v>2483</v>
      </c>
      <c r="DQ169" s="164">
        <v>550</v>
      </c>
      <c r="DR169" s="525">
        <f>ROUND(((DQ169-(DQ169/6))/$DD$3)*$DE$3,2)</f>
        <v>550</v>
      </c>
      <c r="DS169" s="526"/>
      <c r="DT169" s="527">
        <f>IF(DS169="",DR169,
IF(AND($DQ$10&gt;=VLOOKUP(DS169,$DP$5:$DT$9,2,0),$DQ$10&lt;=VLOOKUP(DS169,$DP$5:$DT$9,3,0)),
(DR169*(1-VLOOKUP(DS169,$DP$5:$DT$9,4,0))),
DR169))</f>
        <v>550</v>
      </c>
      <c r="DU169" s="166"/>
      <c r="DV169" s="737" t="s">
        <v>4133</v>
      </c>
      <c r="DW169" s="105">
        <v>0</v>
      </c>
      <c r="DX169" s="528">
        <f t="shared" ref="DX169:DX215" si="153">ROUND(((DW169-(DW169/6))/$DD$3)*$DE$3,2)</f>
        <v>0</v>
      </c>
      <c r="DY169" s="529"/>
      <c r="DZ169" s="530">
        <f t="shared" ref="DZ169:DZ215" si="154">IF(DY169="",DX169,
IF(AND($DW$10&gt;=VLOOKUP(DY169,$DV$5:$DZ$9,2,0),$DW$10&lt;=VLOOKUP(DY169,$DV$5:$DZ$9,3,0)),
(DX169*(1-VLOOKUP(DY169,$DV$5:$DZ$9,4,0))),
DX169))</f>
        <v>0</v>
      </c>
      <c r="EG169" s="165"/>
      <c r="EH169" s="739" t="s">
        <v>3516</v>
      </c>
      <c r="EI169" s="164">
        <v>1640</v>
      </c>
      <c r="EJ169" s="531">
        <f t="shared" si="117"/>
        <v>1640</v>
      </c>
      <c r="EK169" s="526"/>
      <c r="EL169" s="527">
        <f t="shared" si="147"/>
        <v>1640</v>
      </c>
    </row>
    <row r="170" spans="12:142">
      <c r="L170" s="58" t="s">
        <v>2663</v>
      </c>
      <c r="M170" s="48" t="s">
        <v>2651</v>
      </c>
      <c r="N170" s="94" t="s">
        <v>2096</v>
      </c>
      <c r="O170" s="423" t="s">
        <v>728</v>
      </c>
      <c r="Q170" s="58" t="s">
        <v>2663</v>
      </c>
      <c r="R170" s="98" t="s">
        <v>1398</v>
      </c>
      <c r="S170" s="94" t="s">
        <v>1399</v>
      </c>
      <c r="U170" s="154" t="s">
        <v>795</v>
      </c>
      <c r="V170" s="151" t="s">
        <v>241</v>
      </c>
      <c r="W170" s="159" t="s">
        <v>2185</v>
      </c>
      <c r="AK170" s="777" t="s">
        <v>4449</v>
      </c>
      <c r="AL170" s="151" t="s">
        <v>1759</v>
      </c>
      <c r="AM170" s="760" t="s">
        <v>3146</v>
      </c>
      <c r="AO170" s="778"/>
      <c r="AP170" s="152"/>
      <c r="AQ170" s="586"/>
      <c r="AU170" s="740" t="s">
        <v>2868</v>
      </c>
      <c r="AV170" s="151" t="s">
        <v>1388</v>
      </c>
      <c r="AW170" s="138" t="str">
        <f t="shared" si="139"/>
        <v>ДП Тіана.1/4</v>
      </c>
      <c r="AY170" s="224" t="s">
        <v>1337</v>
      </c>
      <c r="AZ170" s="62" t="s">
        <v>1724</v>
      </c>
      <c r="BA170" s="139" t="str">
        <f t="shared" si="149"/>
        <v>ДП ЛАДА B.1/1.купе.</v>
      </c>
      <c r="BK170" s="143" t="s">
        <v>548</v>
      </c>
      <c r="BL170" s="137" t="s">
        <v>5071</v>
      </c>
      <c r="BM170" s="138" t="str">
        <f>CONCATENATE(BK170,".",BL170)</f>
        <v>КД Verto-FIT.Е-шпон</v>
      </c>
      <c r="BS170" s="58" t="s">
        <v>2595</v>
      </c>
      <c r="BT170" s="56" t="s">
        <v>4086</v>
      </c>
      <c r="BU170" s="70" t="str">
        <f t="shared" si="151"/>
        <v>ДП Ліса.2/1.Масив</v>
      </c>
      <c r="BW170" s="108" t="s">
        <v>1336</v>
      </c>
      <c r="BX170" s="248" t="s">
        <v>832</v>
      </c>
      <c r="BY170" s="139" t="str">
        <f t="shared" si="150"/>
        <v>ДП ЛАДА B.1/0.Бронза</v>
      </c>
      <c r="CA170" s="742" t="s">
        <v>3232</v>
      </c>
      <c r="CB170" s="21"/>
      <c r="CC170" s="21"/>
      <c r="CE170" s="228"/>
      <c r="CF170" s="222"/>
      <c r="CG170" s="223"/>
      <c r="CM170" s="742" t="s">
        <v>3305</v>
      </c>
      <c r="CN170" s="137" t="s">
        <v>840</v>
      </c>
      <c r="CO170" s="138" t="str">
        <f t="shared" si="152"/>
        <v>ДП Тіана.фальц..робоча..Standard</v>
      </c>
      <c r="CX170" s="121"/>
      <c r="CY170" s="750" t="s">
        <v>4864</v>
      </c>
      <c r="CZ170" s="152" t="s">
        <v>4882</v>
      </c>
      <c r="DA170" s="139" t="s">
        <v>859</v>
      </c>
      <c r="DD170" s="250" t="s">
        <v>1911</v>
      </c>
      <c r="DE170" s="166">
        <v>7100</v>
      </c>
      <c r="DF170" s="537">
        <f t="shared" si="144"/>
        <v>7100</v>
      </c>
      <c r="DG170" s="529"/>
      <c r="DH170" s="530">
        <f t="shared" si="145"/>
        <v>7100</v>
      </c>
      <c r="DP170" s="162" t="s">
        <v>2484</v>
      </c>
      <c r="DQ170" s="163">
        <v>0</v>
      </c>
      <c r="DR170" s="528">
        <f t="shared" si="123"/>
        <v>0</v>
      </c>
      <c r="DS170" s="529"/>
      <c r="DT170" s="530">
        <f t="shared" si="97"/>
        <v>0</v>
      </c>
      <c r="DU170" s="166"/>
      <c r="DV170" s="737" t="s">
        <v>5784</v>
      </c>
      <c r="DW170" s="163">
        <v>0</v>
      </c>
      <c r="DX170" s="528">
        <f t="shared" si="153"/>
        <v>0</v>
      </c>
      <c r="DY170" s="529"/>
      <c r="DZ170" s="530">
        <f t="shared" si="154"/>
        <v>0</v>
      </c>
      <c r="EG170" s="165"/>
      <c r="EH170" s="738" t="s">
        <v>3517</v>
      </c>
      <c r="EI170" s="166">
        <v>0</v>
      </c>
      <c r="EJ170" s="522">
        <f>ROUND(((EI170-(EI170/6))/$DD$3)*$DE$3,2)</f>
        <v>0</v>
      </c>
      <c r="EK170" s="523"/>
      <c r="EL170" s="524">
        <f>IF(EK170="",EJ170,
IF(AND($EI$10&gt;=VLOOKUP(EK170,$EH$5:$EL$9,2,0),$EI$10&lt;=VLOOKUP(EK170,$EH$5:$EL$9,3,0)),
(EJ170*(1-VLOOKUP(EK170,$EH$5:$EL$9,4,0))),
EJ170))</f>
        <v>0</v>
      </c>
    </row>
    <row r="171" spans="12:142">
      <c r="L171" s="144"/>
      <c r="M171" s="48"/>
      <c r="N171" s="94"/>
      <c r="O171" s="423"/>
      <c r="Q171" s="144"/>
      <c r="R171" s="98"/>
      <c r="S171" s="94"/>
      <c r="U171" s="154" t="s">
        <v>796</v>
      </c>
      <c r="V171" s="151" t="s">
        <v>242</v>
      </c>
      <c r="W171" s="159" t="s">
        <v>2186</v>
      </c>
      <c r="AK171" s="777" t="s">
        <v>4451</v>
      </c>
      <c r="AL171" s="151" t="s">
        <v>1762</v>
      </c>
      <c r="AM171" s="760" t="s">
        <v>3147</v>
      </c>
      <c r="AO171" s="778"/>
      <c r="AP171" s="152"/>
      <c r="AQ171" s="586"/>
      <c r="AU171" s="740" t="s">
        <v>2868</v>
      </c>
      <c r="AV171" s="151" t="s">
        <v>1389</v>
      </c>
      <c r="AW171" s="138" t="str">
        <f t="shared" si="139"/>
        <v>ДП Тіана.1/5</v>
      </c>
      <c r="AY171" s="234" t="s">
        <v>1338</v>
      </c>
      <c r="AZ171" s="137" t="s">
        <v>1722</v>
      </c>
      <c r="BA171" s="138" t="str">
        <f t="shared" si="149"/>
        <v>ДП ЛАДА B.1/2.фальц.</v>
      </c>
      <c r="BK171" s="144" t="s">
        <v>548</v>
      </c>
      <c r="BL171" s="62" t="s">
        <v>1836</v>
      </c>
      <c r="BM171" s="139" t="str">
        <f t="shared" si="143"/>
        <v>КД Verto-FIT.Лофт</v>
      </c>
      <c r="BS171" s="58" t="s">
        <v>2596</v>
      </c>
      <c r="BT171" s="56" t="s">
        <v>4086</v>
      </c>
      <c r="BU171" s="70" t="str">
        <f t="shared" si="151"/>
        <v>ДП Ліса.2/2.Масив</v>
      </c>
      <c r="BW171" s="108" t="s">
        <v>1336</v>
      </c>
      <c r="BX171" s="248" t="s">
        <v>6046</v>
      </c>
      <c r="BY171" s="139" t="str">
        <f>CONCATENATE(BW171,".",BX171)</f>
        <v>ДП ЛАДА B.1/0.Лакобель</v>
      </c>
      <c r="CA171" s="742" t="s">
        <v>3232</v>
      </c>
      <c r="CB171" s="783" t="s">
        <v>5748</v>
      </c>
      <c r="CC171" s="138" t="str">
        <f t="shared" ref="CC171:CC176" si="155">CONCATENATE(CA171,".",CB171)</f>
        <v>ДП Ідея.фальц.робоча.Stand цл Лів +2завіс</v>
      </c>
      <c r="CE171" s="145" t="s">
        <v>3293</v>
      </c>
      <c r="CF171" s="137"/>
      <c r="CG171" s="138" t="str">
        <f t="shared" ref="CG171:CG181" si="156">CONCATENATE(CE171,".",CF171)</f>
        <v>ДП Міра.фальц..робоча..</v>
      </c>
      <c r="CM171" s="742" t="s">
        <v>3305</v>
      </c>
      <c r="CN171" s="137" t="s">
        <v>841</v>
      </c>
      <c r="CO171" s="138" t="str">
        <f t="shared" si="152"/>
        <v>ДП Тіана.фальц..робоча..Verto-FIT</v>
      </c>
      <c r="CX171" s="121"/>
      <c r="CY171" s="752" t="s">
        <v>6177</v>
      </c>
      <c r="CZ171" s="151" t="s">
        <v>6195</v>
      </c>
      <c r="DA171" s="138" t="s">
        <v>859</v>
      </c>
      <c r="DD171" s="250" t="s">
        <v>1912</v>
      </c>
      <c r="DE171" s="166">
        <v>7100</v>
      </c>
      <c r="DF171" s="537">
        <f t="shared" si="144"/>
        <v>7100</v>
      </c>
      <c r="DG171" s="529"/>
      <c r="DH171" s="530">
        <f t="shared" si="145"/>
        <v>7100</v>
      </c>
      <c r="DP171" s="738" t="s">
        <v>4214</v>
      </c>
      <c r="DQ171" s="166">
        <v>0</v>
      </c>
      <c r="DR171" s="522">
        <f>ROUND(((DQ171-(DQ171/6))/$DD$3)*$DE$3,2)</f>
        <v>0</v>
      </c>
      <c r="DS171" s="523"/>
      <c r="DT171" s="524">
        <f>IF(DS171="",DR171,
IF(AND($DQ$10&gt;=VLOOKUP(DS171,$DP$5:$DT$9,2,0),$DQ$10&lt;=VLOOKUP(DS171,$DP$5:$DT$9,3,0)),
(DR171*(1-VLOOKUP(DS171,$DP$5:$DT$9,4,0))),
DR171))</f>
        <v>0</v>
      </c>
      <c r="DU171" s="166"/>
      <c r="DV171" s="737" t="s">
        <v>5785</v>
      </c>
      <c r="DW171" s="163">
        <v>0</v>
      </c>
      <c r="DX171" s="528">
        <f>ROUND(((DW171-(DW171/6))/$DD$3)*$DE$3,2)</f>
        <v>0</v>
      </c>
      <c r="DY171" s="529"/>
      <c r="DZ171" s="530">
        <f>IF(DY171="",DX171,
IF(AND($DW$10&gt;=VLOOKUP(DY171,$DV$5:$DZ$9,2,0),$DW$10&lt;=VLOOKUP(DY171,$DV$5:$DZ$9,3,0)),
(DX171*(1-VLOOKUP(DY171,$DV$5:$DZ$9,4,0))),
DX171))</f>
        <v>0</v>
      </c>
      <c r="EG171" s="165"/>
      <c r="EH171" s="739" t="s">
        <v>3518</v>
      </c>
      <c r="EI171" s="164">
        <v>1640</v>
      </c>
      <c r="EJ171" s="531">
        <f>ROUND(((EI171-(EI171/6))/$DD$3)*$DE$3,2)</f>
        <v>1640</v>
      </c>
      <c r="EK171" s="526"/>
      <c r="EL171" s="527">
        <f>IF(EK171="",EJ171,
IF(AND($EI$10&gt;=VLOOKUP(EK171,$EH$5:$EL$9,2,0),$EI$10&lt;=VLOOKUP(EK171,$EH$5:$EL$9,3,0)),
(EJ171*(1-VLOOKUP(EK171,$EH$5:$EL$9,4,0))),
EJ171))</f>
        <v>1640</v>
      </c>
    </row>
    <row r="172" spans="12:142">
      <c r="L172" s="58" t="s">
        <v>1065</v>
      </c>
      <c r="M172" s="48" t="s">
        <v>1066</v>
      </c>
      <c r="N172" s="94" t="s">
        <v>2085</v>
      </c>
      <c r="O172" s="423" t="s">
        <v>728</v>
      </c>
      <c r="Q172" s="58" t="s">
        <v>1065</v>
      </c>
      <c r="R172" s="98" t="s">
        <v>194</v>
      </c>
      <c r="S172" s="94" t="s">
        <v>138</v>
      </c>
      <c r="U172" s="155" t="s">
        <v>215</v>
      </c>
      <c r="V172" s="152" t="s">
        <v>243</v>
      </c>
      <c r="W172" s="160" t="s">
        <v>2187</v>
      </c>
      <c r="AK172" s="778" t="s">
        <v>4453</v>
      </c>
      <c r="AL172" s="152" t="s">
        <v>1764</v>
      </c>
      <c r="AM172" s="761" t="s">
        <v>3148</v>
      </c>
      <c r="AO172" s="598"/>
      <c r="AP172" s="599"/>
      <c r="AQ172" s="586"/>
      <c r="AU172" s="740" t="s">
        <v>2868</v>
      </c>
      <c r="AV172" s="151" t="s">
        <v>1390</v>
      </c>
      <c r="AW172" s="138" t="str">
        <f t="shared" si="139"/>
        <v>ДП Тіана.1/6</v>
      </c>
      <c r="AY172" s="234" t="s">
        <v>1338</v>
      </c>
      <c r="AZ172" s="137" t="s">
        <v>1723</v>
      </c>
      <c r="BA172" s="138" t="str">
        <f t="shared" si="149"/>
        <v>ДП ЛАДА B.1/2.б/з фальц.</v>
      </c>
      <c r="BK172" s="142" t="s">
        <v>352</v>
      </c>
      <c r="BL172" s="134" t="s">
        <v>4904</v>
      </c>
      <c r="BM172" s="135" t="str">
        <f t="shared" si="143"/>
        <v>КД Verto-FIT Plus.Сімплекс</v>
      </c>
      <c r="BS172" s="58" t="s">
        <v>2597</v>
      </c>
      <c r="BT172" s="56" t="s">
        <v>4086</v>
      </c>
      <c r="BU172" s="70" t="str">
        <f t="shared" si="151"/>
        <v>ДП Ліса.3/0.Масив</v>
      </c>
      <c r="BW172" s="162" t="s">
        <v>1337</v>
      </c>
      <c r="BX172" s="246" t="s">
        <v>458</v>
      </c>
      <c r="BY172" s="135" t="str">
        <f t="shared" si="150"/>
        <v>ДП ЛАДА B.1/1.Сатин</v>
      </c>
      <c r="CA172" s="742" t="s">
        <v>3232</v>
      </c>
      <c r="CB172" s="783" t="s">
        <v>5749</v>
      </c>
      <c r="CC172" s="138" t="str">
        <f t="shared" si="155"/>
        <v>ДП Ідея.фальц.робоча.Stand цл Пр +2завіс</v>
      </c>
      <c r="CE172" s="146" t="s">
        <v>3293</v>
      </c>
      <c r="CF172" s="137" t="s">
        <v>4261</v>
      </c>
      <c r="CG172" s="138" t="str">
        <f t="shared" si="156"/>
        <v>ДП Міра.фальц..робоча..ВВ</v>
      </c>
      <c r="CM172" s="424" t="s">
        <v>3305</v>
      </c>
      <c r="CN172" s="62" t="s">
        <v>371</v>
      </c>
      <c r="CO172" s="139" t="str">
        <f t="shared" si="152"/>
        <v>ДП Тіана.фальц..робоча..Verto-FIT Plus</v>
      </c>
      <c r="CX172" s="121"/>
      <c r="CY172" s="750" t="s">
        <v>6178</v>
      </c>
      <c r="CZ172" s="152" t="s">
        <v>6196</v>
      </c>
      <c r="DA172" s="139" t="s">
        <v>859</v>
      </c>
      <c r="DD172" s="250" t="s">
        <v>1913</v>
      </c>
      <c r="DE172" s="166">
        <v>7100</v>
      </c>
      <c r="DF172" s="537">
        <f t="shared" si="144"/>
        <v>7100</v>
      </c>
      <c r="DG172" s="529"/>
      <c r="DH172" s="530">
        <f t="shared" si="145"/>
        <v>7100</v>
      </c>
      <c r="DP172" s="738" t="s">
        <v>3884</v>
      </c>
      <c r="DQ172" s="166">
        <v>550</v>
      </c>
      <c r="DR172" s="522">
        <f>ROUND(((DQ172-(DQ172/6))/$DD$3)*$DE$3,2)</f>
        <v>550</v>
      </c>
      <c r="DS172" s="523"/>
      <c r="DT172" s="524">
        <f>IF(DS172="",DR172,
IF(AND($DQ$10&gt;=VLOOKUP(DS172,$DP$5:$DT$9,2,0),$DQ$10&lt;=VLOOKUP(DS172,$DP$5:$DT$9,3,0)),
(DR172*(1-VLOOKUP(DS172,$DP$5:$DT$9,4,0))),
DR172))</f>
        <v>550</v>
      </c>
      <c r="DU172" s="166"/>
      <c r="DV172" s="738" t="s">
        <v>5786</v>
      </c>
      <c r="DW172" s="166">
        <v>0</v>
      </c>
      <c r="DX172" s="522">
        <f t="shared" si="153"/>
        <v>0</v>
      </c>
      <c r="DY172" s="523"/>
      <c r="DZ172" s="524">
        <f t="shared" si="154"/>
        <v>0</v>
      </c>
      <c r="EG172" s="165"/>
      <c r="EH172" s="738" t="s">
        <v>3519</v>
      </c>
      <c r="EI172" s="166">
        <v>0</v>
      </c>
      <c r="EJ172" s="522">
        <f>ROUND(((EI172-(EI172/6))/$DD$3)*$DE$3,2)</f>
        <v>0</v>
      </c>
      <c r="EK172" s="523"/>
      <c r="EL172" s="524">
        <f>IF(EK172="",EJ172,
IF(AND($EI$10&gt;=VLOOKUP(EK172,$EH$5:$EL$9,2,0),$EI$10&lt;=VLOOKUP(EK172,$EH$5:$EL$9,3,0)),
(EJ172*(1-VLOOKUP(EK172,$EH$5:$EL$9,4,0))),
EJ172))</f>
        <v>0</v>
      </c>
    </row>
    <row r="173" spans="12:142">
      <c r="L173" s="58" t="s">
        <v>1067</v>
      </c>
      <c r="M173" s="48" t="s">
        <v>1066</v>
      </c>
      <c r="N173" s="94" t="s">
        <v>2085</v>
      </c>
      <c r="O173" s="423" t="s">
        <v>728</v>
      </c>
      <c r="Q173" s="58" t="s">
        <v>1067</v>
      </c>
      <c r="R173" s="98" t="s">
        <v>195</v>
      </c>
      <c r="S173" s="94" t="s">
        <v>139</v>
      </c>
      <c r="U173" s="153" t="s">
        <v>216</v>
      </c>
      <c r="V173" s="101" t="s">
        <v>85</v>
      </c>
      <c r="W173" s="766" t="s">
        <v>5434</v>
      </c>
      <c r="AK173" s="778" t="s">
        <v>6154</v>
      </c>
      <c r="AL173" s="152" t="s">
        <v>6452</v>
      </c>
      <c r="AM173" s="761" t="s">
        <v>6155</v>
      </c>
      <c r="AO173" s="759" t="s">
        <v>4134</v>
      </c>
      <c r="AP173" s="98" t="s">
        <v>176</v>
      </c>
      <c r="AQ173" s="592" t="s">
        <v>2325</v>
      </c>
      <c r="AU173" s="740" t="s">
        <v>2868</v>
      </c>
      <c r="AV173" s="151" t="s">
        <v>1391</v>
      </c>
      <c r="AW173" s="138" t="str">
        <f t="shared" si="139"/>
        <v>ДП Тіана.1/7</v>
      </c>
      <c r="AY173" s="224" t="s">
        <v>1338</v>
      </c>
      <c r="AZ173" s="62" t="s">
        <v>1724</v>
      </c>
      <c r="BA173" s="139" t="str">
        <f t="shared" si="149"/>
        <v>ДП ЛАДА B.1/2.купе.</v>
      </c>
      <c r="BK173" s="143" t="s">
        <v>352</v>
      </c>
      <c r="BL173" s="137" t="s">
        <v>409</v>
      </c>
      <c r="BM173" s="138" t="str">
        <f t="shared" si="143"/>
        <v>КД Verto-FIT Plus.Verto-Cell</v>
      </c>
      <c r="BS173" s="58" t="s">
        <v>2598</v>
      </c>
      <c r="BT173" s="56" t="s">
        <v>4086</v>
      </c>
      <c r="BU173" s="70" t="str">
        <f t="shared" si="151"/>
        <v>ДП Ліса.3/1.Масив</v>
      </c>
      <c r="BW173" s="165" t="s">
        <v>1337</v>
      </c>
      <c r="BX173" s="770" t="s">
        <v>3851</v>
      </c>
      <c r="BY173" s="138" t="str">
        <f t="shared" si="150"/>
        <v>ДП ЛАДА B.1/1.Графіт</v>
      </c>
      <c r="CA173" s="742" t="s">
        <v>3232</v>
      </c>
      <c r="CB173" s="783" t="s">
        <v>5750</v>
      </c>
      <c r="CC173" s="138" t="str">
        <f t="shared" si="155"/>
        <v>ДП Ідея.фальц.робоча.Stand кл Лів +2завіс</v>
      </c>
      <c r="CE173" s="147" t="s">
        <v>3293</v>
      </c>
      <c r="CF173" s="62" t="s">
        <v>739</v>
      </c>
      <c r="CG173" s="139" t="str">
        <f t="shared" si="156"/>
        <v>ДП Міра.фальц..робоча..ВП</v>
      </c>
      <c r="CM173" s="424" t="s">
        <v>3306</v>
      </c>
      <c r="CN173" s="62" t="s">
        <v>4106</v>
      </c>
      <c r="CO173" s="70" t="str">
        <f t="shared" si="152"/>
        <v>ДП Тіана.фальц..неробоча..(ні)</v>
      </c>
      <c r="CX173" s="121"/>
      <c r="CY173" s="752" t="s">
        <v>4835</v>
      </c>
      <c r="CZ173" s="151" t="s">
        <v>4852</v>
      </c>
      <c r="DA173" s="138" t="s">
        <v>859</v>
      </c>
      <c r="DD173" s="250" t="s">
        <v>1914</v>
      </c>
      <c r="DE173" s="166">
        <v>7100</v>
      </c>
      <c r="DF173" s="537">
        <f t="shared" si="144"/>
        <v>7100</v>
      </c>
      <c r="DG173" s="529"/>
      <c r="DH173" s="530">
        <f t="shared" si="145"/>
        <v>7100</v>
      </c>
      <c r="DP173" s="108" t="s">
        <v>2485</v>
      </c>
      <c r="DQ173" s="164">
        <v>550</v>
      </c>
      <c r="DR173" s="525">
        <f>ROUND(((DQ173-(DQ173/6))/$DD$3)*$DE$3,2)</f>
        <v>550</v>
      </c>
      <c r="DS173" s="526"/>
      <c r="DT173" s="527">
        <f>IF(DS173="",DR173,
IF(AND($DQ$10&gt;=VLOOKUP(DS173,$DP$5:$DT$9,2,0),$DQ$10&lt;=VLOOKUP(DS173,$DP$5:$DT$9,3,0)),
(DR173*(1-VLOOKUP(DS173,$DP$5:$DT$9,4,0))),
DR173))</f>
        <v>550</v>
      </c>
      <c r="DU173" s="166"/>
      <c r="DV173" s="738" t="s">
        <v>5787</v>
      </c>
      <c r="DW173" s="166">
        <v>0</v>
      </c>
      <c r="DX173" s="522">
        <f>ROUND(((DW173-(DW173/6))/$DD$3)*$DE$3,2)</f>
        <v>0</v>
      </c>
      <c r="DY173" s="523"/>
      <c r="DZ173" s="524">
        <f>IF(DY173="",DX173,
IF(AND($DW$10&gt;=VLOOKUP(DY173,$DV$5:$DZ$9,2,0),$DW$10&lt;=VLOOKUP(DY173,$DV$5:$DZ$9,3,0)),
(DX173*(1-VLOOKUP(DY173,$DV$5:$DZ$9,4,0))),
DX173))</f>
        <v>0</v>
      </c>
      <c r="EG173" s="165"/>
      <c r="EH173" s="739" t="s">
        <v>3520</v>
      </c>
      <c r="EI173" s="164">
        <v>1880</v>
      </c>
      <c r="EJ173" s="531">
        <f>ROUND(((EI173-(EI173/6))/$DD$3)*$DE$3,2)</f>
        <v>1880</v>
      </c>
      <c r="EK173" s="526"/>
      <c r="EL173" s="527">
        <f>IF(EK173="",EJ173,
IF(AND($EI$10&gt;=VLOOKUP(EK173,$EH$5:$EL$9,2,0),$EI$10&lt;=VLOOKUP(EK173,$EH$5:$EL$9,3,0)),
(EJ173*(1-VLOOKUP(EK173,$EH$5:$EL$9,4,0))),
EJ173))</f>
        <v>1880</v>
      </c>
    </row>
    <row r="174" spans="12:142">
      <c r="L174" s="58" t="s">
        <v>1068</v>
      </c>
      <c r="M174" s="48" t="s">
        <v>1066</v>
      </c>
      <c r="N174" s="94" t="s">
        <v>2085</v>
      </c>
      <c r="O174" s="423" t="s">
        <v>728</v>
      </c>
      <c r="Q174" s="58" t="s">
        <v>1068</v>
      </c>
      <c r="R174" s="98" t="s">
        <v>185</v>
      </c>
      <c r="S174" s="94" t="s">
        <v>143</v>
      </c>
      <c r="U174" s="154" t="s">
        <v>217</v>
      </c>
      <c r="V174" s="151" t="s">
        <v>86</v>
      </c>
      <c r="W174" s="435" t="s">
        <v>5435</v>
      </c>
      <c r="AK174" s="591"/>
      <c r="AL174" s="475"/>
      <c r="AM174" s="592"/>
      <c r="AO174" s="759" t="s">
        <v>4135</v>
      </c>
      <c r="AP174" s="98" t="s">
        <v>176</v>
      </c>
      <c r="AQ174" s="592" t="s">
        <v>2325</v>
      </c>
      <c r="AU174" s="741" t="s">
        <v>2868</v>
      </c>
      <c r="AV174" s="152" t="s">
        <v>1392</v>
      </c>
      <c r="AW174" s="139" t="str">
        <f t="shared" si="139"/>
        <v>ДП Тіана.1/8</v>
      </c>
      <c r="AY174" s="234" t="s">
        <v>1339</v>
      </c>
      <c r="AZ174" s="137" t="s">
        <v>1722</v>
      </c>
      <c r="BA174" s="138" t="str">
        <f t="shared" si="149"/>
        <v>ДП ЛАДА B.1/3.фальц.</v>
      </c>
      <c r="BK174" s="143" t="s">
        <v>352</v>
      </c>
      <c r="BL174" s="137"/>
      <c r="BM174" s="138" t="str">
        <f>CONCATENATE(BK174,".",BL174)</f>
        <v>КД Verto-FIT Plus.</v>
      </c>
      <c r="BS174" s="58" t="s">
        <v>2599</v>
      </c>
      <c r="BT174" s="56" t="s">
        <v>4086</v>
      </c>
      <c r="BU174" s="70" t="str">
        <f t="shared" si="151"/>
        <v>ДП Ліса.3/2.Масив</v>
      </c>
      <c r="BW174" s="108" t="s">
        <v>1337</v>
      </c>
      <c r="BX174" s="248" t="s">
        <v>832</v>
      </c>
      <c r="BY174" s="139" t="str">
        <f t="shared" si="150"/>
        <v>ДП ЛАДА B.1/1.Бронза</v>
      </c>
      <c r="CA174" s="742" t="s">
        <v>3232</v>
      </c>
      <c r="CB174" s="783" t="s">
        <v>5751</v>
      </c>
      <c r="CC174" s="138" t="str">
        <f t="shared" si="155"/>
        <v>ДП Ідея.фальц.робоча.Stand кл Пр +2завіс</v>
      </c>
      <c r="CE174" s="145" t="s">
        <v>3294</v>
      </c>
      <c r="CF174" s="137"/>
      <c r="CG174" s="138" t="str">
        <f t="shared" si="156"/>
        <v>ДП Міра.фальц..неробоча..</v>
      </c>
      <c r="CM174" s="86" t="s">
        <v>3307</v>
      </c>
      <c r="CN174" s="56" t="s">
        <v>941</v>
      </c>
      <c r="CO174" s="70" t="str">
        <f t="shared" si="152"/>
        <v>ДП Тіана.б/з фальц..робоча..Verto-FIT Comfort</v>
      </c>
      <c r="CX174" s="121"/>
      <c r="CY174" s="750" t="s">
        <v>4865</v>
      </c>
      <c r="CZ174" s="152" t="s">
        <v>4882</v>
      </c>
      <c r="DA174" s="139" t="s">
        <v>859</v>
      </c>
      <c r="DD174" s="250" t="s">
        <v>1915</v>
      </c>
      <c r="DE174" s="166">
        <v>7100</v>
      </c>
      <c r="DF174" s="537">
        <f t="shared" si="144"/>
        <v>7100</v>
      </c>
      <c r="DG174" s="529"/>
      <c r="DH174" s="530">
        <f t="shared" si="145"/>
        <v>7100</v>
      </c>
      <c r="DP174" s="162" t="s">
        <v>2486</v>
      </c>
      <c r="DQ174" s="163">
        <v>0</v>
      </c>
      <c r="DR174" s="528">
        <f t="shared" si="123"/>
        <v>0</v>
      </c>
      <c r="DS174" s="529"/>
      <c r="DT174" s="530">
        <f t="shared" si="97"/>
        <v>0</v>
      </c>
      <c r="DU174" s="166"/>
      <c r="DV174" s="738" t="s">
        <v>5788</v>
      </c>
      <c r="DW174" s="166">
        <v>0</v>
      </c>
      <c r="DX174" s="522">
        <f t="shared" si="153"/>
        <v>0</v>
      </c>
      <c r="DY174" s="523"/>
      <c r="DZ174" s="524">
        <f t="shared" si="154"/>
        <v>0</v>
      </c>
      <c r="EG174" s="165"/>
      <c r="EH174" s="738" t="s">
        <v>3521</v>
      </c>
      <c r="EI174" s="166">
        <v>0</v>
      </c>
      <c r="EJ174" s="522">
        <f t="shared" ref="EJ174:EJ215" si="157">ROUND(((EI174-(EI174/6))/$DD$3)*$DE$3,2)</f>
        <v>0</v>
      </c>
      <c r="EK174" s="523"/>
      <c r="EL174" s="524">
        <f t="shared" ref="EL174:EL215" si="158">IF(EK174="",EJ174,
IF(AND($EI$10&gt;=VLOOKUP(EK174,$EH$5:$EL$9,2,0),$EI$10&lt;=VLOOKUP(EK174,$EH$5:$EL$9,3,0)),
(EJ174*(1-VLOOKUP(EK174,$EH$5:$EL$9,4,0))),
EJ174))</f>
        <v>0</v>
      </c>
    </row>
    <row r="175" spans="12:142">
      <c r="L175" s="58" t="s">
        <v>1069</v>
      </c>
      <c r="M175" s="48" t="s">
        <v>1066</v>
      </c>
      <c r="N175" s="94" t="s">
        <v>2085</v>
      </c>
      <c r="O175" s="423" t="s">
        <v>728</v>
      </c>
      <c r="P175" s="21"/>
      <c r="Q175" s="58" t="s">
        <v>1069</v>
      </c>
      <c r="R175" s="98" t="s">
        <v>186</v>
      </c>
      <c r="S175" s="94" t="s">
        <v>144</v>
      </c>
      <c r="U175" s="154" t="s">
        <v>218</v>
      </c>
      <c r="V175" s="151" t="s">
        <v>87</v>
      </c>
      <c r="W175" s="435" t="s">
        <v>5436</v>
      </c>
      <c r="AK175" s="789" t="s">
        <v>4456</v>
      </c>
      <c r="AL175" s="101">
        <v>30</v>
      </c>
      <c r="AM175" s="760" t="s">
        <v>3149</v>
      </c>
      <c r="AO175" s="598"/>
      <c r="AP175" s="599"/>
      <c r="AQ175" s="586"/>
      <c r="AU175" s="740" t="s">
        <v>2794</v>
      </c>
      <c r="AV175" s="151" t="s">
        <v>196</v>
      </c>
      <c r="AW175" s="138" t="str">
        <f t="shared" si="139"/>
        <v>ДП Єва.2/0</v>
      </c>
      <c r="AY175" s="234" t="s">
        <v>1339</v>
      </c>
      <c r="AZ175" s="137" t="s">
        <v>1723</v>
      </c>
      <c r="BA175" s="138" t="str">
        <f t="shared" si="149"/>
        <v>ДП ЛАДА B.1/3.б/з фальц.</v>
      </c>
      <c r="BK175" s="143" t="s">
        <v>352</v>
      </c>
      <c r="BL175" s="137" t="s">
        <v>1893</v>
      </c>
      <c r="BM175" s="138" t="str">
        <f t="shared" si="143"/>
        <v>КД Verto-FIT Plus.Uni-Mat</v>
      </c>
      <c r="BS175" s="58" t="s">
        <v>2600</v>
      </c>
      <c r="BT175" s="56" t="s">
        <v>4086</v>
      </c>
      <c r="BU175" s="70" t="str">
        <f t="shared" si="151"/>
        <v>ДП Ліса.3/3.Масив</v>
      </c>
      <c r="BW175" s="162" t="s">
        <v>1338</v>
      </c>
      <c r="BX175" s="246" t="s">
        <v>458</v>
      </c>
      <c r="BY175" s="135" t="str">
        <f t="shared" si="150"/>
        <v>ДП ЛАДА B.1/2.Сатин</v>
      </c>
      <c r="CA175" s="742" t="s">
        <v>3232</v>
      </c>
      <c r="CB175" s="783" t="s">
        <v>5752</v>
      </c>
      <c r="CC175" s="138" t="str">
        <f t="shared" si="155"/>
        <v>ДП Ідея.фальц.робоча.Stand ст Лів +2завіс</v>
      </c>
      <c r="CE175" s="146" t="s">
        <v>3294</v>
      </c>
      <c r="CF175" s="137" t="s">
        <v>4261</v>
      </c>
      <c r="CG175" s="138" t="str">
        <f t="shared" si="156"/>
        <v>ДП Міра.фальц..неробоча..ВВ</v>
      </c>
      <c r="CM175" s="86" t="s">
        <v>3308</v>
      </c>
      <c r="CN175" s="56" t="s">
        <v>841</v>
      </c>
      <c r="CO175" s="70" t="str">
        <f t="shared" si="152"/>
        <v>ДП Тіана.купе..робоча..Verto-FIT</v>
      </c>
      <c r="CX175" s="121"/>
      <c r="CY175" s="752" t="s">
        <v>6179</v>
      </c>
      <c r="CZ175" s="151" t="s">
        <v>6195</v>
      </c>
      <c r="DA175" s="138" t="s">
        <v>859</v>
      </c>
      <c r="DD175" s="250" t="s">
        <v>1916</v>
      </c>
      <c r="DE175" s="166">
        <v>7100</v>
      </c>
      <c r="DF175" s="537">
        <f t="shared" si="144"/>
        <v>7100</v>
      </c>
      <c r="DG175" s="529"/>
      <c r="DH175" s="530">
        <f t="shared" si="145"/>
        <v>7100</v>
      </c>
      <c r="DP175" s="738" t="s">
        <v>4215</v>
      </c>
      <c r="DQ175" s="166">
        <v>0</v>
      </c>
      <c r="DR175" s="522">
        <f>ROUND(((DQ175-(DQ175/6))/$DD$3)*$DE$3,2)</f>
        <v>0</v>
      </c>
      <c r="DS175" s="523"/>
      <c r="DT175" s="524">
        <f>IF(DS175="",DR175,
IF(AND($DQ$10&gt;=VLOOKUP(DS175,$DP$5:$DT$9,2,0),$DQ$10&lt;=VLOOKUP(DS175,$DP$5:$DT$9,3,0)),
(DR175*(1-VLOOKUP(DS175,$DP$5:$DT$9,4,0))),
DR175))</f>
        <v>0</v>
      </c>
      <c r="DU175" s="166"/>
      <c r="DV175" s="738" t="s">
        <v>5789</v>
      </c>
      <c r="DW175" s="166">
        <v>0</v>
      </c>
      <c r="DX175" s="522">
        <f>ROUND(((DW175-(DW175/6))/$DD$3)*$DE$3,2)</f>
        <v>0</v>
      </c>
      <c r="DY175" s="523"/>
      <c r="DZ175" s="524">
        <f>IF(DY175="",DX175,
IF(AND($DW$10&gt;=VLOOKUP(DY175,$DV$5:$DZ$9,2,0),$DW$10&lt;=VLOOKUP(DY175,$DV$5:$DZ$9,3,0)),
(DX175*(1-VLOOKUP(DY175,$DV$5:$DZ$9,4,0))),
DX175))</f>
        <v>0</v>
      </c>
      <c r="EG175" s="165"/>
      <c r="EH175" s="739" t="s">
        <v>3522</v>
      </c>
      <c r="EI175" s="164">
        <v>1950</v>
      </c>
      <c r="EJ175" s="531">
        <f t="shared" si="157"/>
        <v>1950</v>
      </c>
      <c r="EK175" s="526"/>
      <c r="EL175" s="527">
        <f t="shared" si="158"/>
        <v>1950</v>
      </c>
    </row>
    <row r="176" spans="12:142">
      <c r="L176" s="58" t="s">
        <v>1070</v>
      </c>
      <c r="M176" s="48" t="s">
        <v>1066</v>
      </c>
      <c r="N176" s="94" t="s">
        <v>2085</v>
      </c>
      <c r="O176" s="423" t="s">
        <v>728</v>
      </c>
      <c r="Q176" s="58" t="s">
        <v>1070</v>
      </c>
      <c r="R176" s="98" t="s">
        <v>187</v>
      </c>
      <c r="S176" s="94" t="s">
        <v>147</v>
      </c>
      <c r="U176" s="154" t="s">
        <v>219</v>
      </c>
      <c r="V176" s="151" t="s">
        <v>88</v>
      </c>
      <c r="W176" s="435" t="s">
        <v>5437</v>
      </c>
      <c r="AK176" s="777" t="s">
        <v>4458</v>
      </c>
      <c r="AL176" s="151" t="s">
        <v>797</v>
      </c>
      <c r="AM176" s="760" t="s">
        <v>3150</v>
      </c>
      <c r="AO176" s="789" t="s">
        <v>4856</v>
      </c>
      <c r="AP176" s="101" t="s">
        <v>5495</v>
      </c>
      <c r="AQ176" s="589" t="s">
        <v>2321</v>
      </c>
      <c r="AU176" s="740" t="s">
        <v>2794</v>
      </c>
      <c r="AV176" s="151" t="s">
        <v>197</v>
      </c>
      <c r="AW176" s="138" t="str">
        <f t="shared" si="139"/>
        <v>ДП Єва.2/1</v>
      </c>
      <c r="AY176" s="224" t="s">
        <v>1339</v>
      </c>
      <c r="AZ176" s="62" t="s">
        <v>1724</v>
      </c>
      <c r="BA176" s="139" t="str">
        <f t="shared" si="149"/>
        <v>ДП ЛАДА B.1/3.купе.</v>
      </c>
      <c r="BK176" s="143" t="s">
        <v>352</v>
      </c>
      <c r="BL176" s="137" t="s">
        <v>557</v>
      </c>
      <c r="BM176" s="138" t="str">
        <f t="shared" si="143"/>
        <v>КД Verto-FIT Plus.Резист</v>
      </c>
      <c r="BS176" s="58" t="s">
        <v>2601</v>
      </c>
      <c r="BT176" s="56" t="s">
        <v>4086</v>
      </c>
      <c r="BU176" s="70" t="str">
        <f t="shared" si="151"/>
        <v>ДП Ліса.3/4.Масив</v>
      </c>
      <c r="BW176" s="165" t="s">
        <v>1338</v>
      </c>
      <c r="BX176" s="770" t="s">
        <v>3851</v>
      </c>
      <c r="BY176" s="138" t="str">
        <f t="shared" si="150"/>
        <v>ДП ЛАДА B.1/2.Графіт</v>
      </c>
      <c r="CA176" s="742" t="s">
        <v>3232</v>
      </c>
      <c r="CB176" s="783" t="s">
        <v>5753</v>
      </c>
      <c r="CC176" s="138" t="str">
        <f t="shared" si="155"/>
        <v>ДП Ідея.фальц.робоча.Stand ст Пр +2завіс</v>
      </c>
      <c r="CE176" s="147" t="s">
        <v>3294</v>
      </c>
      <c r="CF176" s="62" t="s">
        <v>739</v>
      </c>
      <c r="CG176" s="139" t="str">
        <f t="shared" si="156"/>
        <v>ДП Міра.фальц..неробоча..ВП</v>
      </c>
      <c r="CM176" s="432"/>
      <c r="CN176" s="427"/>
      <c r="CO176" s="428"/>
      <c r="CY176" s="750" t="s">
        <v>6180</v>
      </c>
      <c r="CZ176" s="152" t="s">
        <v>6196</v>
      </c>
      <c r="DA176" s="139" t="s">
        <v>859</v>
      </c>
      <c r="DD176" s="250" t="s">
        <v>1917</v>
      </c>
      <c r="DE176" s="166">
        <v>7100</v>
      </c>
      <c r="DF176" s="537">
        <f t="shared" si="144"/>
        <v>7100</v>
      </c>
      <c r="DG176" s="529"/>
      <c r="DH176" s="530">
        <f t="shared" si="145"/>
        <v>7100</v>
      </c>
      <c r="DP176" s="738" t="s">
        <v>3885</v>
      </c>
      <c r="DQ176" s="166">
        <v>550</v>
      </c>
      <c r="DR176" s="522">
        <f>ROUND(((DQ176-(DQ176/6))/$DD$3)*$DE$3,2)</f>
        <v>550</v>
      </c>
      <c r="DS176" s="523"/>
      <c r="DT176" s="524">
        <f>IF(DS176="",DR176,
IF(AND($DQ$10&gt;=VLOOKUP(DS176,$DP$5:$DT$9,2,0),$DQ$10&lt;=VLOOKUP(DS176,$DP$5:$DT$9,3,0)),
(DR176*(1-VLOOKUP(DS176,$DP$5:$DT$9,4,0))),
DR176))</f>
        <v>550</v>
      </c>
      <c r="DU176" s="166"/>
      <c r="DV176" s="738" t="s">
        <v>4473</v>
      </c>
      <c r="DW176" s="166">
        <v>550</v>
      </c>
      <c r="DX176" s="522">
        <f t="shared" si="153"/>
        <v>550</v>
      </c>
      <c r="DY176" s="523"/>
      <c r="DZ176" s="524">
        <f t="shared" si="154"/>
        <v>550</v>
      </c>
      <c r="EG176" s="165"/>
      <c r="EH176" s="738" t="s">
        <v>3523</v>
      </c>
      <c r="EI176" s="166">
        <v>0</v>
      </c>
      <c r="EJ176" s="522">
        <f t="shared" si="157"/>
        <v>0</v>
      </c>
      <c r="EK176" s="523"/>
      <c r="EL176" s="524">
        <f t="shared" si="158"/>
        <v>0</v>
      </c>
    </row>
    <row r="177" spans="12:142">
      <c r="L177" s="58" t="s">
        <v>1076</v>
      </c>
      <c r="M177" s="48" t="s">
        <v>1066</v>
      </c>
      <c r="N177" s="94" t="s">
        <v>2085</v>
      </c>
      <c r="O177" s="423" t="s">
        <v>728</v>
      </c>
      <c r="Q177" s="58" t="s">
        <v>1076</v>
      </c>
      <c r="R177" s="98" t="s">
        <v>188</v>
      </c>
      <c r="S177" s="94" t="s">
        <v>137</v>
      </c>
      <c r="U177" s="154" t="s">
        <v>220</v>
      </c>
      <c r="V177" s="151" t="s">
        <v>89</v>
      </c>
      <c r="W177" s="435" t="s">
        <v>5438</v>
      </c>
      <c r="AK177" s="777" t="s">
        <v>4460</v>
      </c>
      <c r="AL177" s="151" t="s">
        <v>270</v>
      </c>
      <c r="AM177" s="761" t="s">
        <v>3151</v>
      </c>
      <c r="AO177" s="778" t="s">
        <v>4886</v>
      </c>
      <c r="AP177" s="152" t="s">
        <v>177</v>
      </c>
      <c r="AQ177" s="586" t="s">
        <v>2324</v>
      </c>
      <c r="AU177" s="740" t="s">
        <v>2794</v>
      </c>
      <c r="AV177" s="151" t="s">
        <v>198</v>
      </c>
      <c r="AW177" s="138" t="str">
        <f t="shared" si="139"/>
        <v>ДП Єва.2/2</v>
      </c>
      <c r="AY177" s="234" t="s">
        <v>1340</v>
      </c>
      <c r="AZ177" s="137" t="s">
        <v>1725</v>
      </c>
      <c r="BA177" s="138" t="str">
        <f t="shared" si="149"/>
        <v>ДП ЛАДА B.2/0.фальц,</v>
      </c>
      <c r="BK177" s="143" t="s">
        <v>352</v>
      </c>
      <c r="BL177" s="137" t="s">
        <v>62</v>
      </c>
      <c r="BM177" s="138" t="str">
        <f t="shared" si="143"/>
        <v>КД Verto-FIT Plus.LINE-3D</v>
      </c>
      <c r="BS177" s="426"/>
      <c r="BT177" s="427"/>
      <c r="BU177" s="428"/>
      <c r="BW177" s="108" t="s">
        <v>1338</v>
      </c>
      <c r="BX177" s="248" t="s">
        <v>832</v>
      </c>
      <c r="BY177" s="139" t="str">
        <f t="shared" si="150"/>
        <v>ДП ЛАДА B.1/2.Бронза</v>
      </c>
      <c r="CA177" s="742" t="s">
        <v>3232</v>
      </c>
      <c r="CB177" s="137"/>
      <c r="CC177" s="138"/>
      <c r="CE177" s="145" t="s">
        <v>3295</v>
      </c>
      <c r="CF177" s="137"/>
      <c r="CG177" s="138" t="str">
        <f t="shared" si="156"/>
        <v>ДП Міра.б/з фальц..робоча..</v>
      </c>
      <c r="CM177" s="742" t="s">
        <v>3309</v>
      </c>
      <c r="CN177" s="137" t="s">
        <v>975</v>
      </c>
      <c r="CO177" s="138" t="str">
        <f t="shared" ref="CO177:CO183" si="159">CONCATENATE(CM177,".",CN177)</f>
        <v>ДП Єва.фальц..робоча..Standard-MDF</v>
      </c>
      <c r="CY177" s="437"/>
      <c r="CZ177" s="95"/>
      <c r="DA177" s="223"/>
      <c r="DD177" s="249" t="s">
        <v>1918</v>
      </c>
      <c r="DE177" s="164">
        <v>7100</v>
      </c>
      <c r="DF177" s="537">
        <f t="shared" si="144"/>
        <v>7100</v>
      </c>
      <c r="DG177" s="529"/>
      <c r="DH177" s="530">
        <f t="shared" si="145"/>
        <v>7100</v>
      </c>
      <c r="DP177" s="108" t="s">
        <v>2487</v>
      </c>
      <c r="DQ177" s="164">
        <v>550</v>
      </c>
      <c r="DR177" s="525">
        <f>ROUND(((DQ177-(DQ177/6))/$DD$3)*$DE$3,2)</f>
        <v>550</v>
      </c>
      <c r="DS177" s="526"/>
      <c r="DT177" s="527">
        <f>IF(DS177="",DR177,
IF(AND($DQ$10&gt;=VLOOKUP(DS177,$DP$5:$DT$9,2,0),$DQ$10&lt;=VLOOKUP(DS177,$DP$5:$DT$9,3,0)),
(DR177*(1-VLOOKUP(DS177,$DP$5:$DT$9,4,0))),
DR177))</f>
        <v>550</v>
      </c>
      <c r="DU177" s="166"/>
      <c r="DV177" s="738" t="s">
        <v>4474</v>
      </c>
      <c r="DW177" s="166">
        <v>550</v>
      </c>
      <c r="DX177" s="522">
        <f t="shared" si="153"/>
        <v>550</v>
      </c>
      <c r="DY177" s="523"/>
      <c r="DZ177" s="524">
        <f t="shared" si="154"/>
        <v>550</v>
      </c>
      <c r="EG177" s="165"/>
      <c r="EH177" s="739" t="s">
        <v>3524</v>
      </c>
      <c r="EI177" s="164">
        <v>2070</v>
      </c>
      <c r="EJ177" s="531">
        <f t="shared" si="157"/>
        <v>2070</v>
      </c>
      <c r="EK177" s="526"/>
      <c r="EL177" s="527">
        <f t="shared" si="158"/>
        <v>2070</v>
      </c>
    </row>
    <row r="178" spans="12:142">
      <c r="L178" s="58" t="s">
        <v>1071</v>
      </c>
      <c r="M178" s="48" t="s">
        <v>1066</v>
      </c>
      <c r="N178" s="94" t="s">
        <v>2085</v>
      </c>
      <c r="O178" s="423" t="s">
        <v>728</v>
      </c>
      <c r="Q178" s="58" t="s">
        <v>1071</v>
      </c>
      <c r="R178" s="98" t="s">
        <v>190</v>
      </c>
      <c r="S178" s="94" t="s">
        <v>151</v>
      </c>
      <c r="U178" s="154" t="s">
        <v>221</v>
      </c>
      <c r="V178" s="151" t="s">
        <v>90</v>
      </c>
      <c r="W178" s="435" t="s">
        <v>5439</v>
      </c>
      <c r="AK178" s="777" t="s">
        <v>6156</v>
      </c>
      <c r="AL178" s="151" t="s">
        <v>6454</v>
      </c>
      <c r="AM178" s="761" t="s">
        <v>6157</v>
      </c>
      <c r="AO178" s="598"/>
      <c r="AP178" s="599"/>
      <c r="AQ178" s="586"/>
      <c r="AU178" s="740" t="s">
        <v>2794</v>
      </c>
      <c r="AV178" s="151" t="s">
        <v>187</v>
      </c>
      <c r="AW178" s="138" t="str">
        <f t="shared" si="139"/>
        <v>ДП Єва.4/0</v>
      </c>
      <c r="AY178" s="234" t="s">
        <v>1340</v>
      </c>
      <c r="AZ178" s="137" t="s">
        <v>1723</v>
      </c>
      <c r="BA178" s="138" t="str">
        <f t="shared" si="149"/>
        <v>ДП ЛАДА B.2/0.б/з фальц.</v>
      </c>
      <c r="BK178" s="143" t="s">
        <v>352</v>
      </c>
      <c r="BL178" s="137" t="s">
        <v>5071</v>
      </c>
      <c r="BM178" s="138" t="str">
        <f>CONCATENATE(BK178,".",BL178)</f>
        <v>КД Verto-FIT Plus.Е-шпон</v>
      </c>
      <c r="BS178" s="49" t="s">
        <v>124</v>
      </c>
      <c r="BT178" s="41" t="s">
        <v>4086</v>
      </c>
      <c r="BU178" s="70" t="str">
        <f t="shared" ref="BU178:BU196" si="160">CONCATENATE(BS178,".",BT178)</f>
        <v>ДП ЛАДА-КОНЦЕПТ.2/0.Масив</v>
      </c>
      <c r="BW178" s="58" t="s">
        <v>1339</v>
      </c>
      <c r="BX178" s="780" t="s">
        <v>4106</v>
      </c>
      <c r="BY178" s="135" t="str">
        <f t="shared" si="150"/>
        <v>ДП ЛАДА B.1/3.(ні)</v>
      </c>
      <c r="CA178" s="742" t="s">
        <v>3232</v>
      </c>
      <c r="CB178" s="783" t="s">
        <v>5754</v>
      </c>
      <c r="CC178" s="138" t="str">
        <f t="shared" ref="CC178:CC183" si="161">CONCATENATE(CA178,".",CB178)</f>
        <v>ДП Ідея.фальц.робоча.Stand цл Лів +3завіс</v>
      </c>
      <c r="CE178" s="146" t="s">
        <v>3295</v>
      </c>
      <c r="CF178" s="137" t="s">
        <v>4261</v>
      </c>
      <c r="CG178" s="138" t="str">
        <f t="shared" si="156"/>
        <v>ДП Міра.б/з фальц..робоча..ВВ</v>
      </c>
      <c r="CM178" s="742" t="s">
        <v>3309</v>
      </c>
      <c r="CN178" s="137" t="s">
        <v>840</v>
      </c>
      <c r="CO178" s="138" t="str">
        <f t="shared" si="159"/>
        <v>ДП Єва.фальц..робоча..Standard</v>
      </c>
      <c r="CY178" s="752" t="s">
        <v>4836</v>
      </c>
      <c r="CZ178" s="151" t="s">
        <v>4853</v>
      </c>
      <c r="DA178" s="138" t="s">
        <v>859</v>
      </c>
      <c r="DD178" s="250" t="s">
        <v>1489</v>
      </c>
      <c r="DE178" s="166">
        <v>7390</v>
      </c>
      <c r="DF178" s="537">
        <f t="shared" si="144"/>
        <v>7390</v>
      </c>
      <c r="DG178" s="529"/>
      <c r="DH178" s="530">
        <f t="shared" si="145"/>
        <v>7390</v>
      </c>
      <c r="DP178" s="736" t="s">
        <v>4140</v>
      </c>
      <c r="DQ178" s="105">
        <v>0</v>
      </c>
      <c r="DR178" s="403">
        <f t="shared" si="123"/>
        <v>0</v>
      </c>
      <c r="DS178" s="514"/>
      <c r="DT178" s="511">
        <f t="shared" si="97"/>
        <v>0</v>
      </c>
      <c r="DU178" s="166"/>
      <c r="DV178" s="738" t="s">
        <v>4475</v>
      </c>
      <c r="DW178" s="166">
        <v>550</v>
      </c>
      <c r="DX178" s="522">
        <f>ROUND(((DW178-(DW178/6))/$DD$3)*$DE$3,2)</f>
        <v>550</v>
      </c>
      <c r="DY178" s="523"/>
      <c r="DZ178" s="524">
        <f>IF(DY178="",DX178,
IF(AND($DW$10&gt;=VLOOKUP(DY178,$DV$5:$DZ$9,2,0),$DW$10&lt;=VLOOKUP(DY178,$DV$5:$DZ$9,3,0)),
(DX178*(1-VLOOKUP(DY178,$DV$5:$DZ$9,4,0))),
DX178))</f>
        <v>550</v>
      </c>
      <c r="EG178" s="165"/>
      <c r="EH178" s="738" t="s">
        <v>5089</v>
      </c>
      <c r="EI178" s="166">
        <v>0</v>
      </c>
      <c r="EJ178" s="522">
        <f>ROUND(((EI178-(EI178/6))/$DD$3)*$DE$3,2)</f>
        <v>0</v>
      </c>
      <c r="EK178" s="523"/>
      <c r="EL178" s="524">
        <f>IF(EK178="",EJ178,
IF(AND($EI$10&gt;=VLOOKUP(EK178,$EH$5:$EL$9,2,0),$EI$10&lt;=VLOOKUP(EK178,$EH$5:$EL$9,3,0)),
(EJ178*(1-VLOOKUP(EK178,$EH$5:$EL$9,4,0))),
EJ178))</f>
        <v>0</v>
      </c>
    </row>
    <row r="179" spans="12:142">
      <c r="L179" s="58" t="s">
        <v>1072</v>
      </c>
      <c r="M179" s="48" t="s">
        <v>1066</v>
      </c>
      <c r="N179" s="94" t="s">
        <v>2085</v>
      </c>
      <c r="O179" s="423" t="s">
        <v>728</v>
      </c>
      <c r="Q179" s="58" t="s">
        <v>1072</v>
      </c>
      <c r="R179" s="98" t="s">
        <v>191</v>
      </c>
      <c r="S179" s="94" t="s">
        <v>740</v>
      </c>
      <c r="U179" s="154" t="s">
        <v>229</v>
      </c>
      <c r="V179" s="151" t="s">
        <v>91</v>
      </c>
      <c r="W179" s="435" t="s">
        <v>5440</v>
      </c>
      <c r="AK179" s="591"/>
      <c r="AL179" s="475"/>
      <c r="AM179" s="592"/>
      <c r="AO179" s="585"/>
      <c r="AP179" s="152"/>
      <c r="AQ179" s="586"/>
      <c r="AU179" s="740" t="s">
        <v>2794</v>
      </c>
      <c r="AV179" s="151" t="s">
        <v>188</v>
      </c>
      <c r="AW179" s="138" t="str">
        <f t="shared" si="139"/>
        <v>ДП Єва.4/1</v>
      </c>
      <c r="AY179" s="224" t="s">
        <v>1340</v>
      </c>
      <c r="AZ179" s="62" t="s">
        <v>1724</v>
      </c>
      <c r="BA179" s="139" t="str">
        <f t="shared" si="149"/>
        <v>ДП ЛАДА B.2/0.купе.</v>
      </c>
      <c r="BK179" s="144" t="s">
        <v>352</v>
      </c>
      <c r="BL179" s="62" t="s">
        <v>1836</v>
      </c>
      <c r="BM179" s="139" t="str">
        <f t="shared" si="143"/>
        <v>КД Verto-FIT Plus.Лофт</v>
      </c>
      <c r="BS179" s="49" t="s">
        <v>125</v>
      </c>
      <c r="BT179" s="41" t="s">
        <v>4086</v>
      </c>
      <c r="BU179" s="70" t="str">
        <f t="shared" si="160"/>
        <v>ДП ЛАДА-КОНЦЕПТ.2/2.Масив</v>
      </c>
      <c r="BW179" s="162" t="s">
        <v>1340</v>
      </c>
      <c r="BX179" s="246" t="s">
        <v>458</v>
      </c>
      <c r="BY179" s="135" t="str">
        <f t="shared" si="150"/>
        <v>ДП ЛАДА B.2/0.Сатин</v>
      </c>
      <c r="CA179" s="742" t="s">
        <v>3232</v>
      </c>
      <c r="CB179" s="783" t="s">
        <v>5755</v>
      </c>
      <c r="CC179" s="138" t="str">
        <f t="shared" si="161"/>
        <v>ДП Ідея.фальц.робоча.Stand цл Пр +3завіс</v>
      </c>
      <c r="CE179" s="147" t="s">
        <v>3295</v>
      </c>
      <c r="CF179" s="62" t="s">
        <v>739</v>
      </c>
      <c r="CG179" s="139" t="str">
        <f t="shared" si="156"/>
        <v>ДП Міра.б/з фальц..робоча..ВП</v>
      </c>
      <c r="CM179" s="742" t="s">
        <v>3309</v>
      </c>
      <c r="CN179" s="137" t="s">
        <v>841</v>
      </c>
      <c r="CO179" s="138" t="str">
        <f t="shared" si="159"/>
        <v>ДП Єва.фальц..робоча..Verto-FIT</v>
      </c>
      <c r="CY179" s="750" t="s">
        <v>4866</v>
      </c>
      <c r="CZ179" s="152" t="s">
        <v>4883</v>
      </c>
      <c r="DA179" s="139" t="s">
        <v>859</v>
      </c>
      <c r="DD179" s="250" t="s">
        <v>1490</v>
      </c>
      <c r="DE179" s="166">
        <v>7390</v>
      </c>
      <c r="DF179" s="537">
        <f t="shared" si="144"/>
        <v>7390</v>
      </c>
      <c r="DG179" s="529"/>
      <c r="DH179" s="530">
        <f t="shared" si="145"/>
        <v>7390</v>
      </c>
      <c r="DP179" s="162" t="s">
        <v>2488</v>
      </c>
      <c r="DQ179" s="163">
        <v>0</v>
      </c>
      <c r="DR179" s="528">
        <f t="shared" si="123"/>
        <v>0</v>
      </c>
      <c r="DS179" s="529"/>
      <c r="DT179" s="530">
        <f t="shared" si="97"/>
        <v>0</v>
      </c>
      <c r="DU179" s="166"/>
      <c r="DV179" s="739" t="s">
        <v>4476</v>
      </c>
      <c r="DW179" s="164">
        <v>800.00000000000011</v>
      </c>
      <c r="DX179" s="525">
        <f>ROUND(((DW179-(DW179/6))/$DD$3)*$DE$3,2)</f>
        <v>800</v>
      </c>
      <c r="DY179" s="526"/>
      <c r="DZ179" s="527">
        <f>IF(DY179="",DX179,
IF(AND($DW$10&gt;=VLOOKUP(DY179,$DV$5:$DZ$9,2,0),$DW$10&lt;=VLOOKUP(DY179,$DV$5:$DZ$9,3,0)),
(DX179*(1-VLOOKUP(DY179,$DV$5:$DZ$9,4,0))),
DX179))</f>
        <v>800</v>
      </c>
      <c r="EG179" s="165"/>
      <c r="EH179" s="739" t="s">
        <v>5090</v>
      </c>
      <c r="EI179" s="164">
        <v>2200</v>
      </c>
      <c r="EJ179" s="531">
        <f>ROUND(((EI179-(EI179/6))/$DD$3)*$DE$3,2)</f>
        <v>2200</v>
      </c>
      <c r="EK179" s="526"/>
      <c r="EL179" s="527">
        <f>IF(EK179="",EJ179,
IF(AND($EI$10&gt;=VLOOKUP(EK179,$EH$5:$EL$9,2,0),$EI$10&lt;=VLOOKUP(EK179,$EH$5:$EL$9,3,0)),
(EJ179*(1-VLOOKUP(EK179,$EH$5:$EL$9,4,0))),
EJ179))</f>
        <v>2200</v>
      </c>
    </row>
    <row r="180" spans="12:142">
      <c r="L180" s="58" t="s">
        <v>1073</v>
      </c>
      <c r="M180" s="48" t="s">
        <v>1066</v>
      </c>
      <c r="N180" s="94" t="s">
        <v>2085</v>
      </c>
      <c r="O180" s="423" t="s">
        <v>728</v>
      </c>
      <c r="Q180" s="58" t="s">
        <v>1073</v>
      </c>
      <c r="R180" s="98" t="s">
        <v>205</v>
      </c>
      <c r="S180" s="94" t="s">
        <v>1004</v>
      </c>
      <c r="U180" s="154" t="s">
        <v>230</v>
      </c>
      <c r="V180" s="151" t="s">
        <v>92</v>
      </c>
      <c r="W180" s="435" t="s">
        <v>5441</v>
      </c>
      <c r="AK180" s="789" t="s">
        <v>4463</v>
      </c>
      <c r="AL180" s="101" t="s">
        <v>1766</v>
      </c>
      <c r="AM180" s="760" t="s">
        <v>3152</v>
      </c>
      <c r="AO180" s="583"/>
      <c r="AP180" s="151"/>
      <c r="AQ180" s="584"/>
      <c r="AU180" s="740" t="s">
        <v>2794</v>
      </c>
      <c r="AV180" s="151" t="s">
        <v>189</v>
      </c>
      <c r="AW180" s="138" t="str">
        <f t="shared" si="139"/>
        <v>ДП Єва.4/2</v>
      </c>
      <c r="AY180" s="234" t="s">
        <v>1341</v>
      </c>
      <c r="AZ180" s="137" t="s">
        <v>1725</v>
      </c>
      <c r="BA180" s="138" t="str">
        <f t="shared" si="149"/>
        <v>ДП ЛАДА B.2/1.фальц,</v>
      </c>
      <c r="BK180" s="142" t="s">
        <v>1042</v>
      </c>
      <c r="BL180" s="134" t="s">
        <v>4904</v>
      </c>
      <c r="BM180" s="135" t="str">
        <f t="shared" si="143"/>
        <v>КД Verto-FIT Comfort.Сімплекс</v>
      </c>
      <c r="BS180" s="49" t="s">
        <v>126</v>
      </c>
      <c r="BT180" s="41" t="s">
        <v>4086</v>
      </c>
      <c r="BU180" s="70" t="str">
        <f t="shared" si="160"/>
        <v>ДП ЛАДА-КОНЦЕПТ.3/0.Масив</v>
      </c>
      <c r="BW180" s="165" t="s">
        <v>1340</v>
      </c>
      <c r="BX180" s="770" t="s">
        <v>3851</v>
      </c>
      <c r="BY180" s="138" t="str">
        <f t="shared" si="150"/>
        <v>ДП ЛАДА B.2/0.Графіт</v>
      </c>
      <c r="CA180" s="742" t="s">
        <v>3232</v>
      </c>
      <c r="CB180" s="783" t="s">
        <v>5756</v>
      </c>
      <c r="CC180" s="138" t="str">
        <f t="shared" si="161"/>
        <v>ДП Ідея.фальц.робоча.Stand кл Лів +3завіс</v>
      </c>
      <c r="CE180" s="145" t="s">
        <v>3296</v>
      </c>
      <c r="CF180" s="137"/>
      <c r="CG180" s="138" t="str">
        <f t="shared" si="156"/>
        <v>ДП Міра.купе..робоча..</v>
      </c>
      <c r="CM180" s="424" t="s">
        <v>3309</v>
      </c>
      <c r="CN180" s="62" t="s">
        <v>371</v>
      </c>
      <c r="CO180" s="139" t="str">
        <f t="shared" si="159"/>
        <v>ДП Єва.фальц..робоча..Verto-FIT Plus</v>
      </c>
      <c r="CY180" s="752" t="s">
        <v>6181</v>
      </c>
      <c r="CZ180" s="151" t="s">
        <v>6198</v>
      </c>
      <c r="DA180" s="138" t="s">
        <v>859</v>
      </c>
      <c r="DD180" s="250" t="s">
        <v>1497</v>
      </c>
      <c r="DE180" s="166">
        <v>7390</v>
      </c>
      <c r="DF180" s="537">
        <f t="shared" si="144"/>
        <v>7390</v>
      </c>
      <c r="DG180" s="529"/>
      <c r="DH180" s="530">
        <f t="shared" si="145"/>
        <v>7390</v>
      </c>
      <c r="DP180" s="738" t="s">
        <v>4216</v>
      </c>
      <c r="DQ180" s="166">
        <v>0</v>
      </c>
      <c r="DR180" s="522">
        <f>ROUND(((DQ180-(DQ180/6))/$DD$3)*$DE$3,2)</f>
        <v>0</v>
      </c>
      <c r="DS180" s="523"/>
      <c r="DT180" s="524">
        <f>IF(DS180="",DR180,
IF(AND($DQ$10&gt;=VLOOKUP(DS180,$DP$5:$DT$9,2,0),$DQ$10&lt;=VLOOKUP(DS180,$DP$5:$DT$9,3,0)),
(DR180*(1-VLOOKUP(DS180,$DP$5:$DT$9,4,0))),
DR180))</f>
        <v>0</v>
      </c>
      <c r="DU180" s="166"/>
      <c r="DV180" s="738" t="s">
        <v>6239</v>
      </c>
      <c r="DW180" s="166">
        <v>1</v>
      </c>
      <c r="DX180" s="522">
        <f t="shared" si="153"/>
        <v>1</v>
      </c>
      <c r="DY180" s="523"/>
      <c r="DZ180" s="524">
        <f t="shared" si="154"/>
        <v>1</v>
      </c>
      <c r="EG180" s="165"/>
      <c r="EH180" s="738" t="s">
        <v>3525</v>
      </c>
      <c r="EI180" s="166">
        <v>0</v>
      </c>
      <c r="EJ180" s="522">
        <f t="shared" si="157"/>
        <v>0</v>
      </c>
      <c r="EK180" s="523"/>
      <c r="EL180" s="524">
        <f t="shared" si="158"/>
        <v>0</v>
      </c>
    </row>
    <row r="181" spans="12:142">
      <c r="L181" s="58" t="s">
        <v>1074</v>
      </c>
      <c r="M181" s="48" t="s">
        <v>1066</v>
      </c>
      <c r="N181" s="94" t="s">
        <v>2085</v>
      </c>
      <c r="O181" s="423" t="s">
        <v>728</v>
      </c>
      <c r="Q181" s="58" t="s">
        <v>1074</v>
      </c>
      <c r="R181" s="98" t="s">
        <v>206</v>
      </c>
      <c r="S181" s="94" t="s">
        <v>1005</v>
      </c>
      <c r="U181" s="155" t="s">
        <v>231</v>
      </c>
      <c r="V181" s="152" t="s">
        <v>93</v>
      </c>
      <c r="W181" s="599" t="s">
        <v>5442</v>
      </c>
      <c r="AK181" s="777" t="s">
        <v>4465</v>
      </c>
      <c r="AL181" s="151" t="s">
        <v>1769</v>
      </c>
      <c r="AM181" s="760" t="s">
        <v>3153</v>
      </c>
      <c r="AO181" s="601"/>
      <c r="AP181" s="602"/>
      <c r="AQ181" s="603"/>
      <c r="AU181" s="740" t="s">
        <v>2794</v>
      </c>
      <c r="AV181" s="151" t="s">
        <v>201</v>
      </c>
      <c r="AW181" s="138" t="str">
        <f t="shared" si="139"/>
        <v>ДП Єва.4/3</v>
      </c>
      <c r="AY181" s="234" t="s">
        <v>1341</v>
      </c>
      <c r="AZ181" s="137" t="s">
        <v>1723</v>
      </c>
      <c r="BA181" s="138" t="str">
        <f t="shared" si="149"/>
        <v>ДП ЛАДА B.2/1.б/з фальц.</v>
      </c>
      <c r="BK181" s="143" t="s">
        <v>1042</v>
      </c>
      <c r="BL181" s="137" t="s">
        <v>409</v>
      </c>
      <c r="BM181" s="138" t="str">
        <f t="shared" ref="BM181:BM195" si="162">CONCATENATE(BK181,".",BL181)</f>
        <v>КД Verto-FIT Comfort.Verto-Cell</v>
      </c>
      <c r="BS181" s="49" t="s">
        <v>127</v>
      </c>
      <c r="BT181" s="41" t="s">
        <v>4086</v>
      </c>
      <c r="BU181" s="70" t="str">
        <f t="shared" si="160"/>
        <v>ДП ЛАДА-КОНЦЕПТ.3/3.Масив</v>
      </c>
      <c r="BW181" s="108" t="s">
        <v>1340</v>
      </c>
      <c r="BX181" s="248" t="s">
        <v>832</v>
      </c>
      <c r="BY181" s="139" t="str">
        <f t="shared" si="150"/>
        <v>ДП ЛАДА B.2/0.Бронза</v>
      </c>
      <c r="CA181" s="742" t="s">
        <v>3232</v>
      </c>
      <c r="CB181" s="783" t="s">
        <v>5757</v>
      </c>
      <c r="CC181" s="138" t="str">
        <f t="shared" si="161"/>
        <v>ДП Ідея.фальц.робоча.Stand кл Пр +3завіс</v>
      </c>
      <c r="CE181" s="146" t="s">
        <v>3296</v>
      </c>
      <c r="CF181" s="62" t="s">
        <v>4261</v>
      </c>
      <c r="CG181" s="139" t="str">
        <f t="shared" si="156"/>
        <v>ДП Міра.купе..робоча..ВВ</v>
      </c>
      <c r="CM181" s="424" t="s">
        <v>3310</v>
      </c>
      <c r="CN181" s="62" t="s">
        <v>4106</v>
      </c>
      <c r="CO181" s="70" t="str">
        <f t="shared" si="159"/>
        <v>ДП Єва.фальц..неробоча..(ні)</v>
      </c>
      <c r="CY181" s="750" t="s">
        <v>6182</v>
      </c>
      <c r="CZ181" s="152" t="s">
        <v>6199</v>
      </c>
      <c r="DA181" s="139" t="s">
        <v>859</v>
      </c>
      <c r="DD181" s="250" t="s">
        <v>1498</v>
      </c>
      <c r="DE181" s="166">
        <v>7390</v>
      </c>
      <c r="DF181" s="537">
        <f t="shared" si="144"/>
        <v>7390</v>
      </c>
      <c r="DG181" s="529"/>
      <c r="DH181" s="530">
        <f t="shared" si="145"/>
        <v>7390</v>
      </c>
      <c r="DP181" s="738" t="s">
        <v>3886</v>
      </c>
      <c r="DQ181" s="166">
        <v>550</v>
      </c>
      <c r="DR181" s="522">
        <f>ROUND(((DQ181-(DQ181/6))/$DD$3)*$DE$3,2)</f>
        <v>550</v>
      </c>
      <c r="DS181" s="523"/>
      <c r="DT181" s="524">
        <f>IF(DS181="",DR181,
IF(AND($DQ$10&gt;=VLOOKUP(DS181,$DP$5:$DT$9,2,0),$DQ$10&lt;=VLOOKUP(DS181,$DP$5:$DT$9,3,0)),
(DR181*(1-VLOOKUP(DS181,$DP$5:$DT$9,4,0))),
DR181))</f>
        <v>550</v>
      </c>
      <c r="DU181" s="166"/>
      <c r="DV181" s="739" t="s">
        <v>6240</v>
      </c>
      <c r="DW181" s="164">
        <v>1</v>
      </c>
      <c r="DX181" s="525">
        <f t="shared" si="153"/>
        <v>1</v>
      </c>
      <c r="DY181" s="526"/>
      <c r="DZ181" s="527">
        <f t="shared" si="154"/>
        <v>1</v>
      </c>
      <c r="EG181" s="165"/>
      <c r="EH181" s="739" t="s">
        <v>3526</v>
      </c>
      <c r="EI181" s="164">
        <v>2200</v>
      </c>
      <c r="EJ181" s="531">
        <f t="shared" si="157"/>
        <v>2200</v>
      </c>
      <c r="EK181" s="526"/>
      <c r="EL181" s="527">
        <f t="shared" si="158"/>
        <v>2200</v>
      </c>
    </row>
    <row r="182" spans="12:142">
      <c r="L182" s="144"/>
      <c r="M182" s="48"/>
      <c r="N182" s="94"/>
      <c r="O182" s="423"/>
      <c r="Q182" s="144"/>
      <c r="R182" s="98"/>
      <c r="S182" s="94"/>
      <c r="U182" s="815"/>
      <c r="V182" s="816"/>
      <c r="W182" s="808"/>
      <c r="AK182" s="777" t="s">
        <v>4467</v>
      </c>
      <c r="AL182" s="151" t="s">
        <v>1771</v>
      </c>
      <c r="AM182" s="761" t="s">
        <v>3154</v>
      </c>
      <c r="AO182" s="99"/>
      <c r="AP182" s="98"/>
      <c r="AQ182" s="94"/>
      <c r="AU182" s="740" t="s">
        <v>2794</v>
      </c>
      <c r="AV182" s="151" t="s">
        <v>202</v>
      </c>
      <c r="AW182" s="138" t="str">
        <f t="shared" si="139"/>
        <v>ДП Єва.4/4</v>
      </c>
      <c r="AY182" s="224" t="s">
        <v>1341</v>
      </c>
      <c r="AZ182" s="62" t="s">
        <v>1724</v>
      </c>
      <c r="BA182" s="139" t="str">
        <f t="shared" si="149"/>
        <v>ДП ЛАДА B.2/1.купе.</v>
      </c>
      <c r="BK182" s="143" t="s">
        <v>1042</v>
      </c>
      <c r="BL182" s="137"/>
      <c r="BM182" s="138" t="str">
        <f>CONCATENATE(BK182,".",BL182)</f>
        <v>КД Verto-FIT Comfort.</v>
      </c>
      <c r="BS182" s="49" t="s">
        <v>650</v>
      </c>
      <c r="BT182" s="41" t="s">
        <v>4086</v>
      </c>
      <c r="BU182" s="70" t="str">
        <f t="shared" si="160"/>
        <v>ДП ЛАДА-КОНЦЕПТ.4/0.Масив</v>
      </c>
      <c r="BW182" s="108" t="s">
        <v>1340</v>
      </c>
      <c r="BX182" s="248" t="s">
        <v>6046</v>
      </c>
      <c r="BY182" s="139" t="str">
        <f>CONCATENATE(BW182,".",BX182)</f>
        <v>ДП ЛАДА B.2/0.Лакобель</v>
      </c>
      <c r="CA182" s="742" t="s">
        <v>3232</v>
      </c>
      <c r="CB182" s="783" t="s">
        <v>5758</v>
      </c>
      <c r="CC182" s="138" t="str">
        <f t="shared" si="161"/>
        <v>ДП Ідея.фальц.робоча.Stand ст Лів +3завіс</v>
      </c>
      <c r="CE182" s="546"/>
      <c r="CF182" s="544"/>
      <c r="CG182" s="545"/>
      <c r="CM182" s="86" t="s">
        <v>3311</v>
      </c>
      <c r="CN182" s="56" t="s">
        <v>941</v>
      </c>
      <c r="CO182" s="70" t="str">
        <f t="shared" si="159"/>
        <v>ДП Єва.б/з фальц..робоча..Verto-FIT Comfort</v>
      </c>
      <c r="CY182" s="752" t="s">
        <v>4837</v>
      </c>
      <c r="CZ182" s="151" t="s">
        <v>4853</v>
      </c>
      <c r="DA182" s="138" t="s">
        <v>859</v>
      </c>
      <c r="DD182" s="250" t="s">
        <v>1499</v>
      </c>
      <c r="DE182" s="166">
        <v>7390</v>
      </c>
      <c r="DF182" s="537">
        <f t="shared" si="144"/>
        <v>7390</v>
      </c>
      <c r="DG182" s="529"/>
      <c r="DH182" s="530">
        <f t="shared" si="145"/>
        <v>7390</v>
      </c>
      <c r="DP182" s="108" t="s">
        <v>2489</v>
      </c>
      <c r="DQ182" s="164">
        <v>550</v>
      </c>
      <c r="DR182" s="525">
        <f>ROUND(((DQ182-(DQ182/6))/$DD$3)*$DE$3,2)</f>
        <v>550</v>
      </c>
      <c r="DS182" s="526"/>
      <c r="DT182" s="527">
        <f>IF(DS182="",DR182,
IF(AND($DQ$10&gt;=VLOOKUP(DS182,$DP$5:$DT$9,2,0),$DQ$10&lt;=VLOOKUP(DS182,$DP$5:$DT$9,3,0)),
(DR182*(1-VLOOKUP(DS182,$DP$5:$DT$9,4,0))),
DR182))</f>
        <v>550</v>
      </c>
      <c r="DU182" s="166"/>
      <c r="DV182" s="737" t="s">
        <v>5790</v>
      </c>
      <c r="DW182" s="163">
        <v>80</v>
      </c>
      <c r="DX182" s="528">
        <f t="shared" si="153"/>
        <v>80</v>
      </c>
      <c r="DY182" s="529"/>
      <c r="DZ182" s="530">
        <f t="shared" si="154"/>
        <v>80</v>
      </c>
      <c r="EG182" s="165"/>
      <c r="EH182" s="538"/>
      <c r="EI182" s="539"/>
      <c r="EJ182" s="650"/>
      <c r="EK182" s="651"/>
      <c r="EL182" s="652"/>
    </row>
    <row r="183" spans="12:142">
      <c r="L183" s="58" t="s">
        <v>2728</v>
      </c>
      <c r="M183" s="48" t="s">
        <v>2725</v>
      </c>
      <c r="N183" s="94" t="s">
        <v>2097</v>
      </c>
      <c r="O183" s="423" t="s">
        <v>728</v>
      </c>
      <c r="Q183" s="58" t="s">
        <v>2728</v>
      </c>
      <c r="R183" s="98" t="s">
        <v>194</v>
      </c>
      <c r="S183" s="94" t="s">
        <v>138</v>
      </c>
      <c r="U183" s="153" t="s">
        <v>507</v>
      </c>
      <c r="V183" s="101" t="s">
        <v>239</v>
      </c>
      <c r="W183" s="100" t="s">
        <v>2183</v>
      </c>
      <c r="AK183" s="777" t="s">
        <v>6158</v>
      </c>
      <c r="AL183" s="151" t="s">
        <v>6456</v>
      </c>
      <c r="AM183" s="761" t="s">
        <v>6159</v>
      </c>
      <c r="AO183" s="99"/>
      <c r="AP183" s="98"/>
      <c r="AQ183" s="94"/>
      <c r="AU183" s="740" t="s">
        <v>2794</v>
      </c>
      <c r="AV183" s="151" t="s">
        <v>534</v>
      </c>
      <c r="AW183" s="138" t="str">
        <f t="shared" si="139"/>
        <v>ДП Єва.4/5</v>
      </c>
      <c r="AY183" s="234" t="s">
        <v>1342</v>
      </c>
      <c r="AZ183" s="137" t="s">
        <v>1725</v>
      </c>
      <c r="BA183" s="138" t="str">
        <f t="shared" si="149"/>
        <v>ДП ЛАДА B.2/2.фальц,</v>
      </c>
      <c r="BK183" s="143" t="s">
        <v>1042</v>
      </c>
      <c r="BL183" s="137" t="s">
        <v>1893</v>
      </c>
      <c r="BM183" s="138" t="str">
        <f t="shared" si="162"/>
        <v>КД Verto-FIT Comfort.Uni-Mat</v>
      </c>
      <c r="BS183" s="49" t="s">
        <v>1061</v>
      </c>
      <c r="BT183" s="41" t="s">
        <v>4086</v>
      </c>
      <c r="BU183" s="70" t="str">
        <f t="shared" si="160"/>
        <v>ДП ЛАДА-КОНЦЕПТ.4/4.Масив</v>
      </c>
      <c r="BW183" s="162" t="s">
        <v>1341</v>
      </c>
      <c r="BX183" s="246" t="s">
        <v>458</v>
      </c>
      <c r="BY183" s="135" t="str">
        <f t="shared" si="150"/>
        <v>ДП ЛАДА B.2/1.Сатин</v>
      </c>
      <c r="CA183" s="742" t="s">
        <v>3232</v>
      </c>
      <c r="CB183" s="783" t="s">
        <v>5759</v>
      </c>
      <c r="CC183" s="138" t="str">
        <f t="shared" si="161"/>
        <v>ДП Ідея.фальц.робоча.Stand ст Пр +3завіс</v>
      </c>
      <c r="CE183" s="146" t="s">
        <v>3297</v>
      </c>
      <c r="CF183" s="137"/>
      <c r="CG183" s="138" t="str">
        <f t="shared" ref="CG183:CG193" si="163">CONCATENATE(CE183,".",CF183)</f>
        <v>ДП ЛАДА-ЛОФТ.фальц,.робоча..</v>
      </c>
      <c r="CM183" s="86" t="s">
        <v>3312</v>
      </c>
      <c r="CN183" s="56" t="s">
        <v>841</v>
      </c>
      <c r="CO183" s="70" t="str">
        <f t="shared" si="159"/>
        <v>ДП Єва.купе..робоча..Verto-FIT</v>
      </c>
      <c r="CY183" s="750" t="s">
        <v>4867</v>
      </c>
      <c r="CZ183" s="152" t="s">
        <v>4883</v>
      </c>
      <c r="DA183" s="139" t="s">
        <v>859</v>
      </c>
      <c r="DD183" s="250" t="s">
        <v>1524</v>
      </c>
      <c r="DE183" s="166">
        <v>7390</v>
      </c>
      <c r="DF183" s="537">
        <f t="shared" si="144"/>
        <v>7390</v>
      </c>
      <c r="DG183" s="529"/>
      <c r="DH183" s="530">
        <f t="shared" si="145"/>
        <v>7390</v>
      </c>
      <c r="DP183" s="736" t="s">
        <v>4141</v>
      </c>
      <c r="DQ183" s="105">
        <v>0</v>
      </c>
      <c r="DR183" s="403">
        <f t="shared" si="123"/>
        <v>0</v>
      </c>
      <c r="DS183" s="514"/>
      <c r="DT183" s="511">
        <f t="shared" si="97"/>
        <v>0</v>
      </c>
      <c r="DU183" s="166"/>
      <c r="DV183" s="737" t="s">
        <v>5791</v>
      </c>
      <c r="DW183" s="163">
        <v>80</v>
      </c>
      <c r="DX183" s="528">
        <f>ROUND(((DW183-(DW183/6))/$DD$3)*$DE$3,2)</f>
        <v>80</v>
      </c>
      <c r="DY183" s="529"/>
      <c r="DZ183" s="530">
        <f>IF(DY183="",DX183,
IF(AND($DW$10&gt;=VLOOKUP(DY183,$DV$5:$DZ$9,2,0),$DW$10&lt;=VLOOKUP(DY183,$DV$5:$DZ$9,3,0)),
(DX183*(1-VLOOKUP(DY183,$DV$5:$DZ$9,4,0))),
DX183))</f>
        <v>80</v>
      </c>
      <c r="EG183" s="165"/>
      <c r="EH183" s="737" t="s">
        <v>4964</v>
      </c>
      <c r="EI183" s="163">
        <v>0</v>
      </c>
      <c r="EJ183" s="537">
        <f t="shared" si="157"/>
        <v>0</v>
      </c>
      <c r="EK183" s="529"/>
      <c r="EL183" s="530">
        <f t="shared" si="158"/>
        <v>0</v>
      </c>
    </row>
    <row r="184" spans="12:142">
      <c r="L184" s="58" t="s">
        <v>2729</v>
      </c>
      <c r="M184" s="48" t="s">
        <v>2725</v>
      </c>
      <c r="N184" s="94" t="s">
        <v>2097</v>
      </c>
      <c r="O184" s="423" t="s">
        <v>728</v>
      </c>
      <c r="Q184" s="58" t="s">
        <v>2729</v>
      </c>
      <c r="R184" s="98" t="s">
        <v>195</v>
      </c>
      <c r="S184" s="94" t="s">
        <v>139</v>
      </c>
      <c r="U184" s="154" t="s">
        <v>508</v>
      </c>
      <c r="V184" s="151" t="s">
        <v>240</v>
      </c>
      <c r="W184" s="159" t="s">
        <v>2184</v>
      </c>
      <c r="AK184" s="591"/>
      <c r="AL184" s="475"/>
      <c r="AM184" s="592"/>
      <c r="AO184" s="99"/>
      <c r="AP184" s="98"/>
      <c r="AQ184" s="94"/>
      <c r="AU184" s="741" t="s">
        <v>2794</v>
      </c>
      <c r="AV184" s="152" t="s">
        <v>535</v>
      </c>
      <c r="AW184" s="139" t="str">
        <f t="shared" si="139"/>
        <v>ДП Єва.4/6</v>
      </c>
      <c r="AY184" s="234" t="s">
        <v>1342</v>
      </c>
      <c r="AZ184" s="137" t="s">
        <v>1723</v>
      </c>
      <c r="BA184" s="138" t="str">
        <f t="shared" si="149"/>
        <v>ДП ЛАДА B.2/2.б/з фальц.</v>
      </c>
      <c r="BK184" s="143" t="s">
        <v>1042</v>
      </c>
      <c r="BL184" s="137" t="s">
        <v>557</v>
      </c>
      <c r="BM184" s="138" t="str">
        <f t="shared" si="162"/>
        <v>КД Verto-FIT Comfort.Резист</v>
      </c>
      <c r="BS184" s="49" t="s">
        <v>1062</v>
      </c>
      <c r="BT184" s="41" t="s">
        <v>4086</v>
      </c>
      <c r="BU184" s="70" t="str">
        <f t="shared" si="160"/>
        <v>ДП ЛАДА-КОНЦЕПТ.5/1.Масив</v>
      </c>
      <c r="BW184" s="165" t="s">
        <v>1341</v>
      </c>
      <c r="BX184" s="770" t="s">
        <v>3851</v>
      </c>
      <c r="BY184" s="138" t="str">
        <f t="shared" si="150"/>
        <v>ДП ЛАДА B.2/1.Графіт</v>
      </c>
      <c r="CA184" s="742" t="s">
        <v>3232</v>
      </c>
      <c r="CB184" s="21"/>
      <c r="CC184" s="21"/>
      <c r="CE184" s="146" t="s">
        <v>3297</v>
      </c>
      <c r="CF184" s="137" t="s">
        <v>4261</v>
      </c>
      <c r="CG184" s="138" t="str">
        <f t="shared" si="163"/>
        <v>ДП ЛАДА-ЛОФТ.фальц,.робоча..ВВ</v>
      </c>
      <c r="CM184" s="432"/>
      <c r="CN184" s="427"/>
      <c r="CO184" s="428"/>
      <c r="CY184" s="752" t="s">
        <v>6183</v>
      </c>
      <c r="CZ184" s="151" t="s">
        <v>6198</v>
      </c>
      <c r="DA184" s="138" t="s">
        <v>859</v>
      </c>
      <c r="DD184" s="250" t="s">
        <v>1525</v>
      </c>
      <c r="DE184" s="166">
        <v>7390</v>
      </c>
      <c r="DF184" s="537">
        <f t="shared" si="144"/>
        <v>7390</v>
      </c>
      <c r="DG184" s="529"/>
      <c r="DH184" s="530">
        <f t="shared" si="145"/>
        <v>7390</v>
      </c>
      <c r="DP184" s="162" t="s">
        <v>2490</v>
      </c>
      <c r="DQ184" s="163">
        <v>0</v>
      </c>
      <c r="DR184" s="528">
        <f t="shared" si="123"/>
        <v>0</v>
      </c>
      <c r="DS184" s="529"/>
      <c r="DT184" s="530">
        <f t="shared" si="97"/>
        <v>0</v>
      </c>
      <c r="DU184" s="166"/>
      <c r="DV184" s="738" t="s">
        <v>5792</v>
      </c>
      <c r="DW184" s="166">
        <v>80</v>
      </c>
      <c r="DX184" s="522">
        <f t="shared" si="153"/>
        <v>80</v>
      </c>
      <c r="DY184" s="523"/>
      <c r="DZ184" s="524">
        <f t="shared" si="154"/>
        <v>80</v>
      </c>
      <c r="EG184" s="165"/>
      <c r="EH184" s="739" t="s">
        <v>4965</v>
      </c>
      <c r="EI184" s="164">
        <v>1710</v>
      </c>
      <c r="EJ184" s="531">
        <f t="shared" si="157"/>
        <v>1710</v>
      </c>
      <c r="EK184" s="526"/>
      <c r="EL184" s="527">
        <f t="shared" si="158"/>
        <v>1710</v>
      </c>
    </row>
    <row r="185" spans="12:142">
      <c r="L185" s="58" t="s">
        <v>2730</v>
      </c>
      <c r="M185" s="48" t="s">
        <v>2725</v>
      </c>
      <c r="N185" s="94" t="s">
        <v>2097</v>
      </c>
      <c r="O185" s="423" t="s">
        <v>728</v>
      </c>
      <c r="Q185" s="58" t="s">
        <v>2730</v>
      </c>
      <c r="R185" s="98" t="s">
        <v>531</v>
      </c>
      <c r="S185" s="94" t="s">
        <v>1014</v>
      </c>
      <c r="U185" s="154" t="s">
        <v>509</v>
      </c>
      <c r="V185" s="151" t="s">
        <v>241</v>
      </c>
      <c r="W185" s="159" t="s">
        <v>2185</v>
      </c>
      <c r="AK185" s="789" t="s">
        <v>4470</v>
      </c>
      <c r="AL185" s="101" t="s">
        <v>1773</v>
      </c>
      <c r="AM185" s="760" t="s">
        <v>3155</v>
      </c>
      <c r="AO185" s="99"/>
      <c r="AP185" s="98"/>
      <c r="AQ185" s="94"/>
      <c r="AU185" s="251" t="s">
        <v>1187</v>
      </c>
      <c r="AV185" s="101" t="s">
        <v>190</v>
      </c>
      <c r="AW185" s="135" t="str">
        <f t="shared" si="139"/>
        <v>ДП ТРЕНД.5/0</v>
      </c>
      <c r="AY185" s="224" t="s">
        <v>1342</v>
      </c>
      <c r="AZ185" s="62" t="s">
        <v>1724</v>
      </c>
      <c r="BA185" s="139" t="str">
        <f t="shared" si="149"/>
        <v>ДП ЛАДА B.2/2.купе.</v>
      </c>
      <c r="BK185" s="143" t="s">
        <v>1042</v>
      </c>
      <c r="BL185" s="137" t="s">
        <v>62</v>
      </c>
      <c r="BM185" s="138" t="str">
        <f t="shared" si="162"/>
        <v>КД Verto-FIT Comfort.LINE-3D</v>
      </c>
      <c r="BS185" s="49" t="s">
        <v>1063</v>
      </c>
      <c r="BT185" s="41" t="s">
        <v>4086</v>
      </c>
      <c r="BU185" s="70" t="str">
        <f t="shared" si="160"/>
        <v>ДП ЛАДА-КОНЦЕПТ.5/2.Масив</v>
      </c>
      <c r="BW185" s="108" t="s">
        <v>1341</v>
      </c>
      <c r="BX185" s="248" t="s">
        <v>832</v>
      </c>
      <c r="BY185" s="139" t="str">
        <f t="shared" si="150"/>
        <v>ДП ЛАДА B.2/1.Бронза</v>
      </c>
      <c r="CA185" s="742" t="s">
        <v>3232</v>
      </c>
      <c r="CB185" s="137" t="s">
        <v>4294</v>
      </c>
      <c r="CC185" s="138" t="str">
        <f>CONCATENATE(CA185,".",CB185)</f>
        <v>ДП Ідея.фальц.робоча.Soft цл +2завіс</v>
      </c>
      <c r="CE185" s="147" t="s">
        <v>3297</v>
      </c>
      <c r="CF185" s="62" t="s">
        <v>739</v>
      </c>
      <c r="CG185" s="139" t="str">
        <f t="shared" si="163"/>
        <v>ДП ЛАДА-ЛОФТ.фальц,.робоча..ВП</v>
      </c>
      <c r="CM185" s="742" t="s">
        <v>3313</v>
      </c>
      <c r="CN185" s="137" t="s">
        <v>975</v>
      </c>
      <c r="CO185" s="138" t="str">
        <f t="shared" ref="CO185:CO191" si="164">CONCATENATE(CM185,".",CN185)</f>
        <v>ДП ТРЕНД.фальц..робоча..Standard-MDF</v>
      </c>
      <c r="CY185" s="750" t="s">
        <v>6184</v>
      </c>
      <c r="CZ185" s="152" t="s">
        <v>6199</v>
      </c>
      <c r="DA185" s="139" t="s">
        <v>859</v>
      </c>
      <c r="DD185" s="250" t="s">
        <v>1526</v>
      </c>
      <c r="DE185" s="166">
        <v>7390</v>
      </c>
      <c r="DF185" s="537">
        <f t="shared" si="144"/>
        <v>7390</v>
      </c>
      <c r="DG185" s="529"/>
      <c r="DH185" s="530">
        <f t="shared" si="145"/>
        <v>7390</v>
      </c>
      <c r="DP185" s="738" t="s">
        <v>4217</v>
      </c>
      <c r="DQ185" s="166">
        <v>0</v>
      </c>
      <c r="DR185" s="522">
        <f>ROUND(((DQ185-(DQ185/6))/$DD$3)*$DE$3,2)</f>
        <v>0</v>
      </c>
      <c r="DS185" s="523"/>
      <c r="DT185" s="524">
        <f>IF(DS185="",DR185,
IF(AND($DQ$10&gt;=VLOOKUP(DS185,$DP$5:$DT$9,2,0),$DQ$10&lt;=VLOOKUP(DS185,$DP$5:$DT$9,3,0)),
(DR185*(1-VLOOKUP(DS185,$DP$5:$DT$9,4,0))),
DR185))</f>
        <v>0</v>
      </c>
      <c r="DU185" s="166"/>
      <c r="DV185" s="738" t="s">
        <v>5793</v>
      </c>
      <c r="DW185" s="163">
        <v>80</v>
      </c>
      <c r="DX185" s="528">
        <f>ROUND(((DW185-(DW185/6))/$DD$3)*$DE$3,2)</f>
        <v>80</v>
      </c>
      <c r="DY185" s="529"/>
      <c r="DZ185" s="530">
        <f>IF(DY185="",DX185,
IF(AND($DW$10&gt;=VLOOKUP(DY185,$DV$5:$DZ$9,2,0),$DW$10&lt;=VLOOKUP(DY185,$DV$5:$DZ$9,3,0)),
(DX185*(1-VLOOKUP(DY185,$DV$5:$DZ$9,4,0))),
DX185))</f>
        <v>80</v>
      </c>
      <c r="EG185" s="165"/>
      <c r="EH185" s="738" t="s">
        <v>3527</v>
      </c>
      <c r="EI185" s="166">
        <v>0</v>
      </c>
      <c r="EJ185" s="522">
        <f t="shared" si="157"/>
        <v>0</v>
      </c>
      <c r="EK185" s="523"/>
      <c r="EL185" s="524">
        <f t="shared" si="158"/>
        <v>0</v>
      </c>
    </row>
    <row r="186" spans="12:142">
      <c r="L186" s="58" t="s">
        <v>2731</v>
      </c>
      <c r="M186" s="48" t="s">
        <v>2725</v>
      </c>
      <c r="N186" s="94" t="s">
        <v>2097</v>
      </c>
      <c r="O186" s="423" t="s">
        <v>728</v>
      </c>
      <c r="P186" s="21"/>
      <c r="Q186" s="58" t="s">
        <v>2731</v>
      </c>
      <c r="R186" s="98" t="s">
        <v>1314</v>
      </c>
      <c r="S186" s="94" t="s">
        <v>1315</v>
      </c>
      <c r="U186" s="154" t="s">
        <v>510</v>
      </c>
      <c r="V186" s="151" t="s">
        <v>242</v>
      </c>
      <c r="W186" s="159" t="s">
        <v>2186</v>
      </c>
      <c r="AK186" s="777" t="s">
        <v>4471</v>
      </c>
      <c r="AL186" s="151" t="s">
        <v>1776</v>
      </c>
      <c r="AM186" s="760" t="s">
        <v>3156</v>
      </c>
      <c r="AO186" s="99"/>
      <c r="AP186" s="98"/>
      <c r="AQ186" s="94"/>
      <c r="AU186" s="250" t="s">
        <v>1187</v>
      </c>
      <c r="AV186" s="151" t="s">
        <v>191</v>
      </c>
      <c r="AW186" s="138" t="str">
        <f t="shared" si="139"/>
        <v>ДП ТРЕНД.5/1</v>
      </c>
      <c r="AY186" s="234" t="s">
        <v>1345</v>
      </c>
      <c r="AZ186" s="137" t="s">
        <v>1725</v>
      </c>
      <c r="BA186" s="138" t="str">
        <f t="shared" si="149"/>
        <v>ДП ЛАДА B.3/0.фальц,</v>
      </c>
      <c r="BK186" s="143" t="s">
        <v>1042</v>
      </c>
      <c r="BL186" s="137" t="s">
        <v>5071</v>
      </c>
      <c r="BM186" s="138" t="str">
        <f>CONCATENATE(BK186,".",BL186)</f>
        <v>КД Verto-FIT Comfort.Е-шпон</v>
      </c>
      <c r="BS186" s="49" t="s">
        <v>1064</v>
      </c>
      <c r="BT186" s="41" t="s">
        <v>4086</v>
      </c>
      <c r="BU186" s="70" t="str">
        <f t="shared" si="160"/>
        <v>ДП ЛАДА-КОНЦЕПТ.5/3.Масив</v>
      </c>
      <c r="BW186" s="58" t="s">
        <v>1342</v>
      </c>
      <c r="BX186" s="780" t="s">
        <v>4106</v>
      </c>
      <c r="BY186" s="135" t="str">
        <f t="shared" si="150"/>
        <v>ДП ЛАДА B.2/2.(ні)</v>
      </c>
      <c r="CA186" s="742" t="s">
        <v>3232</v>
      </c>
      <c r="CB186" s="137" t="s">
        <v>4297</v>
      </c>
      <c r="CC186" s="138" t="str">
        <f>CONCATENATE(CA186,".",CB186)</f>
        <v>ДП Ідея.фальц.робоча.Soft ст +2завіс</v>
      </c>
      <c r="CE186" s="146" t="s">
        <v>3298</v>
      </c>
      <c r="CF186" s="137"/>
      <c r="CG186" s="138" t="str">
        <f t="shared" si="163"/>
        <v>ДП ЛАДА-ЛОФТ.фальц,.неробоча,.</v>
      </c>
      <c r="CM186" s="742" t="s">
        <v>3313</v>
      </c>
      <c r="CN186" s="137" t="s">
        <v>840</v>
      </c>
      <c r="CO186" s="138" t="str">
        <f t="shared" si="164"/>
        <v>ДП ТРЕНД.фальц..робоча..Standard</v>
      </c>
      <c r="CY186" s="752" t="s">
        <v>4838</v>
      </c>
      <c r="CZ186" s="151" t="s">
        <v>4854</v>
      </c>
      <c r="DA186" s="138" t="s">
        <v>859</v>
      </c>
      <c r="DD186" s="250" t="s">
        <v>1527</v>
      </c>
      <c r="DE186" s="166">
        <v>7390</v>
      </c>
      <c r="DF186" s="537">
        <f t="shared" si="144"/>
        <v>7390</v>
      </c>
      <c r="DG186" s="529"/>
      <c r="DH186" s="530">
        <f t="shared" si="145"/>
        <v>7390</v>
      </c>
      <c r="DP186" s="738" t="s">
        <v>3887</v>
      </c>
      <c r="DQ186" s="166">
        <v>550</v>
      </c>
      <c r="DR186" s="522">
        <f>ROUND(((DQ186-(DQ186/6))/$DD$3)*$DE$3,2)</f>
        <v>550</v>
      </c>
      <c r="DS186" s="523"/>
      <c r="DT186" s="524">
        <f>IF(DS186="",DR186,
IF(AND($DQ$10&gt;=VLOOKUP(DS186,$DP$5:$DT$9,2,0),$DQ$10&lt;=VLOOKUP(DS186,$DP$5:$DT$9,3,0)),
(DR186*(1-VLOOKUP(DS186,$DP$5:$DT$9,4,0))),
DR186))</f>
        <v>550</v>
      </c>
      <c r="DU186" s="166"/>
      <c r="DV186" s="738" t="s">
        <v>5794</v>
      </c>
      <c r="DW186" s="166">
        <v>80</v>
      </c>
      <c r="DX186" s="522">
        <f t="shared" si="153"/>
        <v>80</v>
      </c>
      <c r="DY186" s="523"/>
      <c r="DZ186" s="524">
        <f t="shared" si="154"/>
        <v>80</v>
      </c>
      <c r="EG186" s="165"/>
      <c r="EH186" s="739" t="s">
        <v>3528</v>
      </c>
      <c r="EI186" s="164">
        <v>1710</v>
      </c>
      <c r="EJ186" s="531">
        <f t="shared" si="157"/>
        <v>1710</v>
      </c>
      <c r="EK186" s="526"/>
      <c r="EL186" s="527">
        <f t="shared" si="158"/>
        <v>1710</v>
      </c>
    </row>
    <row r="187" spans="12:142">
      <c r="L187" s="58" t="s">
        <v>2732</v>
      </c>
      <c r="M187" s="48" t="s">
        <v>2725</v>
      </c>
      <c r="N187" s="94" t="s">
        <v>2097</v>
      </c>
      <c r="O187" s="423" t="s">
        <v>728</v>
      </c>
      <c r="Q187" s="58" t="s">
        <v>2732</v>
      </c>
      <c r="R187" s="98" t="s">
        <v>1388</v>
      </c>
      <c r="S187" s="94" t="s">
        <v>1393</v>
      </c>
      <c r="U187" s="155" t="s">
        <v>511</v>
      </c>
      <c r="V187" s="152" t="s">
        <v>243</v>
      </c>
      <c r="W187" s="160" t="s">
        <v>2187</v>
      </c>
      <c r="AK187" s="777" t="s">
        <v>4472</v>
      </c>
      <c r="AL187" s="151" t="s">
        <v>1778</v>
      </c>
      <c r="AM187" s="761" t="s">
        <v>3157</v>
      </c>
      <c r="AO187" s="99"/>
      <c r="AP187" s="98"/>
      <c r="AQ187" s="94"/>
      <c r="AU187" s="250" t="s">
        <v>1187</v>
      </c>
      <c r="AV187" s="151" t="s">
        <v>192</v>
      </c>
      <c r="AW187" s="138" t="str">
        <f t="shared" si="139"/>
        <v>ДП ТРЕНД.5/2</v>
      </c>
      <c r="AY187" s="234" t="s">
        <v>1345</v>
      </c>
      <c r="AZ187" s="137" t="s">
        <v>1723</v>
      </c>
      <c r="BA187" s="138" t="str">
        <f t="shared" si="149"/>
        <v>ДП ЛАДА B.3/0.б/з фальц.</v>
      </c>
      <c r="BK187" s="144" t="s">
        <v>1042</v>
      </c>
      <c r="BL187" s="62" t="s">
        <v>1836</v>
      </c>
      <c r="BM187" s="139" t="str">
        <f t="shared" si="162"/>
        <v>КД Verto-FIT Comfort.Лофт</v>
      </c>
      <c r="BS187" s="426"/>
      <c r="BT187" s="427"/>
      <c r="BU187" s="428"/>
      <c r="BW187" s="162" t="s">
        <v>1345</v>
      </c>
      <c r="BX187" s="246" t="s">
        <v>458</v>
      </c>
      <c r="BY187" s="135" t="str">
        <f t="shared" si="150"/>
        <v>ДП ЛАДА B.3/0.Сатин</v>
      </c>
      <c r="CA187" s="742" t="s">
        <v>3232</v>
      </c>
      <c r="CB187" s="21"/>
      <c r="CC187" s="21"/>
      <c r="CE187" s="146" t="s">
        <v>3298</v>
      </c>
      <c r="CF187" s="137" t="s">
        <v>4261</v>
      </c>
      <c r="CG187" s="138" t="str">
        <f t="shared" si="163"/>
        <v>ДП ЛАДА-ЛОФТ.фальц,.неробоча,.ВВ</v>
      </c>
      <c r="CM187" s="742" t="s">
        <v>3313</v>
      </c>
      <c r="CN187" s="137" t="s">
        <v>841</v>
      </c>
      <c r="CO187" s="138" t="str">
        <f t="shared" si="164"/>
        <v>ДП ТРЕНД.фальц..робоча..Verto-FIT</v>
      </c>
      <c r="CY187" s="750" t="s">
        <v>4868</v>
      </c>
      <c r="CZ187" s="152" t="s">
        <v>4884</v>
      </c>
      <c r="DA187" s="139" t="s">
        <v>859</v>
      </c>
      <c r="DD187" s="250" t="s">
        <v>1528</v>
      </c>
      <c r="DE187" s="166">
        <v>7390</v>
      </c>
      <c r="DF187" s="537">
        <f t="shared" si="144"/>
        <v>7390</v>
      </c>
      <c r="DG187" s="529"/>
      <c r="DH187" s="530">
        <f t="shared" si="145"/>
        <v>7390</v>
      </c>
      <c r="DP187" s="108" t="s">
        <v>2491</v>
      </c>
      <c r="DQ187" s="164">
        <v>550</v>
      </c>
      <c r="DR187" s="525">
        <f>ROUND(((DQ187-(DQ187/6))/$DD$3)*$DE$3,2)</f>
        <v>550</v>
      </c>
      <c r="DS187" s="526"/>
      <c r="DT187" s="527">
        <f>IF(DS187="",DR187,
IF(AND($DQ$10&gt;=VLOOKUP(DS187,$DP$5:$DT$9,2,0),$DQ$10&lt;=VLOOKUP(DS187,$DP$5:$DT$9,3,0)),
(DR187*(1-VLOOKUP(DS187,$DP$5:$DT$9,4,0))),
DR187))</f>
        <v>550</v>
      </c>
      <c r="DU187" s="166"/>
      <c r="DV187" s="738" t="s">
        <v>5795</v>
      </c>
      <c r="DW187" s="163">
        <v>80</v>
      </c>
      <c r="DX187" s="528">
        <f>ROUND(((DW187-(DW187/6))/$DD$3)*$DE$3,2)</f>
        <v>80</v>
      </c>
      <c r="DY187" s="529"/>
      <c r="DZ187" s="530">
        <f>IF(DY187="",DX187,
IF(AND($DW$10&gt;=VLOOKUP(DY187,$DV$5:$DZ$9,2,0),$DW$10&lt;=VLOOKUP(DY187,$DV$5:$DZ$9,3,0)),
(DX187*(1-VLOOKUP(DY187,$DV$5:$DZ$9,4,0))),
DX187))</f>
        <v>80</v>
      </c>
      <c r="EG187" s="165"/>
      <c r="EH187" s="738" t="s">
        <v>3529</v>
      </c>
      <c r="EI187" s="166">
        <v>0</v>
      </c>
      <c r="EJ187" s="522">
        <f>ROUND(((EI187-(EI187/6))/$DD$3)*$DE$3,2)</f>
        <v>0</v>
      </c>
      <c r="EK187" s="523"/>
      <c r="EL187" s="524">
        <f>IF(EK187="",EJ187,
IF(AND($EI$10&gt;=VLOOKUP(EK187,$EH$5:$EL$9,2,0),$EI$10&lt;=VLOOKUP(EK187,$EH$5:$EL$9,3,0)),
(EJ187*(1-VLOOKUP(EK187,$EH$5:$EL$9,4,0))),
EJ187))</f>
        <v>0</v>
      </c>
    </row>
    <row r="188" spans="12:142">
      <c r="L188" s="58" t="s">
        <v>2733</v>
      </c>
      <c r="M188" s="48" t="s">
        <v>2725</v>
      </c>
      <c r="N188" s="94" t="s">
        <v>2097</v>
      </c>
      <c r="O188" s="423" t="s">
        <v>728</v>
      </c>
      <c r="Q188" s="58" t="s">
        <v>2733</v>
      </c>
      <c r="R188" s="98" t="s">
        <v>1389</v>
      </c>
      <c r="S188" s="94" t="s">
        <v>1394</v>
      </c>
      <c r="U188" s="153" t="s">
        <v>512</v>
      </c>
      <c r="V188" s="101" t="s">
        <v>85</v>
      </c>
      <c r="W188" s="766" t="s">
        <v>5434</v>
      </c>
      <c r="AK188" s="777" t="s">
        <v>6160</v>
      </c>
      <c r="AL188" s="151" t="s">
        <v>6458</v>
      </c>
      <c r="AM188" s="761" t="s">
        <v>6161</v>
      </c>
      <c r="AO188" s="574"/>
      <c r="AP188" s="579"/>
      <c r="AQ188" s="554"/>
      <c r="AU188" s="250" t="s">
        <v>1187</v>
      </c>
      <c r="AV188" s="151" t="s">
        <v>193</v>
      </c>
      <c r="AW188" s="138" t="str">
        <f t="shared" si="139"/>
        <v>ДП ТРЕНД.5/3</v>
      </c>
      <c r="AY188" s="224" t="s">
        <v>1345</v>
      </c>
      <c r="AZ188" s="62" t="s">
        <v>1724</v>
      </c>
      <c r="BA188" s="139" t="str">
        <f t="shared" si="149"/>
        <v>ДП ЛАДА B.3/0.купе.</v>
      </c>
      <c r="BK188" s="142" t="s">
        <v>550</v>
      </c>
      <c r="BL188" s="134" t="s">
        <v>4904</v>
      </c>
      <c r="BM188" s="135" t="str">
        <f t="shared" si="162"/>
        <v>РС Verto-SLIDE.Сімплекс</v>
      </c>
      <c r="BS188" s="49" t="s">
        <v>128</v>
      </c>
      <c r="BT188" s="41" t="s">
        <v>4086</v>
      </c>
      <c r="BU188" s="70" t="str">
        <f t="shared" si="160"/>
        <v>ДП ЛАДА-НОВА.4/0.Масив</v>
      </c>
      <c r="BW188" s="165" t="s">
        <v>1345</v>
      </c>
      <c r="BX188" s="770" t="s">
        <v>3851</v>
      </c>
      <c r="BY188" s="138" t="str">
        <f t="shared" si="150"/>
        <v>ДП ЛАДА B.3/0.Графіт</v>
      </c>
      <c r="CA188" s="742" t="s">
        <v>3232</v>
      </c>
      <c r="CB188" s="137" t="s">
        <v>4304</v>
      </c>
      <c r="CC188" s="138" t="str">
        <f>CONCATENATE(CA188,".",CB188)</f>
        <v>ДП Ідея.фальц.робоча.Soft цл +3завіс</v>
      </c>
      <c r="CE188" s="147" t="s">
        <v>3298</v>
      </c>
      <c r="CF188" s="62" t="s">
        <v>739</v>
      </c>
      <c r="CG188" s="139" t="str">
        <f t="shared" si="163"/>
        <v>ДП ЛАДА-ЛОФТ.фальц,.неробоча,.ВП</v>
      </c>
      <c r="CM188" s="424" t="s">
        <v>3313</v>
      </c>
      <c r="CN188" s="62" t="s">
        <v>371</v>
      </c>
      <c r="CO188" s="139" t="str">
        <f t="shared" si="164"/>
        <v>ДП ТРЕНД.фальц..робоча..Verto-FIT Plus</v>
      </c>
      <c r="CY188" s="752" t="s">
        <v>6185</v>
      </c>
      <c r="CZ188" s="151" t="s">
        <v>6200</v>
      </c>
      <c r="DA188" s="138" t="s">
        <v>859</v>
      </c>
      <c r="DD188" s="249" t="s">
        <v>1529</v>
      </c>
      <c r="DE188" s="164">
        <v>7390</v>
      </c>
      <c r="DF188" s="537">
        <f t="shared" si="144"/>
        <v>7390</v>
      </c>
      <c r="DG188" s="529"/>
      <c r="DH188" s="530">
        <f t="shared" si="145"/>
        <v>7390</v>
      </c>
      <c r="DP188" s="256"/>
      <c r="DQ188" s="257"/>
      <c r="DR188" s="517"/>
      <c r="DS188" s="532"/>
      <c r="DT188" s="259"/>
      <c r="DU188" s="166"/>
      <c r="DV188" s="738" t="s">
        <v>4477</v>
      </c>
      <c r="DW188" s="166">
        <v>550</v>
      </c>
      <c r="DX188" s="522">
        <f t="shared" si="153"/>
        <v>550</v>
      </c>
      <c r="DY188" s="523"/>
      <c r="DZ188" s="524">
        <f t="shared" si="154"/>
        <v>550</v>
      </c>
      <c r="EG188" s="165"/>
      <c r="EH188" s="739" t="s">
        <v>3530</v>
      </c>
      <c r="EI188" s="164">
        <v>1710</v>
      </c>
      <c r="EJ188" s="531">
        <f>ROUND(((EI188-(EI188/6))/$DD$3)*$DE$3,2)</f>
        <v>1710</v>
      </c>
      <c r="EK188" s="526"/>
      <c r="EL188" s="527">
        <f>IF(EK188="",EJ188,
IF(AND($EI$10&gt;=VLOOKUP(EK188,$EH$5:$EL$9,2,0),$EI$10&lt;=VLOOKUP(EK188,$EH$5:$EL$9,3,0)),
(EJ188*(1-VLOOKUP(EK188,$EH$5:$EL$9,4,0))),
EJ188))</f>
        <v>1710</v>
      </c>
    </row>
    <row r="189" spans="12:142">
      <c r="L189" s="58" t="s">
        <v>2734</v>
      </c>
      <c r="M189" s="48" t="s">
        <v>2725</v>
      </c>
      <c r="N189" s="94" t="s">
        <v>2097</v>
      </c>
      <c r="O189" s="423" t="s">
        <v>728</v>
      </c>
      <c r="Q189" s="58" t="s">
        <v>2734</v>
      </c>
      <c r="R189" s="98" t="s">
        <v>1390</v>
      </c>
      <c r="S189" s="94" t="s">
        <v>1395</v>
      </c>
      <c r="U189" s="154" t="s">
        <v>513</v>
      </c>
      <c r="V189" s="151" t="s">
        <v>86</v>
      </c>
      <c r="W189" s="435" t="s">
        <v>5435</v>
      </c>
      <c r="AK189" s="591"/>
      <c r="AL189" s="475"/>
      <c r="AM189" s="592"/>
      <c r="AU189" s="250" t="s">
        <v>1187</v>
      </c>
      <c r="AV189" s="151" t="s">
        <v>203</v>
      </c>
      <c r="AW189" s="138" t="str">
        <f t="shared" si="139"/>
        <v>ДП ТРЕНД.5/4</v>
      </c>
      <c r="AY189" s="234" t="s">
        <v>1346</v>
      </c>
      <c r="AZ189" s="137" t="s">
        <v>1725</v>
      </c>
      <c r="BA189" s="138" t="str">
        <f t="shared" si="149"/>
        <v>ДП ЛАДА B.3/1.фальц,</v>
      </c>
      <c r="BK189" s="143" t="s">
        <v>550</v>
      </c>
      <c r="BL189" s="137" t="s">
        <v>409</v>
      </c>
      <c r="BM189" s="138" t="str">
        <f t="shared" si="162"/>
        <v>РС Verto-SLIDE.Verto-Cell</v>
      </c>
      <c r="BS189" s="49" t="s">
        <v>276</v>
      </c>
      <c r="BT189" s="41" t="s">
        <v>4086</v>
      </c>
      <c r="BU189" s="70" t="str">
        <f t="shared" si="160"/>
        <v>ДП ЛАДА-НОВА.4/3.Масив</v>
      </c>
      <c r="BW189" s="108" t="s">
        <v>1345</v>
      </c>
      <c r="BX189" s="248" t="s">
        <v>832</v>
      </c>
      <c r="BY189" s="139" t="str">
        <f t="shared" si="150"/>
        <v>ДП ЛАДА B.3/0.Бронза</v>
      </c>
      <c r="CA189" s="742" t="s">
        <v>3232</v>
      </c>
      <c r="CB189" s="137" t="s">
        <v>4307</v>
      </c>
      <c r="CC189" s="138" t="str">
        <f>CONCATENATE(CA189,".",CB189)</f>
        <v>ДП Ідея.фальц.робоча.Soft ст +3завіс</v>
      </c>
      <c r="CE189" s="146" t="s">
        <v>3299</v>
      </c>
      <c r="CF189" s="137"/>
      <c r="CG189" s="138" t="str">
        <f t="shared" si="163"/>
        <v>ДП ЛАДА-ЛОФТ.б/з фальц..робоча..</v>
      </c>
      <c r="CM189" s="424" t="s">
        <v>3314</v>
      </c>
      <c r="CN189" s="62" t="s">
        <v>4106</v>
      </c>
      <c r="CO189" s="70" t="str">
        <f t="shared" si="164"/>
        <v>ДП ТРЕНД.фальц..неробоча..(ні)</v>
      </c>
      <c r="CY189" s="750" t="s">
        <v>6186</v>
      </c>
      <c r="CZ189" s="152" t="s">
        <v>6201</v>
      </c>
      <c r="DA189" s="139" t="s">
        <v>859</v>
      </c>
      <c r="DD189" s="250" t="s">
        <v>1537</v>
      </c>
      <c r="DE189" s="166">
        <v>8050</v>
      </c>
      <c r="DF189" s="537">
        <f t="shared" si="144"/>
        <v>8050</v>
      </c>
      <c r="DG189" s="529"/>
      <c r="DH189" s="530">
        <f t="shared" si="145"/>
        <v>8050</v>
      </c>
      <c r="DP189" s="736" t="s">
        <v>4142</v>
      </c>
      <c r="DQ189" s="105">
        <v>0</v>
      </c>
      <c r="DR189" s="403">
        <f>ROUND(((DQ189-(DQ189/6))/$DD$3)*$DE$3,2)</f>
        <v>0</v>
      </c>
      <c r="DS189" s="514"/>
      <c r="DT189" s="511">
        <f>IF(DS189="",DR189,
IF(AND($DQ$10&gt;=VLOOKUP(DS189,$DP$5:$DT$9,2,0),$DQ$10&lt;=VLOOKUP(DS189,$DP$5:$DT$9,3,0)),
(DR189*(1-VLOOKUP(DS189,$DP$5:$DT$9,4,0))),
DR189))</f>
        <v>0</v>
      </c>
      <c r="DU189" s="166"/>
      <c r="DV189" s="738" t="s">
        <v>4478</v>
      </c>
      <c r="DW189" s="166">
        <v>550</v>
      </c>
      <c r="DX189" s="522">
        <f t="shared" si="153"/>
        <v>550</v>
      </c>
      <c r="DY189" s="523"/>
      <c r="DZ189" s="524">
        <f t="shared" si="154"/>
        <v>550</v>
      </c>
      <c r="EG189" s="165"/>
      <c r="EH189" s="738" t="s">
        <v>3531</v>
      </c>
      <c r="EI189" s="166">
        <v>0</v>
      </c>
      <c r="EJ189" s="522">
        <f>ROUND(((EI189-(EI189/6))/$DD$3)*$DE$3,2)</f>
        <v>0</v>
      </c>
      <c r="EK189" s="523"/>
      <c r="EL189" s="524">
        <f>IF(EK189="",EJ189,
IF(AND($EI$10&gt;=VLOOKUP(EK189,$EH$5:$EL$9,2,0),$EI$10&lt;=VLOOKUP(EK189,$EH$5:$EL$9,3,0)),
(EJ189*(1-VLOOKUP(EK189,$EH$5:$EL$9,4,0))),
EJ189))</f>
        <v>0</v>
      </c>
    </row>
    <row r="190" spans="12:142">
      <c r="L190" s="58" t="s">
        <v>2735</v>
      </c>
      <c r="M190" s="48" t="s">
        <v>2725</v>
      </c>
      <c r="N190" s="94" t="s">
        <v>2097</v>
      </c>
      <c r="O190" s="423" t="s">
        <v>728</v>
      </c>
      <c r="Q190" s="58" t="s">
        <v>2735</v>
      </c>
      <c r="R190" s="98" t="s">
        <v>1391</v>
      </c>
      <c r="S190" s="94" t="s">
        <v>1396</v>
      </c>
      <c r="U190" s="154" t="s">
        <v>514</v>
      </c>
      <c r="V190" s="151" t="s">
        <v>87</v>
      </c>
      <c r="W190" s="435" t="s">
        <v>5436</v>
      </c>
      <c r="AK190" s="583"/>
      <c r="AL190" s="478"/>
      <c r="AM190" s="584"/>
      <c r="AU190" s="250" t="s">
        <v>1187</v>
      </c>
      <c r="AV190" s="151" t="s">
        <v>204</v>
      </c>
      <c r="AW190" s="138" t="str">
        <f t="shared" si="139"/>
        <v>ДП ТРЕНД.5/5</v>
      </c>
      <c r="AY190" s="234" t="s">
        <v>1346</v>
      </c>
      <c r="AZ190" s="137" t="s">
        <v>1723</v>
      </c>
      <c r="BA190" s="138" t="str">
        <f t="shared" si="149"/>
        <v>ДП ЛАДА B.3/1.б/з фальц.</v>
      </c>
      <c r="BK190" s="143" t="s">
        <v>550</v>
      </c>
      <c r="BL190" s="137"/>
      <c r="BM190" s="138" t="str">
        <f>CONCATENATE(BK190,".",BL190)</f>
        <v>РС Verto-SLIDE.</v>
      </c>
      <c r="BS190" s="49" t="s">
        <v>595</v>
      </c>
      <c r="BT190" s="41" t="s">
        <v>4086</v>
      </c>
      <c r="BU190" s="70" t="str">
        <f t="shared" si="160"/>
        <v>ДП ЛАДА-НОВА.4/6.Масив</v>
      </c>
      <c r="BW190" s="108" t="s">
        <v>1345</v>
      </c>
      <c r="BX190" s="248" t="s">
        <v>6046</v>
      </c>
      <c r="BY190" s="139" t="str">
        <f>CONCATENATE(BW190,".",BX190)</f>
        <v>ДП ЛАДА B.3/0.Лакобель</v>
      </c>
      <c r="CA190" s="742" t="s">
        <v>3232</v>
      </c>
      <c r="CB190" s="137"/>
      <c r="CC190" s="138"/>
      <c r="CE190" s="146" t="s">
        <v>3299</v>
      </c>
      <c r="CF190" s="137" t="s">
        <v>4261</v>
      </c>
      <c r="CG190" s="138" t="str">
        <f t="shared" si="163"/>
        <v>ДП ЛАДА-ЛОФТ.б/з фальц..робоча..ВВ</v>
      </c>
      <c r="CM190" s="86" t="s">
        <v>3315</v>
      </c>
      <c r="CN190" s="56" t="s">
        <v>941</v>
      </c>
      <c r="CO190" s="70" t="str">
        <f t="shared" si="164"/>
        <v>ДП ТРЕНД.б/з фальц..робоча..Verto-FIT Comfort</v>
      </c>
      <c r="CY190" s="752" t="s">
        <v>4839</v>
      </c>
      <c r="CZ190" s="151" t="s">
        <v>4854</v>
      </c>
      <c r="DA190" s="138" t="s">
        <v>859</v>
      </c>
      <c r="DD190" s="250" t="s">
        <v>1538</v>
      </c>
      <c r="DE190" s="166">
        <v>8050</v>
      </c>
      <c r="DF190" s="537">
        <f t="shared" si="144"/>
        <v>8050</v>
      </c>
      <c r="DG190" s="529"/>
      <c r="DH190" s="530">
        <f t="shared" si="145"/>
        <v>8050</v>
      </c>
      <c r="DP190" s="256"/>
      <c r="DQ190" s="257"/>
      <c r="DR190" s="517"/>
      <c r="DS190" s="532"/>
      <c r="DT190" s="259"/>
      <c r="DU190" s="166"/>
      <c r="DV190" s="738" t="s">
        <v>4479</v>
      </c>
      <c r="DW190" s="166">
        <v>800</v>
      </c>
      <c r="DX190" s="522">
        <f>ROUND(((DW190-(DW190/6))/$DD$3)*$DE$3,2)</f>
        <v>800</v>
      </c>
      <c r="DY190" s="523"/>
      <c r="DZ190" s="524">
        <f>IF(DY190="",DX190,
IF(AND($DW$10&gt;=VLOOKUP(DY190,$DV$5:$DZ$9,2,0),$DW$10&lt;=VLOOKUP(DY190,$DV$5:$DZ$9,3,0)),
(DX190*(1-VLOOKUP(DY190,$DV$5:$DZ$9,4,0))),
DX190))</f>
        <v>800</v>
      </c>
      <c r="EG190" s="165"/>
      <c r="EH190" s="739" t="s">
        <v>3532</v>
      </c>
      <c r="EI190" s="164">
        <v>1980</v>
      </c>
      <c r="EJ190" s="531">
        <f>ROUND(((EI190-(EI190/6))/$DD$3)*$DE$3,2)</f>
        <v>1980</v>
      </c>
      <c r="EK190" s="526"/>
      <c r="EL190" s="527">
        <f>IF(EK190="",EJ190,
IF(AND($EI$10&gt;=VLOOKUP(EK190,$EH$5:$EL$9,2,0),$EI$10&lt;=VLOOKUP(EK190,$EH$5:$EL$9,3,0)),
(EJ190*(1-VLOOKUP(EK190,$EH$5:$EL$9,4,0))),
EJ190))</f>
        <v>1980</v>
      </c>
    </row>
    <row r="191" spans="12:142">
      <c r="L191" s="58" t="s">
        <v>2736</v>
      </c>
      <c r="M191" s="48" t="s">
        <v>2725</v>
      </c>
      <c r="N191" s="94" t="s">
        <v>2097</v>
      </c>
      <c r="O191" s="423" t="s">
        <v>728</v>
      </c>
      <c r="Q191" s="58" t="s">
        <v>2736</v>
      </c>
      <c r="R191" s="98" t="s">
        <v>1392</v>
      </c>
      <c r="S191" s="94" t="s">
        <v>1397</v>
      </c>
      <c r="U191" s="154" t="s">
        <v>515</v>
      </c>
      <c r="V191" s="151" t="s">
        <v>88</v>
      </c>
      <c r="W191" s="435" t="s">
        <v>5437</v>
      </c>
      <c r="AK191" s="583"/>
      <c r="AL191" s="478"/>
      <c r="AM191" s="584"/>
      <c r="AU191" s="250" t="s">
        <v>1187</v>
      </c>
      <c r="AV191" s="151" t="s">
        <v>1188</v>
      </c>
      <c r="AW191" s="138" t="str">
        <f t="shared" si="139"/>
        <v>ДП ТРЕНД.5А/1</v>
      </c>
      <c r="AY191" s="224" t="s">
        <v>1346</v>
      </c>
      <c r="AZ191" s="62" t="s">
        <v>1724</v>
      </c>
      <c r="BA191" s="139" t="str">
        <f t="shared" si="149"/>
        <v>ДП ЛАДА B.3/1.купе.</v>
      </c>
      <c r="BK191" s="143" t="s">
        <v>550</v>
      </c>
      <c r="BL191" s="137" t="s">
        <v>1893</v>
      </c>
      <c r="BM191" s="138" t="str">
        <f t="shared" si="162"/>
        <v>РС Verto-SLIDE.Uni-Mat</v>
      </c>
      <c r="BS191" s="49" t="s">
        <v>596</v>
      </c>
      <c r="BT191" s="41" t="s">
        <v>4086</v>
      </c>
      <c r="BU191" s="70" t="str">
        <f t="shared" si="160"/>
        <v>ДП ЛАДА-НОВА.4/9.Масив</v>
      </c>
      <c r="BW191" s="162" t="s">
        <v>1346</v>
      </c>
      <c r="BX191" s="246" t="s">
        <v>458</v>
      </c>
      <c r="BY191" s="135" t="str">
        <f t="shared" si="150"/>
        <v>ДП ЛАДА B.3/1.Сатин</v>
      </c>
      <c r="CA191" s="742" t="s">
        <v>3232</v>
      </c>
      <c r="CB191" s="137" t="s">
        <v>4300</v>
      </c>
      <c r="CC191" s="138" t="str">
        <f>CONCATENATE(CA191,".",CB191)</f>
        <v>ДП Ідея.фальц.робоча.Magnet цл +2завіс</v>
      </c>
      <c r="CE191" s="147" t="s">
        <v>3299</v>
      </c>
      <c r="CF191" s="62" t="s">
        <v>739</v>
      </c>
      <c r="CG191" s="139" t="str">
        <f t="shared" si="163"/>
        <v>ДП ЛАДА-ЛОФТ.б/з фальц..робоча..ВП</v>
      </c>
      <c r="CM191" s="86" t="s">
        <v>3316</v>
      </c>
      <c r="CN191" s="56" t="s">
        <v>841</v>
      </c>
      <c r="CO191" s="70" t="str">
        <f t="shared" si="164"/>
        <v>ДП ТРЕНД.купе..робоча..Verto-FIT</v>
      </c>
      <c r="CY191" s="750" t="s">
        <v>4869</v>
      </c>
      <c r="CZ191" s="152" t="s">
        <v>4884</v>
      </c>
      <c r="DA191" s="139" t="s">
        <v>859</v>
      </c>
      <c r="DD191" s="250" t="s">
        <v>1545</v>
      </c>
      <c r="DE191" s="166">
        <v>8050</v>
      </c>
      <c r="DF191" s="537">
        <f t="shared" si="144"/>
        <v>8050</v>
      </c>
      <c r="DG191" s="529"/>
      <c r="DH191" s="530">
        <f t="shared" si="145"/>
        <v>8050</v>
      </c>
      <c r="DP191" s="743" t="s">
        <v>4143</v>
      </c>
      <c r="DQ191" s="105">
        <v>0</v>
      </c>
      <c r="DR191" s="403">
        <f>ROUND(((DQ191-(DQ191/6))/$DD$3)*$DE$3,2)</f>
        <v>0</v>
      </c>
      <c r="DS191" s="514"/>
      <c r="DT191" s="511">
        <f>IF(DS191="",DR191,
IF(AND($DQ$10&gt;=VLOOKUP(DS191,$DP$5:$DT$9,2,0),$DQ$10&lt;=VLOOKUP(DS191,$DP$5:$DT$9,3,0)),
(DR191*(1-VLOOKUP(DS191,$DP$5:$DT$9,4,0))),
DR191))</f>
        <v>0</v>
      </c>
      <c r="DU191" s="166"/>
      <c r="DV191" s="739" t="s">
        <v>4480</v>
      </c>
      <c r="DW191" s="164">
        <v>800</v>
      </c>
      <c r="DX191" s="525">
        <f>ROUND(((DW191-(DW191/6))/$DD$3)*$DE$3,2)</f>
        <v>800</v>
      </c>
      <c r="DY191" s="526"/>
      <c r="DZ191" s="527">
        <f>IF(DY191="",DX191,
IF(AND($DW$10&gt;=VLOOKUP(DY191,$DV$5:$DZ$9,2,0),$DW$10&lt;=VLOOKUP(DY191,$DV$5:$DZ$9,3,0)),
(DX191*(1-VLOOKUP(DY191,$DV$5:$DZ$9,4,0))),
DX191))</f>
        <v>800</v>
      </c>
      <c r="EG191" s="165"/>
      <c r="EH191" s="738" t="s">
        <v>3533</v>
      </c>
      <c r="EI191" s="166">
        <v>0</v>
      </c>
      <c r="EJ191" s="522">
        <f t="shared" si="157"/>
        <v>0</v>
      </c>
      <c r="EK191" s="523"/>
      <c r="EL191" s="524">
        <f t="shared" si="158"/>
        <v>0</v>
      </c>
    </row>
    <row r="192" spans="12:142">
      <c r="L192" s="58"/>
      <c r="M192" s="48"/>
      <c r="N192" s="94"/>
      <c r="O192" s="423"/>
      <c r="Q192" s="58"/>
      <c r="R192" s="98"/>
      <c r="S192" s="94"/>
      <c r="U192" s="154" t="s">
        <v>516</v>
      </c>
      <c r="V192" s="151" t="s">
        <v>89</v>
      </c>
      <c r="W192" s="435" t="s">
        <v>5438</v>
      </c>
      <c r="AK192" s="581"/>
      <c r="AL192" s="580"/>
      <c r="AM192" s="582"/>
      <c r="AU192" s="250" t="s">
        <v>1187</v>
      </c>
      <c r="AV192" s="151" t="s">
        <v>1189</v>
      </c>
      <c r="AW192" s="138" t="str">
        <f t="shared" si="139"/>
        <v>ДП ТРЕНД.5А/2</v>
      </c>
      <c r="AY192" s="234" t="s">
        <v>1347</v>
      </c>
      <c r="AZ192" s="137" t="s">
        <v>1725</v>
      </c>
      <c r="BA192" s="138" t="str">
        <f t="shared" si="149"/>
        <v>ДП ЛАДА B.3/2.фальц,</v>
      </c>
      <c r="BK192" s="143" t="s">
        <v>550</v>
      </c>
      <c r="BL192" s="137" t="s">
        <v>557</v>
      </c>
      <c r="BM192" s="138" t="str">
        <f t="shared" si="162"/>
        <v>РС Verto-SLIDE.Резист</v>
      </c>
      <c r="BS192" s="49" t="s">
        <v>651</v>
      </c>
      <c r="BT192" s="41" t="s">
        <v>4086</v>
      </c>
      <c r="BU192" s="70" t="str">
        <f t="shared" si="160"/>
        <v>ДП ЛАДА-НОВА.6А/1.Масив</v>
      </c>
      <c r="BW192" s="165" t="s">
        <v>1346</v>
      </c>
      <c r="BX192" s="770" t="s">
        <v>3851</v>
      </c>
      <c r="BY192" s="138" t="str">
        <f t="shared" si="150"/>
        <v>ДП ЛАДА B.3/1.Графіт</v>
      </c>
      <c r="CA192" s="742" t="s">
        <v>3232</v>
      </c>
      <c r="CB192" s="137" t="s">
        <v>4305</v>
      </c>
      <c r="CC192" s="138" t="str">
        <f>CONCATENATE(CA192,".",CB192)</f>
        <v>ДП Ідея.фальц.робоча.Magnet ст +2завіс</v>
      </c>
      <c r="CE192" s="145" t="s">
        <v>3300</v>
      </c>
      <c r="CF192" s="137"/>
      <c r="CG192" s="138" t="str">
        <f t="shared" si="163"/>
        <v>ДП ЛАДА-ЛОФТ.купе..робоча..</v>
      </c>
      <c r="CM192" s="432"/>
      <c r="CN192" s="427"/>
      <c r="CO192" s="428"/>
      <c r="CY192" s="752" t="s">
        <v>6187</v>
      </c>
      <c r="CZ192" s="151" t="s">
        <v>6200</v>
      </c>
      <c r="DA192" s="138" t="s">
        <v>859</v>
      </c>
      <c r="DD192" s="250" t="s">
        <v>1546</v>
      </c>
      <c r="DE192" s="166">
        <v>8050</v>
      </c>
      <c r="DF192" s="537">
        <f t="shared" si="144"/>
        <v>8050</v>
      </c>
      <c r="DG192" s="529"/>
      <c r="DH192" s="530">
        <f t="shared" si="145"/>
        <v>8050</v>
      </c>
      <c r="DP192" s="162" t="s">
        <v>1601</v>
      </c>
      <c r="DQ192" s="163">
        <v>0</v>
      </c>
      <c r="DR192" s="528">
        <f>ROUND(((DQ192-(DQ192/6))/$DD$3)*$DE$3,2)</f>
        <v>0</v>
      </c>
      <c r="DS192" s="529"/>
      <c r="DT192" s="530">
        <f>IF(DS192="",DR192,
IF(AND($DQ$10&gt;=VLOOKUP(DS192,$DP$5:$DT$9,2,0),$DQ$10&lt;=VLOOKUP(DS192,$DP$5:$DT$9,3,0)),
(DR192*(1-VLOOKUP(DS192,$DP$5:$DT$9,4,0))),
DR192))</f>
        <v>0</v>
      </c>
      <c r="DU192" s="166"/>
      <c r="DV192" s="738" t="s">
        <v>6241</v>
      </c>
      <c r="DW192" s="166">
        <v>1</v>
      </c>
      <c r="DX192" s="522">
        <f t="shared" si="153"/>
        <v>1</v>
      </c>
      <c r="DY192" s="523"/>
      <c r="DZ192" s="524">
        <f t="shared" si="154"/>
        <v>1</v>
      </c>
      <c r="EG192" s="165"/>
      <c r="EH192" s="739" t="s">
        <v>3534</v>
      </c>
      <c r="EI192" s="164">
        <v>2030</v>
      </c>
      <c r="EJ192" s="531">
        <f t="shared" si="157"/>
        <v>2030</v>
      </c>
      <c r="EK192" s="526"/>
      <c r="EL192" s="527">
        <f t="shared" si="158"/>
        <v>2030</v>
      </c>
    </row>
    <row r="193" spans="12:142">
      <c r="L193" s="743" t="s">
        <v>2869</v>
      </c>
      <c r="M193" s="98" t="s">
        <v>2868</v>
      </c>
      <c r="N193" s="94" t="s">
        <v>2098</v>
      </c>
      <c r="O193" s="423" t="s">
        <v>728</v>
      </c>
      <c r="Q193" s="743" t="s">
        <v>2869</v>
      </c>
      <c r="R193" s="98" t="s">
        <v>194</v>
      </c>
      <c r="S193" s="94" t="s">
        <v>138</v>
      </c>
      <c r="U193" s="154" t="s">
        <v>517</v>
      </c>
      <c r="V193" s="151" t="s">
        <v>90</v>
      </c>
      <c r="W193" s="435" t="s">
        <v>5439</v>
      </c>
      <c r="AU193" s="250" t="s">
        <v>1187</v>
      </c>
      <c r="AV193" s="151" t="s">
        <v>1190</v>
      </c>
      <c r="AW193" s="138" t="str">
        <f t="shared" si="139"/>
        <v>ДП ТРЕНД.5А/3</v>
      </c>
      <c r="AY193" s="234" t="s">
        <v>1347</v>
      </c>
      <c r="AZ193" s="137" t="s">
        <v>1723</v>
      </c>
      <c r="BA193" s="138" t="str">
        <f t="shared" si="149"/>
        <v>ДП ЛАДА B.3/2.б/з фальц.</v>
      </c>
      <c r="BK193" s="143" t="s">
        <v>550</v>
      </c>
      <c r="BL193" s="137" t="s">
        <v>62</v>
      </c>
      <c r="BM193" s="138" t="str">
        <f t="shared" si="162"/>
        <v>РС Verto-SLIDE.LINE-3D</v>
      </c>
      <c r="BS193" s="49" t="s">
        <v>652</v>
      </c>
      <c r="BT193" s="41" t="s">
        <v>4086</v>
      </c>
      <c r="BU193" s="70" t="str">
        <f t="shared" si="160"/>
        <v>ДП ЛАДА-НОВА.6А/5.Масив</v>
      </c>
      <c r="BW193" s="108" t="s">
        <v>1346</v>
      </c>
      <c r="BX193" s="248" t="s">
        <v>832</v>
      </c>
      <c r="BY193" s="139" t="str">
        <f t="shared" si="150"/>
        <v>ДП ЛАДА B.3/1.Бронза</v>
      </c>
      <c r="CA193" s="742" t="s">
        <v>3232</v>
      </c>
      <c r="CB193" s="137"/>
      <c r="CC193" s="138"/>
      <c r="CE193" s="147" t="s">
        <v>3300</v>
      </c>
      <c r="CF193" s="62" t="s">
        <v>4261</v>
      </c>
      <c r="CG193" s="139" t="str">
        <f t="shared" si="163"/>
        <v>ДП ЛАДА-ЛОФТ.купе..робоча..ВВ</v>
      </c>
      <c r="CM193" s="742" t="s">
        <v>3317</v>
      </c>
      <c r="CN193" s="137" t="s">
        <v>975</v>
      </c>
      <c r="CO193" s="138" t="str">
        <f t="shared" ref="CO193:CO199" si="165">CONCATENATE(CM193,".",CN193)</f>
        <v>ДП МОДЕРН.фальц..робоча..Standard-MDF</v>
      </c>
      <c r="CY193" s="750" t="s">
        <v>6188</v>
      </c>
      <c r="CZ193" s="152" t="s">
        <v>6201</v>
      </c>
      <c r="DA193" s="139" t="s">
        <v>859</v>
      </c>
      <c r="DD193" s="250" t="s">
        <v>1547</v>
      </c>
      <c r="DE193" s="166">
        <v>8050</v>
      </c>
      <c r="DF193" s="537">
        <f t="shared" si="144"/>
        <v>8050</v>
      </c>
      <c r="DG193" s="529"/>
      <c r="DH193" s="530">
        <f t="shared" si="145"/>
        <v>8050</v>
      </c>
      <c r="DP193" s="738" t="s">
        <v>3888</v>
      </c>
      <c r="DQ193" s="166">
        <v>550</v>
      </c>
      <c r="DR193" s="522">
        <f>ROUND(((DQ193-(DQ193/6))/$DD$3)*$DE$3,2)</f>
        <v>550</v>
      </c>
      <c r="DS193" s="523"/>
      <c r="DT193" s="524">
        <f>IF(DS193="",DR193,
IF(AND($DQ$10&gt;=VLOOKUP(DS193,$DP$5:$DT$9,2,0),$DQ$10&lt;=VLOOKUP(DS193,$DP$5:$DT$9,3,0)),
(DR193*(1-VLOOKUP(DS193,$DP$5:$DT$9,4,0))),
DR193))</f>
        <v>550</v>
      </c>
      <c r="DU193" s="166"/>
      <c r="DV193" s="739" t="s">
        <v>6242</v>
      </c>
      <c r="DW193" s="164">
        <v>1</v>
      </c>
      <c r="DX193" s="525">
        <f t="shared" si="153"/>
        <v>1</v>
      </c>
      <c r="DY193" s="526"/>
      <c r="DZ193" s="527">
        <f t="shared" si="154"/>
        <v>1</v>
      </c>
      <c r="EG193" s="165"/>
      <c r="EH193" s="738" t="s">
        <v>3535</v>
      </c>
      <c r="EI193" s="166">
        <v>0</v>
      </c>
      <c r="EJ193" s="522">
        <f t="shared" si="157"/>
        <v>0</v>
      </c>
      <c r="EK193" s="523"/>
      <c r="EL193" s="524">
        <f t="shared" si="158"/>
        <v>0</v>
      </c>
    </row>
    <row r="194" spans="12:142">
      <c r="L194" s="743" t="s">
        <v>2870</v>
      </c>
      <c r="M194" s="98" t="s">
        <v>2868</v>
      </c>
      <c r="N194" s="94" t="s">
        <v>2098</v>
      </c>
      <c r="O194" s="423" t="s">
        <v>728</v>
      </c>
      <c r="Q194" s="743" t="s">
        <v>2870</v>
      </c>
      <c r="R194" s="98" t="s">
        <v>195</v>
      </c>
      <c r="S194" s="94" t="s">
        <v>139</v>
      </c>
      <c r="U194" s="154" t="s">
        <v>518</v>
      </c>
      <c r="V194" s="151" t="s">
        <v>91</v>
      </c>
      <c r="W194" s="435" t="s">
        <v>5440</v>
      </c>
      <c r="AU194" s="250" t="s">
        <v>1187</v>
      </c>
      <c r="AV194" s="151" t="s">
        <v>1191</v>
      </c>
      <c r="AW194" s="138" t="str">
        <f t="shared" si="139"/>
        <v>ДП ТРЕНД.5Б/3</v>
      </c>
      <c r="AY194" s="224" t="s">
        <v>1347</v>
      </c>
      <c r="AZ194" s="62" t="s">
        <v>1724</v>
      </c>
      <c r="BA194" s="139" t="str">
        <f t="shared" si="149"/>
        <v>ДП ЛАДА B.3/2.купе.</v>
      </c>
      <c r="BK194" s="143" t="s">
        <v>550</v>
      </c>
      <c r="BL194" s="137" t="s">
        <v>5071</v>
      </c>
      <c r="BM194" s="138" t="str">
        <f>CONCATENATE(BK194,".",BL194)</f>
        <v>РС Verto-SLIDE.Е-шпон</v>
      </c>
      <c r="BS194" s="49" t="s">
        <v>653</v>
      </c>
      <c r="BT194" s="41" t="s">
        <v>4086</v>
      </c>
      <c r="BU194" s="70" t="str">
        <f t="shared" si="160"/>
        <v>ДП ЛАДА-НОВА.7/1.Масив</v>
      </c>
      <c r="BW194" s="162" t="s">
        <v>1347</v>
      </c>
      <c r="BX194" s="246" t="s">
        <v>458</v>
      </c>
      <c r="BY194" s="135" t="str">
        <f t="shared" si="150"/>
        <v>ДП ЛАДА B.3/2.Сатин</v>
      </c>
      <c r="CA194" s="742" t="s">
        <v>3232</v>
      </c>
      <c r="CB194" s="137" t="s">
        <v>4316</v>
      </c>
      <c r="CC194" s="138" t="str">
        <f>CONCATENATE(CA194,".",CB194)</f>
        <v>ДП Ідея.фальц.робоча.Magnet цл +3завіс</v>
      </c>
      <c r="CE194" s="228"/>
      <c r="CF194" s="222"/>
      <c r="CG194" s="223"/>
      <c r="CM194" s="742" t="s">
        <v>3317</v>
      </c>
      <c r="CN194" s="137" t="s">
        <v>840</v>
      </c>
      <c r="CO194" s="138" t="str">
        <f t="shared" si="165"/>
        <v>ДП МОДЕРН.фальц..робоча..Standard</v>
      </c>
      <c r="CY194" s="752" t="s">
        <v>4840</v>
      </c>
      <c r="CZ194" s="151" t="s">
        <v>4855</v>
      </c>
      <c r="DA194" s="138" t="s">
        <v>859</v>
      </c>
      <c r="DD194" s="250" t="s">
        <v>1572</v>
      </c>
      <c r="DE194" s="166">
        <v>8050</v>
      </c>
      <c r="DF194" s="537">
        <f t="shared" si="144"/>
        <v>8050</v>
      </c>
      <c r="DG194" s="529"/>
      <c r="DH194" s="530">
        <f t="shared" si="145"/>
        <v>8050</v>
      </c>
      <c r="DP194" s="108" t="s">
        <v>1670</v>
      </c>
      <c r="DQ194" s="164">
        <v>550</v>
      </c>
      <c r="DR194" s="531">
        <f>ROUND(((DQ194-(DQ194/6))/$DD$3)*$DE$3,2)</f>
        <v>550</v>
      </c>
      <c r="DS194" s="526"/>
      <c r="DT194" s="527">
        <f>IF(DS194="",DR194,
IF(AND($DQ$10&gt;=VLOOKUP(DS194,$DP$5:$DT$9,2,0),$DQ$10&lt;=VLOOKUP(DS194,$DP$5:$DT$9,3,0)),
(DR194*(1-VLOOKUP(DS194,$DP$5:$DT$9,4,0))),
DR194))</f>
        <v>550</v>
      </c>
      <c r="DU194" s="166"/>
      <c r="DV194" s="737" t="s">
        <v>4481</v>
      </c>
      <c r="DW194" s="163">
        <v>0</v>
      </c>
      <c r="DX194" s="528">
        <f t="shared" si="153"/>
        <v>0</v>
      </c>
      <c r="DY194" s="529"/>
      <c r="DZ194" s="530">
        <f t="shared" si="154"/>
        <v>0</v>
      </c>
      <c r="EG194" s="165"/>
      <c r="EH194" s="739" t="s">
        <v>3536</v>
      </c>
      <c r="EI194" s="164">
        <v>2150</v>
      </c>
      <c r="EJ194" s="531">
        <f t="shared" si="157"/>
        <v>2150</v>
      </c>
      <c r="EK194" s="526"/>
      <c r="EL194" s="527">
        <f t="shared" si="158"/>
        <v>2150</v>
      </c>
    </row>
    <row r="195" spans="12:142">
      <c r="L195" s="743" t="s">
        <v>2871</v>
      </c>
      <c r="M195" s="98" t="s">
        <v>2868</v>
      </c>
      <c r="N195" s="94" t="s">
        <v>2098</v>
      </c>
      <c r="O195" s="423" t="s">
        <v>728</v>
      </c>
      <c r="Q195" s="743" t="s">
        <v>2871</v>
      </c>
      <c r="R195" s="98" t="s">
        <v>531</v>
      </c>
      <c r="S195" s="94" t="s">
        <v>1014</v>
      </c>
      <c r="U195" s="154" t="s">
        <v>519</v>
      </c>
      <c r="V195" s="151" t="s">
        <v>92</v>
      </c>
      <c r="W195" s="435" t="s">
        <v>5441</v>
      </c>
      <c r="AK195" s="581" t="s">
        <v>1786</v>
      </c>
      <c r="AL195" s="580"/>
      <c r="AM195" s="582"/>
      <c r="AU195" s="251" t="s">
        <v>1192</v>
      </c>
      <c r="AV195" s="101" t="s">
        <v>194</v>
      </c>
      <c r="AW195" s="135" t="str">
        <f t="shared" si="139"/>
        <v>ДП МОДЕРН.1/0</v>
      </c>
      <c r="AY195" s="234" t="s">
        <v>1348</v>
      </c>
      <c r="AZ195" s="137" t="s">
        <v>1725</v>
      </c>
      <c r="BA195" s="138" t="str">
        <f t="shared" si="149"/>
        <v>ДП ЛАДА B.3/3.фальц,</v>
      </c>
      <c r="BK195" s="144" t="s">
        <v>550</v>
      </c>
      <c r="BL195" s="62" t="s">
        <v>1836</v>
      </c>
      <c r="BM195" s="139" t="str">
        <f t="shared" si="162"/>
        <v>РС Verto-SLIDE.Лофт</v>
      </c>
      <c r="BS195" s="49" t="s">
        <v>654</v>
      </c>
      <c r="BT195" s="41" t="s">
        <v>4086</v>
      </c>
      <c r="BU195" s="70" t="str">
        <f t="shared" si="160"/>
        <v>ДП ЛАДА-НОВА.7/2.Масив</v>
      </c>
      <c r="BW195" s="165" t="s">
        <v>1347</v>
      </c>
      <c r="BX195" s="770" t="s">
        <v>3851</v>
      </c>
      <c r="BY195" s="138" t="str">
        <f t="shared" si="150"/>
        <v>ДП ЛАДА B.3/2.Графіт</v>
      </c>
      <c r="CA195" s="424" t="s">
        <v>3232</v>
      </c>
      <c r="CB195" s="62" t="s">
        <v>4319</v>
      </c>
      <c r="CC195" s="139" t="str">
        <f>CONCATENATE(CA195,".",CB195)</f>
        <v>ДП Ідея.фальц.робоча.Magnet ст +3завіс</v>
      </c>
      <c r="CE195" s="145" t="s">
        <v>3301</v>
      </c>
      <c r="CF195" s="137"/>
      <c r="CG195" s="138" t="str">
        <f t="shared" ref="CG195:CG205" si="166">CONCATENATE(CE195,".",CF195)</f>
        <v>ДП Лінда.фальц..робоча..</v>
      </c>
      <c r="CM195" s="742" t="s">
        <v>3317</v>
      </c>
      <c r="CN195" s="137" t="s">
        <v>841</v>
      </c>
      <c r="CO195" s="138" t="str">
        <f t="shared" si="165"/>
        <v>ДП МОДЕРН.фальц..робоча..Verto-FIT</v>
      </c>
      <c r="CY195" s="750" t="s">
        <v>4870</v>
      </c>
      <c r="CZ195" s="152" t="s">
        <v>4885</v>
      </c>
      <c r="DA195" s="139" t="s">
        <v>859</v>
      </c>
      <c r="DD195" s="250" t="s">
        <v>1573</v>
      </c>
      <c r="DE195" s="166">
        <v>8050</v>
      </c>
      <c r="DF195" s="537">
        <f t="shared" si="144"/>
        <v>8050</v>
      </c>
      <c r="DG195" s="529"/>
      <c r="DH195" s="530">
        <f t="shared" si="145"/>
        <v>8050</v>
      </c>
      <c r="DP195" s="741" t="s">
        <v>4145</v>
      </c>
      <c r="DQ195" s="164">
        <v>0</v>
      </c>
      <c r="DR195" s="525">
        <f t="shared" ref="DR195:DR217" si="167">ROUND(((DQ195-(DQ195/6))/$DD$3)*$DE$3,2)</f>
        <v>0</v>
      </c>
      <c r="DS195" s="526"/>
      <c r="DT195" s="527">
        <f t="shared" ref="DT195:DT217" si="168">IF(DS195="",DR195,
IF(AND($DQ$10&gt;=VLOOKUP(DS195,$DP$5:$DT$9,2,0),$DQ$10&lt;=VLOOKUP(DS195,$DP$5:$DT$9,3,0)),
(DR195*(1-VLOOKUP(DS195,$DP$5:$DT$9,4,0))),
DR195))</f>
        <v>0</v>
      </c>
      <c r="DU195" s="166"/>
      <c r="DV195" s="738" t="s">
        <v>4482</v>
      </c>
      <c r="DW195" s="166">
        <v>0</v>
      </c>
      <c r="DX195" s="522">
        <f t="shared" si="153"/>
        <v>0</v>
      </c>
      <c r="DY195" s="523"/>
      <c r="DZ195" s="524">
        <f t="shared" si="154"/>
        <v>0</v>
      </c>
      <c r="EG195" s="165"/>
      <c r="EH195" s="738" t="s">
        <v>5091</v>
      </c>
      <c r="EI195" s="166">
        <v>0</v>
      </c>
      <c r="EJ195" s="522">
        <f>ROUND(((EI195-(EI195/6))/$DD$3)*$DE$3,2)</f>
        <v>0</v>
      </c>
      <c r="EK195" s="523"/>
      <c r="EL195" s="524">
        <f>IF(EK195="",EJ195,
IF(AND($EI$10&gt;=VLOOKUP(EK195,$EH$5:$EL$9,2,0),$EI$10&lt;=VLOOKUP(EK195,$EH$5:$EL$9,3,0)),
(EJ195*(1-VLOOKUP(EK195,$EH$5:$EL$9,4,0))),
EJ195))</f>
        <v>0</v>
      </c>
    </row>
    <row r="196" spans="12:142">
      <c r="L196" s="743" t="s">
        <v>2872</v>
      </c>
      <c r="M196" s="98" t="s">
        <v>2868</v>
      </c>
      <c r="N196" s="94" t="s">
        <v>2098</v>
      </c>
      <c r="O196" s="423" t="s">
        <v>728</v>
      </c>
      <c r="Q196" s="743" t="s">
        <v>2872</v>
      </c>
      <c r="R196" s="98" t="s">
        <v>1314</v>
      </c>
      <c r="S196" s="94" t="s">
        <v>1315</v>
      </c>
      <c r="U196" s="155" t="s">
        <v>520</v>
      </c>
      <c r="V196" s="152" t="s">
        <v>93</v>
      </c>
      <c r="W196" s="599" t="s">
        <v>5442</v>
      </c>
      <c r="AK196" s="583"/>
      <c r="AL196" s="478"/>
      <c r="AM196" s="584"/>
      <c r="AU196" s="250" t="s">
        <v>1192</v>
      </c>
      <c r="AV196" s="151" t="s">
        <v>195</v>
      </c>
      <c r="AW196" s="138" t="str">
        <f t="shared" si="139"/>
        <v>ДП МОДЕРН.1/1</v>
      </c>
      <c r="AY196" s="234" t="s">
        <v>1348</v>
      </c>
      <c r="AZ196" s="137" t="s">
        <v>1723</v>
      </c>
      <c r="BA196" s="138" t="str">
        <f t="shared" si="149"/>
        <v>ДП ЛАДА B.3/3.б/з фальц.</v>
      </c>
      <c r="BK196" s="142" t="s">
        <v>553</v>
      </c>
      <c r="BL196" s="134" t="s">
        <v>4904</v>
      </c>
      <c r="BM196" s="135" t="str">
        <f t="shared" ref="BM196:BM227" si="169">CONCATENATE(BK196,".",BL196)</f>
        <v>ФР Standard.Сімплекс</v>
      </c>
      <c r="BS196" s="49" t="s">
        <v>657</v>
      </c>
      <c r="BT196" s="41" t="s">
        <v>4086</v>
      </c>
      <c r="BU196" s="70" t="str">
        <f t="shared" si="160"/>
        <v>ДП ЛАДА-НОВА.8/1.Масив</v>
      </c>
      <c r="BW196" s="108" t="s">
        <v>1347</v>
      </c>
      <c r="BX196" s="248" t="s">
        <v>832</v>
      </c>
      <c r="BY196" s="139" t="str">
        <f t="shared" si="150"/>
        <v>ДП ЛАДА B.3/2.Бронза</v>
      </c>
      <c r="CA196" s="746" t="s">
        <v>3236</v>
      </c>
      <c r="CB196" s="137" t="s">
        <v>4106</v>
      </c>
      <c r="CC196" s="138" t="str">
        <f>CONCATENATE(CA196,".",CB196)</f>
        <v>ДП Ідея.фальц.неробоча.(ні)</v>
      </c>
      <c r="CE196" s="146" t="s">
        <v>3301</v>
      </c>
      <c r="CF196" s="137" t="s">
        <v>4261</v>
      </c>
      <c r="CG196" s="138" t="str">
        <f t="shared" si="166"/>
        <v>ДП Лінда.фальц..робоча..ВВ</v>
      </c>
      <c r="CM196" s="424" t="s">
        <v>3317</v>
      </c>
      <c r="CN196" s="62" t="s">
        <v>371</v>
      </c>
      <c r="CO196" s="139" t="str">
        <f t="shared" si="165"/>
        <v>ДП МОДЕРН.фальц..робоча..Verto-FIT Plus</v>
      </c>
      <c r="CY196" s="752" t="s">
        <v>6189</v>
      </c>
      <c r="CZ196" s="151" t="s">
        <v>6202</v>
      </c>
      <c r="DA196" s="138" t="s">
        <v>859</v>
      </c>
      <c r="DD196" s="250" t="s">
        <v>1574</v>
      </c>
      <c r="DE196" s="166">
        <v>8050</v>
      </c>
      <c r="DF196" s="537">
        <f t="shared" si="144"/>
        <v>8050</v>
      </c>
      <c r="DG196" s="529"/>
      <c r="DH196" s="530">
        <f t="shared" si="145"/>
        <v>8050</v>
      </c>
      <c r="DP196" s="162" t="s">
        <v>1607</v>
      </c>
      <c r="DQ196" s="163">
        <v>0</v>
      </c>
      <c r="DR196" s="528">
        <f t="shared" si="167"/>
        <v>0</v>
      </c>
      <c r="DS196" s="529"/>
      <c r="DT196" s="530">
        <f t="shared" si="168"/>
        <v>0</v>
      </c>
      <c r="DU196" s="166"/>
      <c r="DV196" s="739" t="s">
        <v>4483</v>
      </c>
      <c r="DW196" s="164">
        <v>0</v>
      </c>
      <c r="DX196" s="531">
        <f>ROUND(((DW196-(DW196/6))/$DD$3)*$DE$3,2)</f>
        <v>0</v>
      </c>
      <c r="DY196" s="526"/>
      <c r="DZ196" s="527">
        <f>IF(DY196="",DX196,
IF(AND($DW$10&gt;=VLOOKUP(DY196,$DV$5:$DZ$9,2,0),$DW$10&lt;=VLOOKUP(DY196,$DV$5:$DZ$9,3,0)),
(DX196*(1-VLOOKUP(DY196,$DV$5:$DZ$9,4,0))),
DX196))</f>
        <v>0</v>
      </c>
      <c r="EG196" s="165"/>
      <c r="EH196" s="739" t="s">
        <v>5092</v>
      </c>
      <c r="EI196" s="164">
        <v>2300</v>
      </c>
      <c r="EJ196" s="531">
        <f>ROUND(((EI196-(EI196/6))/$DD$3)*$DE$3,2)</f>
        <v>2300</v>
      </c>
      <c r="EK196" s="526"/>
      <c r="EL196" s="527">
        <f>IF(EK196="",EJ196,
IF(AND($EI$10&gt;=VLOOKUP(EK196,$EH$5:$EL$9,2,0),$EI$10&lt;=VLOOKUP(EK196,$EH$5:$EL$9,3,0)),
(EJ196*(1-VLOOKUP(EK196,$EH$5:$EL$9,4,0))),
EJ196))</f>
        <v>2300</v>
      </c>
    </row>
    <row r="197" spans="12:142">
      <c r="L197" s="743" t="s">
        <v>2873</v>
      </c>
      <c r="M197" s="98" t="s">
        <v>2868</v>
      </c>
      <c r="N197" s="94" t="s">
        <v>2098</v>
      </c>
      <c r="O197" s="423" t="s">
        <v>728</v>
      </c>
      <c r="P197" s="21"/>
      <c r="Q197" s="743" t="s">
        <v>2873</v>
      </c>
      <c r="R197" s="98" t="s">
        <v>1388</v>
      </c>
      <c r="S197" s="94" t="s">
        <v>1393</v>
      </c>
      <c r="U197" s="815"/>
      <c r="V197" s="816"/>
      <c r="W197" s="808"/>
      <c r="AK197" s="778" t="s">
        <v>4106</v>
      </c>
      <c r="AL197" s="152" t="s">
        <v>167</v>
      </c>
      <c r="AM197" s="586" t="s">
        <v>2309</v>
      </c>
      <c r="AU197" s="250" t="s">
        <v>1192</v>
      </c>
      <c r="AV197" s="151" t="s">
        <v>185</v>
      </c>
      <c r="AW197" s="138" t="str">
        <f t="shared" si="139"/>
        <v>ДП МОДЕРН.3/0</v>
      </c>
      <c r="AY197" s="224" t="s">
        <v>1348</v>
      </c>
      <c r="AZ197" s="62" t="s">
        <v>1724</v>
      </c>
      <c r="BA197" s="139" t="str">
        <f t="shared" si="149"/>
        <v>ДП ЛАДА B.3/3.купе.</v>
      </c>
      <c r="BK197" s="143" t="s">
        <v>553</v>
      </c>
      <c r="BL197" s="137" t="s">
        <v>409</v>
      </c>
      <c r="BM197" s="138" t="str">
        <f t="shared" si="169"/>
        <v>ФР Standard.Verto-Cell</v>
      </c>
      <c r="BS197" s="426"/>
      <c r="BT197" s="427"/>
      <c r="BU197" s="428"/>
      <c r="BW197" s="162" t="s">
        <v>1348</v>
      </c>
      <c r="BX197" s="246" t="s">
        <v>458</v>
      </c>
      <c r="BY197" s="135" t="str">
        <f t="shared" si="150"/>
        <v>ДП ЛАДА B.3/3.Сатин</v>
      </c>
      <c r="CA197" s="742" t="s">
        <v>3236</v>
      </c>
      <c r="CB197" s="137"/>
      <c r="CC197" s="21"/>
      <c r="CE197" s="147" t="s">
        <v>3301</v>
      </c>
      <c r="CF197" s="62" t="s">
        <v>739</v>
      </c>
      <c r="CG197" s="139" t="str">
        <f t="shared" si="166"/>
        <v>ДП Лінда.фальц..робоча..ВП</v>
      </c>
      <c r="CM197" s="424" t="s">
        <v>3318</v>
      </c>
      <c r="CN197" s="62" t="s">
        <v>4106</v>
      </c>
      <c r="CO197" s="70" t="str">
        <f t="shared" si="165"/>
        <v>ДП МОДЕРН.фальц..неробоча..(ні)</v>
      </c>
      <c r="CY197" s="750" t="s">
        <v>6190</v>
      </c>
      <c r="CZ197" s="152" t="s">
        <v>6203</v>
      </c>
      <c r="DA197" s="139" t="s">
        <v>859</v>
      </c>
      <c r="DD197" s="250" t="s">
        <v>1575</v>
      </c>
      <c r="DE197" s="166">
        <v>8050</v>
      </c>
      <c r="DF197" s="537">
        <f t="shared" si="144"/>
        <v>8050</v>
      </c>
      <c r="DG197" s="529"/>
      <c r="DH197" s="530">
        <f t="shared" si="145"/>
        <v>8050</v>
      </c>
      <c r="DP197" s="738" t="s">
        <v>3889</v>
      </c>
      <c r="DQ197" s="166">
        <v>550</v>
      </c>
      <c r="DR197" s="522">
        <f t="shared" si="167"/>
        <v>550</v>
      </c>
      <c r="DS197" s="523"/>
      <c r="DT197" s="524">
        <f t="shared" si="168"/>
        <v>550</v>
      </c>
      <c r="DU197" s="166"/>
      <c r="DV197" s="739" t="s">
        <v>6243</v>
      </c>
      <c r="DW197" s="164">
        <v>0</v>
      </c>
      <c r="DX197" s="531">
        <f t="shared" si="153"/>
        <v>0</v>
      </c>
      <c r="DY197" s="526"/>
      <c r="DZ197" s="527">
        <f t="shared" si="154"/>
        <v>0</v>
      </c>
      <c r="EG197" s="165"/>
      <c r="EH197" s="738" t="s">
        <v>3537</v>
      </c>
      <c r="EI197" s="166">
        <v>0</v>
      </c>
      <c r="EJ197" s="522">
        <f t="shared" si="157"/>
        <v>0</v>
      </c>
      <c r="EK197" s="523"/>
      <c r="EL197" s="524">
        <f t="shared" si="158"/>
        <v>0</v>
      </c>
    </row>
    <row r="198" spans="12:142">
      <c r="L198" s="743" t="s">
        <v>2874</v>
      </c>
      <c r="M198" s="98" t="s">
        <v>2868</v>
      </c>
      <c r="N198" s="94" t="s">
        <v>2098</v>
      </c>
      <c r="O198" s="423" t="s">
        <v>728</v>
      </c>
      <c r="Q198" s="743" t="s">
        <v>2874</v>
      </c>
      <c r="R198" s="98" t="s">
        <v>1389</v>
      </c>
      <c r="S198" s="94" t="s">
        <v>1394</v>
      </c>
      <c r="U198" s="251" t="s">
        <v>1113</v>
      </c>
      <c r="V198" s="101" t="s">
        <v>239</v>
      </c>
      <c r="W198" s="100" t="s">
        <v>2183</v>
      </c>
      <c r="AK198" s="591"/>
      <c r="AL198" s="475"/>
      <c r="AM198" s="592"/>
      <c r="AU198" s="250" t="s">
        <v>1192</v>
      </c>
      <c r="AV198" s="151" t="s">
        <v>186</v>
      </c>
      <c r="AW198" s="138" t="str">
        <f t="shared" si="139"/>
        <v>ДП МОДЕРН.3/1</v>
      </c>
      <c r="AY198" s="234" t="s">
        <v>1349</v>
      </c>
      <c r="AZ198" s="137" t="s">
        <v>1725</v>
      </c>
      <c r="BA198" s="138" t="str">
        <f t="shared" si="149"/>
        <v>ДП ЛАДА B.3/4.фальц,</v>
      </c>
      <c r="BK198" s="143" t="s">
        <v>553</v>
      </c>
      <c r="BL198" s="137"/>
      <c r="BM198" s="138" t="str">
        <f t="shared" si="169"/>
        <v>ФР Standard.</v>
      </c>
      <c r="BS198" s="58" t="s">
        <v>2654</v>
      </c>
      <c r="BT198" s="56" t="s">
        <v>4086</v>
      </c>
      <c r="BU198" s="70" t="str">
        <f t="shared" ref="BU198:BU207" si="170">CONCATENATE(BS198,".",BT198)</f>
        <v>ДП Міра.1/0.Масив</v>
      </c>
      <c r="BW198" s="165" t="s">
        <v>1348</v>
      </c>
      <c r="BX198" s="770" t="s">
        <v>3851</v>
      </c>
      <c r="BY198" s="138" t="str">
        <f t="shared" si="150"/>
        <v>ДП ЛАДА B.3/3.Графіт</v>
      </c>
      <c r="CA198" s="742" t="s">
        <v>3236</v>
      </c>
      <c r="CB198" s="137" t="s">
        <v>4323</v>
      </c>
      <c r="CC198" s="138" t="str">
        <f>CONCATENATE(CA198,".",CB198)</f>
        <v>ДП Ідея.фальц.неробоча.Пл Stand +2завіс</v>
      </c>
      <c r="CE198" s="145" t="s">
        <v>3302</v>
      </c>
      <c r="CF198" s="137"/>
      <c r="CG198" s="138" t="str">
        <f t="shared" si="166"/>
        <v>ДП Лінда.фальц..неробоча..</v>
      </c>
      <c r="CM198" s="86" t="s">
        <v>3319</v>
      </c>
      <c r="CN198" s="56" t="s">
        <v>941</v>
      </c>
      <c r="CO198" s="70" t="str">
        <f t="shared" si="165"/>
        <v>ДП МОДЕРН.б/з фальц..робоча..Verto-FIT Comfort</v>
      </c>
      <c r="CY198" s="752" t="s">
        <v>4841</v>
      </c>
      <c r="CZ198" s="151" t="s">
        <v>4855</v>
      </c>
      <c r="DA198" s="138" t="s">
        <v>859</v>
      </c>
      <c r="DD198" s="250" t="s">
        <v>1576</v>
      </c>
      <c r="DE198" s="166">
        <v>8050</v>
      </c>
      <c r="DF198" s="537">
        <f t="shared" si="144"/>
        <v>8050</v>
      </c>
      <c r="DG198" s="529"/>
      <c r="DH198" s="530">
        <f t="shared" si="145"/>
        <v>8050</v>
      </c>
      <c r="DP198" s="108" t="s">
        <v>1664</v>
      </c>
      <c r="DQ198" s="164">
        <v>550</v>
      </c>
      <c r="DR198" s="531">
        <f t="shared" si="167"/>
        <v>550</v>
      </c>
      <c r="DS198" s="526"/>
      <c r="DT198" s="527">
        <f t="shared" si="168"/>
        <v>550</v>
      </c>
      <c r="DU198" s="166"/>
      <c r="DV198" s="738" t="s">
        <v>4484</v>
      </c>
      <c r="DW198" s="166">
        <v>80</v>
      </c>
      <c r="DX198" s="522">
        <f t="shared" si="153"/>
        <v>80</v>
      </c>
      <c r="DY198" s="523"/>
      <c r="DZ198" s="524">
        <f t="shared" si="154"/>
        <v>80</v>
      </c>
      <c r="EG198" s="165"/>
      <c r="EH198" s="739" t="s">
        <v>3538</v>
      </c>
      <c r="EI198" s="164">
        <v>2300</v>
      </c>
      <c r="EJ198" s="531">
        <f t="shared" si="157"/>
        <v>2300</v>
      </c>
      <c r="EK198" s="526"/>
      <c r="EL198" s="527">
        <f t="shared" si="158"/>
        <v>2300</v>
      </c>
    </row>
    <row r="199" spans="12:142">
      <c r="L199" s="743" t="s">
        <v>2875</v>
      </c>
      <c r="M199" s="98" t="s">
        <v>2868</v>
      </c>
      <c r="N199" s="94" t="s">
        <v>2098</v>
      </c>
      <c r="O199" s="423" t="s">
        <v>728</v>
      </c>
      <c r="Q199" s="743" t="s">
        <v>2875</v>
      </c>
      <c r="R199" s="98" t="s">
        <v>1390</v>
      </c>
      <c r="S199" s="94" t="s">
        <v>1395</v>
      </c>
      <c r="U199" s="250" t="s">
        <v>1114</v>
      </c>
      <c r="V199" s="151" t="s">
        <v>240</v>
      </c>
      <c r="W199" s="159" t="s">
        <v>2184</v>
      </c>
      <c r="AK199" s="789" t="s">
        <v>4323</v>
      </c>
      <c r="AL199" s="101" t="s">
        <v>174</v>
      </c>
      <c r="AM199" s="589" t="s">
        <v>2310</v>
      </c>
      <c r="AU199" s="250" t="s">
        <v>1192</v>
      </c>
      <c r="AV199" s="151" t="s">
        <v>199</v>
      </c>
      <c r="AW199" s="138" t="str">
        <f t="shared" si="139"/>
        <v>ДП МОДЕРН.3/2</v>
      </c>
      <c r="AY199" s="234" t="s">
        <v>1349</v>
      </c>
      <c r="AZ199" s="137" t="s">
        <v>1723</v>
      </c>
      <c r="BA199" s="138" t="str">
        <f t="shared" si="149"/>
        <v>ДП ЛАДА B.3/4.б/з фальц.</v>
      </c>
      <c r="BK199" s="143" t="s">
        <v>553</v>
      </c>
      <c r="BL199" s="137" t="s">
        <v>1893</v>
      </c>
      <c r="BM199" s="138" t="str">
        <f t="shared" si="169"/>
        <v>ФР Standard.Uni-Mat</v>
      </c>
      <c r="BS199" s="58" t="s">
        <v>2655</v>
      </c>
      <c r="BT199" s="56" t="s">
        <v>4086</v>
      </c>
      <c r="BU199" s="70" t="str">
        <f t="shared" si="170"/>
        <v>ДП Міра.1/1.Масив</v>
      </c>
      <c r="BW199" s="108" t="s">
        <v>1348</v>
      </c>
      <c r="BX199" s="248" t="s">
        <v>832</v>
      </c>
      <c r="BY199" s="139" t="str">
        <f t="shared" si="150"/>
        <v>ДП ЛАДА B.3/3.Бронза</v>
      </c>
      <c r="CA199" s="742" t="s">
        <v>3236</v>
      </c>
      <c r="CB199" s="137" t="s">
        <v>4325</v>
      </c>
      <c r="CC199" s="138" t="str">
        <f>CONCATENATE(CA199,".",CB199)</f>
        <v>ДП Ідея.фальц.неробоча.Пл Stand +3завіс</v>
      </c>
      <c r="CE199" s="146" t="s">
        <v>3302</v>
      </c>
      <c r="CF199" s="137" t="s">
        <v>4261</v>
      </c>
      <c r="CG199" s="138" t="str">
        <f t="shared" si="166"/>
        <v>ДП Лінда.фальц..неробоча..ВВ</v>
      </c>
      <c r="CM199" s="86" t="s">
        <v>3320</v>
      </c>
      <c r="CN199" s="56" t="s">
        <v>841</v>
      </c>
      <c r="CO199" s="70" t="str">
        <f t="shared" si="165"/>
        <v>ДП МОДЕРН.купе..робоча..Verto-FIT</v>
      </c>
      <c r="CY199" s="750" t="s">
        <v>4871</v>
      </c>
      <c r="CZ199" s="152" t="s">
        <v>4885</v>
      </c>
      <c r="DA199" s="139" t="s">
        <v>859</v>
      </c>
      <c r="DD199" s="249" t="s">
        <v>1577</v>
      </c>
      <c r="DE199" s="164">
        <v>8050</v>
      </c>
      <c r="DF199" s="537">
        <f t="shared" si="144"/>
        <v>8050</v>
      </c>
      <c r="DG199" s="529"/>
      <c r="DH199" s="530">
        <f t="shared" si="145"/>
        <v>8050</v>
      </c>
      <c r="DP199" s="165" t="s">
        <v>1608</v>
      </c>
      <c r="DQ199" s="166">
        <v>0</v>
      </c>
      <c r="DR199" s="522">
        <f t="shared" si="167"/>
        <v>0</v>
      </c>
      <c r="DS199" s="523"/>
      <c r="DT199" s="524">
        <f t="shared" si="168"/>
        <v>0</v>
      </c>
      <c r="DU199" s="166"/>
      <c r="DV199" s="738" t="s">
        <v>4485</v>
      </c>
      <c r="DW199" s="166">
        <v>80</v>
      </c>
      <c r="DX199" s="522">
        <f t="shared" si="153"/>
        <v>80</v>
      </c>
      <c r="DY199" s="523"/>
      <c r="DZ199" s="524">
        <f t="shared" si="154"/>
        <v>80</v>
      </c>
      <c r="EG199" s="165"/>
      <c r="EH199" s="538"/>
      <c r="EI199" s="539"/>
      <c r="EJ199" s="650"/>
      <c r="EK199" s="651"/>
      <c r="EL199" s="652"/>
    </row>
    <row r="200" spans="12:142">
      <c r="L200" s="743" t="s">
        <v>2876</v>
      </c>
      <c r="M200" s="98" t="s">
        <v>2868</v>
      </c>
      <c r="N200" s="94" t="s">
        <v>2098</v>
      </c>
      <c r="O200" s="423" t="s">
        <v>728</v>
      </c>
      <c r="Q200" s="743" t="s">
        <v>2876</v>
      </c>
      <c r="R200" s="98" t="s">
        <v>1391</v>
      </c>
      <c r="S200" s="94" t="s">
        <v>1396</v>
      </c>
      <c r="U200" s="250" t="s">
        <v>1115</v>
      </c>
      <c r="V200" s="151" t="s">
        <v>241</v>
      </c>
      <c r="W200" s="159" t="s">
        <v>2185</v>
      </c>
      <c r="AK200" s="777" t="s">
        <v>4330</v>
      </c>
      <c r="AL200" s="151" t="s">
        <v>159</v>
      </c>
      <c r="AM200" s="584" t="s">
        <v>2311</v>
      </c>
      <c r="AU200" s="250" t="s">
        <v>1192</v>
      </c>
      <c r="AV200" s="151" t="s">
        <v>200</v>
      </c>
      <c r="AW200" s="138" t="str">
        <f t="shared" si="139"/>
        <v>ДП МОДЕРН.3/3</v>
      </c>
      <c r="AY200" s="224" t="s">
        <v>1349</v>
      </c>
      <c r="AZ200" s="62" t="s">
        <v>1724</v>
      </c>
      <c r="BA200" s="139" t="str">
        <f t="shared" si="149"/>
        <v>ДП ЛАДА B.3/4.купе.</v>
      </c>
      <c r="BK200" s="143" t="s">
        <v>553</v>
      </c>
      <c r="BL200" s="137" t="s">
        <v>557</v>
      </c>
      <c r="BM200" s="138" t="str">
        <f t="shared" si="169"/>
        <v>ФР Standard.Резист</v>
      </c>
      <c r="BS200" s="58" t="s">
        <v>2656</v>
      </c>
      <c r="BT200" s="56" t="s">
        <v>4086</v>
      </c>
      <c r="BU200" s="70" t="str">
        <f t="shared" si="170"/>
        <v>ДП Міра.1/2.Масив</v>
      </c>
      <c r="BW200" s="162" t="s">
        <v>1349</v>
      </c>
      <c r="BX200" s="246" t="s">
        <v>458</v>
      </c>
      <c r="BY200" s="135" t="str">
        <f t="shared" si="150"/>
        <v>ДП ЛАДА B.3/4.Сатин</v>
      </c>
      <c r="CA200" s="742" t="s">
        <v>3236</v>
      </c>
      <c r="CB200" s="137"/>
      <c r="CC200" s="138"/>
      <c r="CE200" s="147" t="s">
        <v>3302</v>
      </c>
      <c r="CF200" s="62" t="s">
        <v>739</v>
      </c>
      <c r="CG200" s="139" t="str">
        <f t="shared" si="166"/>
        <v>ДП Лінда.фальц..неробоча..ВП</v>
      </c>
      <c r="CM200" s="432"/>
      <c r="CN200" s="427"/>
      <c r="CO200" s="428"/>
      <c r="CY200" s="752" t="s">
        <v>6191</v>
      </c>
      <c r="CZ200" s="151" t="s">
        <v>6202</v>
      </c>
      <c r="DA200" s="138" t="s">
        <v>859</v>
      </c>
      <c r="DD200" s="740" t="s">
        <v>5093</v>
      </c>
      <c r="DE200" s="166">
        <v>8470</v>
      </c>
      <c r="DF200" s="537">
        <f t="shared" ref="DF200:DF210" si="171">ROUND(((DE200-(DE200/6))/$DD$3)*$DE$3,2)</f>
        <v>8470</v>
      </c>
      <c r="DG200" s="529"/>
      <c r="DH200" s="530">
        <f t="shared" ref="DH200:DH208" si="172">IF(DG200="",DF200,
IF(AND($DE$10&gt;=VLOOKUP(DG200,$DD$5:$DH$9,2,0),$DE$10&lt;=VLOOKUP(DG200,$DD$5:$DH$9,3,0)),
(DF200*(1-VLOOKUP(DG200,$DD$5:$DH$9,4,0))),
DF200))</f>
        <v>8470</v>
      </c>
      <c r="DP200" s="738" t="s">
        <v>3890</v>
      </c>
      <c r="DQ200" s="166">
        <v>550</v>
      </c>
      <c r="DR200" s="522">
        <f t="shared" si="167"/>
        <v>550</v>
      </c>
      <c r="DS200" s="523"/>
      <c r="DT200" s="524">
        <f t="shared" si="168"/>
        <v>550</v>
      </c>
      <c r="DU200" s="166"/>
      <c r="DV200" s="739" t="s">
        <v>4486</v>
      </c>
      <c r="DW200" s="164">
        <v>80</v>
      </c>
      <c r="DX200" s="531">
        <f>ROUND(((DW200-(DW200/6))/$DD$3)*$DE$3,2)</f>
        <v>80</v>
      </c>
      <c r="DY200" s="526"/>
      <c r="DZ200" s="527">
        <f>IF(DY200="",DX200,
IF(AND($DW$10&gt;=VLOOKUP(DY200,$DV$5:$DZ$9,2,0),$DW$10&lt;=VLOOKUP(DY200,$DV$5:$DZ$9,3,0)),
(DX200*(1-VLOOKUP(DY200,$DV$5:$DZ$9,4,0))),
DX200))</f>
        <v>80</v>
      </c>
      <c r="EG200" s="165"/>
      <c r="EH200" s="737" t="s">
        <v>4966</v>
      </c>
      <c r="EI200" s="163">
        <v>0</v>
      </c>
      <c r="EJ200" s="537">
        <f>ROUND(((EI200-(EI200/6))/$DD$3)*$DE$3,2)</f>
        <v>0</v>
      </c>
      <c r="EK200" s="529"/>
      <c r="EL200" s="530">
        <f>IF(EK200="",EJ200,
IF(AND($EI$10&gt;=VLOOKUP(EK200,$EH$5:$EL$9,2,0),$EI$10&lt;=VLOOKUP(EK200,$EH$5:$EL$9,3,0)),
(EJ200*(1-VLOOKUP(EK200,$EH$5:$EL$9,4,0))),
EJ200))</f>
        <v>0</v>
      </c>
    </row>
    <row r="201" spans="12:142">
      <c r="L201" s="743" t="s">
        <v>2877</v>
      </c>
      <c r="M201" s="98" t="s">
        <v>2868</v>
      </c>
      <c r="N201" s="94" t="s">
        <v>2098</v>
      </c>
      <c r="O201" s="423" t="s">
        <v>728</v>
      </c>
      <c r="Q201" s="743" t="s">
        <v>2877</v>
      </c>
      <c r="R201" s="98" t="s">
        <v>1392</v>
      </c>
      <c r="S201" s="94" t="s">
        <v>1397</v>
      </c>
      <c r="U201" s="250" t="s">
        <v>1116</v>
      </c>
      <c r="V201" s="151" t="s">
        <v>242</v>
      </c>
      <c r="W201" s="159" t="s">
        <v>2186</v>
      </c>
      <c r="AK201" s="778" t="s">
        <v>4335</v>
      </c>
      <c r="AL201" s="152" t="s">
        <v>160</v>
      </c>
      <c r="AM201" s="586" t="s">
        <v>2312</v>
      </c>
      <c r="AU201" s="250" t="s">
        <v>1192</v>
      </c>
      <c r="AV201" s="151" t="s">
        <v>524</v>
      </c>
      <c r="AW201" s="138" t="str">
        <f t="shared" si="139"/>
        <v>ДП МОДЕРН.3А/1</v>
      </c>
      <c r="AY201" s="234" t="s">
        <v>1350</v>
      </c>
      <c r="AZ201" s="137" t="s">
        <v>1725</v>
      </c>
      <c r="BA201" s="138" t="str">
        <f t="shared" si="149"/>
        <v>ДП ЛАДА B.3/5.фальц,</v>
      </c>
      <c r="BK201" s="143" t="s">
        <v>553</v>
      </c>
      <c r="BL201" s="137" t="s">
        <v>62</v>
      </c>
      <c r="BM201" s="138" t="str">
        <f t="shared" si="169"/>
        <v>ФР Standard.LINE-3D</v>
      </c>
      <c r="BS201" s="58" t="s">
        <v>2657</v>
      </c>
      <c r="BT201" s="56" t="s">
        <v>4086</v>
      </c>
      <c r="BU201" s="70" t="str">
        <f t="shared" si="170"/>
        <v>ДП Міра.1/3.Масив</v>
      </c>
      <c r="BW201" s="165" t="s">
        <v>1349</v>
      </c>
      <c r="BX201" s="770" t="s">
        <v>3851</v>
      </c>
      <c r="BY201" s="138" t="str">
        <f t="shared" si="150"/>
        <v>ДП ЛАДА B.3/4.Графіт</v>
      </c>
      <c r="CA201" s="742" t="s">
        <v>3236</v>
      </c>
      <c r="CB201" s="137" t="s">
        <v>4330</v>
      </c>
      <c r="CC201" s="138" t="str">
        <f>CONCATENATE(CA201,".",CB201)</f>
        <v>ДП Ідея.фальц.неробоча.Пл Soft +2завіс</v>
      </c>
      <c r="CE201" s="145" t="s">
        <v>3303</v>
      </c>
      <c r="CF201" s="137"/>
      <c r="CG201" s="138" t="str">
        <f t="shared" si="166"/>
        <v>ДП Лінда.б/з фальц..робоча..</v>
      </c>
      <c r="CM201" s="742" t="s">
        <v>3321</v>
      </c>
      <c r="CN201" s="137" t="s">
        <v>975</v>
      </c>
      <c r="CO201" s="138" t="str">
        <f t="shared" ref="CO201:CO207" si="173">CONCATENATE(CM201,".",CN201)</f>
        <v>ДП ПОЛЛО.фальц..робоча..Standard-MDF</v>
      </c>
      <c r="CY201" s="750" t="s">
        <v>6192</v>
      </c>
      <c r="CZ201" s="152" t="s">
        <v>6203</v>
      </c>
      <c r="DA201" s="139" t="s">
        <v>859</v>
      </c>
      <c r="DD201" s="740" t="s">
        <v>5094</v>
      </c>
      <c r="DE201" s="166">
        <v>8470</v>
      </c>
      <c r="DF201" s="537">
        <f t="shared" si="171"/>
        <v>8470</v>
      </c>
      <c r="DG201" s="529"/>
      <c r="DH201" s="530">
        <f t="shared" si="172"/>
        <v>8470</v>
      </c>
      <c r="DP201" s="108" t="s">
        <v>1663</v>
      </c>
      <c r="DQ201" s="164">
        <v>550</v>
      </c>
      <c r="DR201" s="531">
        <f t="shared" si="167"/>
        <v>550</v>
      </c>
      <c r="DS201" s="526"/>
      <c r="DT201" s="527">
        <f t="shared" si="168"/>
        <v>550</v>
      </c>
      <c r="DU201" s="166"/>
      <c r="DV201" s="739" t="s">
        <v>6244</v>
      </c>
      <c r="DW201" s="164">
        <v>80</v>
      </c>
      <c r="DX201" s="531">
        <f t="shared" si="153"/>
        <v>80</v>
      </c>
      <c r="DY201" s="526"/>
      <c r="DZ201" s="527">
        <f t="shared" si="154"/>
        <v>80</v>
      </c>
      <c r="EG201" s="165"/>
      <c r="EH201" s="739" t="s">
        <v>4967</v>
      </c>
      <c r="EI201" s="164">
        <v>1800</v>
      </c>
      <c r="EJ201" s="531">
        <f>ROUND(((EI201-(EI201/6))/$DD$3)*$DE$3,2)</f>
        <v>1800</v>
      </c>
      <c r="EK201" s="526"/>
      <c r="EL201" s="527">
        <f>IF(EK201="",EJ201,
IF(AND($EI$10&gt;=VLOOKUP(EK201,$EH$5:$EL$9,2,0),$EI$10&lt;=VLOOKUP(EK201,$EH$5:$EL$9,3,0)),
(EJ201*(1-VLOOKUP(EK201,$EH$5:$EL$9,4,0))),
EJ201))</f>
        <v>1800</v>
      </c>
    </row>
    <row r="202" spans="12:142">
      <c r="L202" s="144"/>
      <c r="M202" s="48"/>
      <c r="N202" s="94"/>
      <c r="O202" s="423"/>
      <c r="Q202" s="144"/>
      <c r="R202" s="98"/>
      <c r="S202" s="94"/>
      <c r="U202" s="249" t="s">
        <v>1117</v>
      </c>
      <c r="V202" s="152" t="s">
        <v>243</v>
      </c>
      <c r="W202" s="160" t="s">
        <v>2187</v>
      </c>
      <c r="AK202" s="778" t="s">
        <v>6162</v>
      </c>
      <c r="AL202" s="152" t="s">
        <v>6448</v>
      </c>
      <c r="AM202" s="586" t="s">
        <v>6163</v>
      </c>
      <c r="AU202" s="249" t="s">
        <v>1192</v>
      </c>
      <c r="AV202" s="152" t="s">
        <v>668</v>
      </c>
      <c r="AW202" s="139" t="str">
        <f t="shared" si="139"/>
        <v>ДП МОДЕРН.3А/2</v>
      </c>
      <c r="AY202" s="234" t="s">
        <v>1350</v>
      </c>
      <c r="AZ202" s="137" t="s">
        <v>1723</v>
      </c>
      <c r="BA202" s="138" t="str">
        <f t="shared" si="149"/>
        <v>ДП ЛАДА B.3/5.б/з фальц.</v>
      </c>
      <c r="BK202" s="143" t="s">
        <v>553</v>
      </c>
      <c r="BL202" s="137" t="s">
        <v>5071</v>
      </c>
      <c r="BM202" s="138" t="str">
        <f t="shared" si="169"/>
        <v>ФР Standard.Е-шпон</v>
      </c>
      <c r="BS202" s="58" t="s">
        <v>2658</v>
      </c>
      <c r="BT202" s="56" t="s">
        <v>4086</v>
      </c>
      <c r="BU202" s="70" t="str">
        <f t="shared" si="170"/>
        <v>ДП Міра.1/4.Масив</v>
      </c>
      <c r="BW202" s="108" t="s">
        <v>1349</v>
      </c>
      <c r="BX202" s="248" t="s">
        <v>832</v>
      </c>
      <c r="BY202" s="139" t="str">
        <f t="shared" si="150"/>
        <v>ДП ЛАДА B.3/4.Бронза</v>
      </c>
      <c r="CA202" s="742" t="s">
        <v>3236</v>
      </c>
      <c r="CB202" s="137" t="s">
        <v>4333</v>
      </c>
      <c r="CC202" s="138" t="str">
        <f>CONCATENATE(CA202,".",CB202)</f>
        <v>ДП Ідея.фальц.неробоча.Пл Soft +3завіс</v>
      </c>
      <c r="CE202" s="146" t="s">
        <v>3303</v>
      </c>
      <c r="CF202" s="137" t="s">
        <v>4261</v>
      </c>
      <c r="CG202" s="138" t="str">
        <f t="shared" si="166"/>
        <v>ДП Лінда.б/з фальц..робоча..ВВ</v>
      </c>
      <c r="CM202" s="742" t="s">
        <v>3321</v>
      </c>
      <c r="CN202" s="137" t="s">
        <v>840</v>
      </c>
      <c r="CO202" s="138" t="str">
        <f t="shared" si="173"/>
        <v>ДП ПОЛЛО.фальц..робоча..Standard</v>
      </c>
      <c r="CY202" s="437"/>
      <c r="CZ202" s="95"/>
      <c r="DA202" s="223"/>
      <c r="DD202" s="740" t="s">
        <v>5095</v>
      </c>
      <c r="DE202" s="166">
        <v>8470</v>
      </c>
      <c r="DF202" s="537">
        <f t="shared" si="171"/>
        <v>8470</v>
      </c>
      <c r="DG202" s="529"/>
      <c r="DH202" s="530">
        <f t="shared" si="172"/>
        <v>8470</v>
      </c>
      <c r="DP202" s="741" t="s">
        <v>4146</v>
      </c>
      <c r="DQ202" s="164">
        <v>0</v>
      </c>
      <c r="DR202" s="525">
        <f t="shared" si="167"/>
        <v>0</v>
      </c>
      <c r="DS202" s="526"/>
      <c r="DT202" s="527">
        <f t="shared" si="168"/>
        <v>0</v>
      </c>
      <c r="DU202" s="166"/>
      <c r="DV202" s="738" t="s">
        <v>4487</v>
      </c>
      <c r="DW202" s="166">
        <v>800.00000000000011</v>
      </c>
      <c r="DX202" s="522">
        <f t="shared" ref="DX202:DX207" si="174">ROUND(((DW202-(DW202/6))/$DD$3)*$DE$3,2)</f>
        <v>800</v>
      </c>
      <c r="DY202" s="523"/>
      <c r="DZ202" s="524">
        <f t="shared" ref="DZ202:DZ207" si="175">IF(DY202="",DX202,
IF(AND($DW$10&gt;=VLOOKUP(DY202,$DV$5:$DZ$9,2,0),$DW$10&lt;=VLOOKUP(DY202,$DV$5:$DZ$9,3,0)),
(DX202*(1-VLOOKUP(DY202,$DV$5:$DZ$9,4,0))),
DX202))</f>
        <v>800</v>
      </c>
      <c r="EG202" s="165"/>
      <c r="EH202" s="738" t="s">
        <v>3539</v>
      </c>
      <c r="EI202" s="166">
        <v>0</v>
      </c>
      <c r="EJ202" s="522">
        <f t="shared" si="157"/>
        <v>0</v>
      </c>
      <c r="EK202" s="523"/>
      <c r="EL202" s="524">
        <f t="shared" si="158"/>
        <v>0</v>
      </c>
    </row>
    <row r="203" spans="12:142">
      <c r="L203" s="743" t="s">
        <v>2795</v>
      </c>
      <c r="M203" s="825" t="s">
        <v>2794</v>
      </c>
      <c r="N203" s="94" t="s">
        <v>2099</v>
      </c>
      <c r="O203" s="423" t="s">
        <v>728</v>
      </c>
      <c r="Q203" s="743" t="s">
        <v>2795</v>
      </c>
      <c r="R203" s="98" t="s">
        <v>196</v>
      </c>
      <c r="S203" s="94" t="s">
        <v>140</v>
      </c>
      <c r="U203" s="251" t="s">
        <v>1118</v>
      </c>
      <c r="V203" s="101" t="s">
        <v>85</v>
      </c>
      <c r="W203" s="766" t="s">
        <v>5434</v>
      </c>
      <c r="AK203" s="591"/>
      <c r="AL203" s="475"/>
      <c r="AM203" s="592"/>
      <c r="AU203" s="153" t="s">
        <v>643</v>
      </c>
      <c r="AV203" s="101" t="s">
        <v>185</v>
      </c>
      <c r="AW203" s="135" t="str">
        <f t="shared" si="139"/>
        <v>ДП ПОЛЛО.3/0</v>
      </c>
      <c r="AY203" s="224" t="s">
        <v>1350</v>
      </c>
      <c r="AZ203" s="62" t="s">
        <v>1724</v>
      </c>
      <c r="BA203" s="139" t="str">
        <f t="shared" si="149"/>
        <v>ДП ЛАДА B.3/5.купе.</v>
      </c>
      <c r="BK203" s="144" t="s">
        <v>553</v>
      </c>
      <c r="BL203" s="62" t="s">
        <v>1836</v>
      </c>
      <c r="BM203" s="139" t="str">
        <f t="shared" si="169"/>
        <v>ФР Standard.Лофт</v>
      </c>
      <c r="BS203" s="58" t="s">
        <v>2659</v>
      </c>
      <c r="BT203" s="56" t="s">
        <v>4086</v>
      </c>
      <c r="BU203" s="70" t="str">
        <f t="shared" si="170"/>
        <v>ДП Міра.1/5.Масив</v>
      </c>
      <c r="BW203" s="58" t="s">
        <v>1350</v>
      </c>
      <c r="BX203" s="780" t="s">
        <v>4106</v>
      </c>
      <c r="BY203" s="135" t="str">
        <f t="shared" si="150"/>
        <v>ДП ЛАДА B.3/5.(ні)</v>
      </c>
      <c r="CA203" s="742" t="s">
        <v>3236</v>
      </c>
      <c r="CB203" s="137"/>
      <c r="CC203" s="138"/>
      <c r="CE203" s="147" t="s">
        <v>3303</v>
      </c>
      <c r="CF203" s="62" t="s">
        <v>739</v>
      </c>
      <c r="CG203" s="139" t="str">
        <f t="shared" si="166"/>
        <v>ДП Лінда.б/з фальц..робоча..ВП</v>
      </c>
      <c r="CM203" s="742" t="s">
        <v>3321</v>
      </c>
      <c r="CN203" s="137" t="s">
        <v>841</v>
      </c>
      <c r="CO203" s="138" t="str">
        <f t="shared" si="173"/>
        <v>ДП ПОЛЛО.фальц..робоча..Verto-FIT</v>
      </c>
      <c r="CY203" s="751" t="s">
        <v>4842</v>
      </c>
      <c r="CZ203" s="767" t="s">
        <v>4856</v>
      </c>
      <c r="DA203" s="135" t="s">
        <v>859</v>
      </c>
      <c r="DD203" s="740" t="s">
        <v>5096</v>
      </c>
      <c r="DE203" s="166">
        <v>8470</v>
      </c>
      <c r="DF203" s="537">
        <f t="shared" si="171"/>
        <v>8470</v>
      </c>
      <c r="DG203" s="529"/>
      <c r="DH203" s="530">
        <f t="shared" si="172"/>
        <v>8470</v>
      </c>
      <c r="DP203" s="162" t="s">
        <v>1631</v>
      </c>
      <c r="DQ203" s="163">
        <v>0</v>
      </c>
      <c r="DR203" s="528">
        <f t="shared" si="167"/>
        <v>0</v>
      </c>
      <c r="DS203" s="529"/>
      <c r="DT203" s="530">
        <f t="shared" si="168"/>
        <v>0</v>
      </c>
      <c r="DU203" s="166"/>
      <c r="DV203" s="738" t="s">
        <v>4488</v>
      </c>
      <c r="DW203" s="166">
        <v>800.00000000000011</v>
      </c>
      <c r="DX203" s="522">
        <f t="shared" si="174"/>
        <v>800</v>
      </c>
      <c r="DY203" s="523"/>
      <c r="DZ203" s="524">
        <f t="shared" si="175"/>
        <v>800</v>
      </c>
      <c r="EG203" s="165"/>
      <c r="EH203" s="739" t="s">
        <v>3540</v>
      </c>
      <c r="EI203" s="164">
        <v>1800</v>
      </c>
      <c r="EJ203" s="531">
        <f t="shared" si="157"/>
        <v>1800</v>
      </c>
      <c r="EK203" s="526"/>
      <c r="EL203" s="527">
        <f t="shared" si="158"/>
        <v>1800</v>
      </c>
    </row>
    <row r="204" spans="12:142">
      <c r="L204" s="743" t="s">
        <v>2796</v>
      </c>
      <c r="M204" s="825" t="s">
        <v>2794</v>
      </c>
      <c r="N204" s="94" t="s">
        <v>2099</v>
      </c>
      <c r="O204" s="423" t="s">
        <v>728</v>
      </c>
      <c r="Q204" s="743" t="s">
        <v>2796</v>
      </c>
      <c r="R204" s="98" t="s">
        <v>197</v>
      </c>
      <c r="S204" s="94" t="s">
        <v>141</v>
      </c>
      <c r="U204" s="250" t="s">
        <v>1119</v>
      </c>
      <c r="V204" s="151" t="s">
        <v>86</v>
      </c>
      <c r="W204" s="435" t="s">
        <v>5435</v>
      </c>
      <c r="AK204" s="789" t="s">
        <v>4325</v>
      </c>
      <c r="AL204" s="101">
        <v>30</v>
      </c>
      <c r="AM204" s="589" t="s">
        <v>2313</v>
      </c>
      <c r="AU204" s="154" t="s">
        <v>643</v>
      </c>
      <c r="AV204" s="151" t="s">
        <v>199</v>
      </c>
      <c r="AW204" s="138" t="str">
        <f t="shared" si="139"/>
        <v>ДП ПОЛЛО.3/2</v>
      </c>
      <c r="AY204" s="432"/>
      <c r="AZ204" s="222"/>
      <c r="BA204" s="223"/>
      <c r="BK204" s="142" t="s">
        <v>554</v>
      </c>
      <c r="BL204" s="134" t="s">
        <v>4904</v>
      </c>
      <c r="BM204" s="135" t="str">
        <f t="shared" si="169"/>
        <v>ФР Verto-FIT.Сімплекс</v>
      </c>
      <c r="BS204" s="58" t="s">
        <v>2660</v>
      </c>
      <c r="BT204" s="56" t="s">
        <v>4086</v>
      </c>
      <c r="BU204" s="70" t="str">
        <f t="shared" si="170"/>
        <v>ДП Міра.1/6.Масив</v>
      </c>
      <c r="BW204" s="432"/>
      <c r="BX204" s="432"/>
      <c r="BY204" s="432"/>
      <c r="CA204" s="742" t="s">
        <v>3236</v>
      </c>
      <c r="CB204" s="137" t="s">
        <v>4335</v>
      </c>
      <c r="CC204" s="138" t="str">
        <f>CONCATENATE(CA204,".",CB204)</f>
        <v>ДП Ідея.фальц.неробоча.Пл Magnet +2завіс</v>
      </c>
      <c r="CE204" s="145" t="s">
        <v>3304</v>
      </c>
      <c r="CF204" s="137"/>
      <c r="CG204" s="138" t="str">
        <f t="shared" si="166"/>
        <v>ДП Лінда.купе..робоча..</v>
      </c>
      <c r="CM204" s="424" t="s">
        <v>3321</v>
      </c>
      <c r="CN204" s="62" t="s">
        <v>371</v>
      </c>
      <c r="CO204" s="139" t="str">
        <f t="shared" si="173"/>
        <v>ДП ПОЛЛО.фальц..робоча..Verto-FIT Plus</v>
      </c>
      <c r="CY204" s="750" t="s">
        <v>4872</v>
      </c>
      <c r="CZ204" s="785" t="s">
        <v>4886</v>
      </c>
      <c r="DA204" s="139" t="s">
        <v>859</v>
      </c>
      <c r="DD204" s="740" t="s">
        <v>5097</v>
      </c>
      <c r="DE204" s="166">
        <v>8470</v>
      </c>
      <c r="DF204" s="537">
        <f t="shared" si="171"/>
        <v>8470</v>
      </c>
      <c r="DG204" s="529"/>
      <c r="DH204" s="530">
        <f t="shared" si="172"/>
        <v>8470</v>
      </c>
      <c r="DP204" s="738" t="s">
        <v>3891</v>
      </c>
      <c r="DQ204" s="166">
        <v>550</v>
      </c>
      <c r="DR204" s="522">
        <f t="shared" si="167"/>
        <v>550</v>
      </c>
      <c r="DS204" s="523"/>
      <c r="DT204" s="524">
        <f t="shared" si="168"/>
        <v>550</v>
      </c>
      <c r="DU204" s="166"/>
      <c r="DV204" s="738" t="s">
        <v>4489</v>
      </c>
      <c r="DW204" s="166">
        <v>800.00000000000011</v>
      </c>
      <c r="DX204" s="522">
        <f t="shared" si="174"/>
        <v>800</v>
      </c>
      <c r="DY204" s="523"/>
      <c r="DZ204" s="524">
        <f t="shared" si="175"/>
        <v>800</v>
      </c>
      <c r="EG204" s="165"/>
      <c r="EH204" s="738" t="s">
        <v>3541</v>
      </c>
      <c r="EI204" s="166">
        <v>0</v>
      </c>
      <c r="EJ204" s="522">
        <f>ROUND(((EI204-(EI204/6))/$DD$3)*$DE$3,2)</f>
        <v>0</v>
      </c>
      <c r="EK204" s="523"/>
      <c r="EL204" s="524">
        <f>IF(EK204="",EJ204,
IF(AND($EI$10&gt;=VLOOKUP(EK204,$EH$5:$EL$9,2,0),$EI$10&lt;=VLOOKUP(EK204,$EH$5:$EL$9,3,0)),
(EJ204*(1-VLOOKUP(EK204,$EH$5:$EL$9,4,0))),
EJ204))</f>
        <v>0</v>
      </c>
    </row>
    <row r="205" spans="12:142">
      <c r="L205" s="743" t="s">
        <v>2797</v>
      </c>
      <c r="M205" s="825" t="s">
        <v>2794</v>
      </c>
      <c r="N205" s="94" t="s">
        <v>2099</v>
      </c>
      <c r="O205" s="423" t="s">
        <v>728</v>
      </c>
      <c r="Q205" s="743" t="s">
        <v>2797</v>
      </c>
      <c r="R205" s="98" t="s">
        <v>198</v>
      </c>
      <c r="S205" s="94" t="s">
        <v>142</v>
      </c>
      <c r="U205" s="250" t="s">
        <v>1120</v>
      </c>
      <c r="V205" s="151" t="s">
        <v>87</v>
      </c>
      <c r="W205" s="435" t="s">
        <v>5436</v>
      </c>
      <c r="AK205" s="777" t="s">
        <v>4333</v>
      </c>
      <c r="AL205" s="151" t="s">
        <v>797</v>
      </c>
      <c r="AM205" s="584" t="s">
        <v>2314</v>
      </c>
      <c r="AU205" s="154" t="s">
        <v>643</v>
      </c>
      <c r="AV205" s="151" t="s">
        <v>532</v>
      </c>
      <c r="AW205" s="138" t="str">
        <f t="shared" si="139"/>
        <v>ДП ПОЛЛО.3/4</v>
      </c>
      <c r="AY205" s="234" t="s">
        <v>1354</v>
      </c>
      <c r="AZ205" s="137" t="s">
        <v>1722</v>
      </c>
      <c r="BA205" s="138" t="str">
        <f t="shared" ref="BA205:BA252" si="176">CONCATENATE(AY205,".",AZ205)</f>
        <v>ДП ЛАДА C.4/0.фальц.</v>
      </c>
      <c r="BK205" s="143" t="s">
        <v>554</v>
      </c>
      <c r="BL205" s="137" t="s">
        <v>409</v>
      </c>
      <c r="BM205" s="138" t="str">
        <f t="shared" si="169"/>
        <v>ФР Verto-FIT.Verto-Cell</v>
      </c>
      <c r="BS205" s="58" t="s">
        <v>2661</v>
      </c>
      <c r="BT205" s="56" t="s">
        <v>4086</v>
      </c>
      <c r="BU205" s="70" t="str">
        <f t="shared" si="170"/>
        <v>ДП Міра.2/1.Масив</v>
      </c>
      <c r="BW205" s="58" t="s">
        <v>1354</v>
      </c>
      <c r="BX205" s="780" t="s">
        <v>4106</v>
      </c>
      <c r="BY205" s="138" t="str">
        <f>CONCATENATE(BW205,".",BX205)</f>
        <v>ДП ЛАДА C.4/0.(ні)</v>
      </c>
      <c r="CA205" s="742" t="s">
        <v>3236</v>
      </c>
      <c r="CB205" s="62" t="s">
        <v>4336</v>
      </c>
      <c r="CC205" s="139" t="str">
        <f>CONCATENATE(CA205,".",CB205)</f>
        <v>ДП Ідея.фальц.неробоча.Пл Magnet +3завіс</v>
      </c>
      <c r="CE205" s="146" t="s">
        <v>3304</v>
      </c>
      <c r="CF205" s="62" t="s">
        <v>4261</v>
      </c>
      <c r="CG205" s="139" t="str">
        <f t="shared" si="166"/>
        <v>ДП Лінда.купе..робоча..ВВ</v>
      </c>
      <c r="CM205" s="424" t="s">
        <v>3322</v>
      </c>
      <c r="CN205" s="62" t="s">
        <v>4106</v>
      </c>
      <c r="CO205" s="70" t="str">
        <f t="shared" si="173"/>
        <v>ДП ПОЛЛО.фальц..неробоча..(ні)</v>
      </c>
      <c r="CY205" s="752" t="s">
        <v>4843</v>
      </c>
      <c r="CZ205" s="768" t="s">
        <v>4856</v>
      </c>
      <c r="DA205" s="138" t="s">
        <v>859</v>
      </c>
      <c r="DD205" s="740" t="s">
        <v>5098</v>
      </c>
      <c r="DE205" s="166">
        <v>8470</v>
      </c>
      <c r="DF205" s="537">
        <f t="shared" si="171"/>
        <v>8470</v>
      </c>
      <c r="DG205" s="529"/>
      <c r="DH205" s="530">
        <f t="shared" si="172"/>
        <v>8470</v>
      </c>
      <c r="DP205" s="108" t="s">
        <v>1640</v>
      </c>
      <c r="DQ205" s="164">
        <v>550</v>
      </c>
      <c r="DR205" s="531">
        <f t="shared" si="167"/>
        <v>550</v>
      </c>
      <c r="DS205" s="526"/>
      <c r="DT205" s="527">
        <f t="shared" si="168"/>
        <v>550</v>
      </c>
      <c r="DU205" s="166"/>
      <c r="DV205" s="738" t="s">
        <v>4490</v>
      </c>
      <c r="DW205" s="166">
        <v>800.00000000000011</v>
      </c>
      <c r="DX205" s="522">
        <f t="shared" si="174"/>
        <v>800</v>
      </c>
      <c r="DY205" s="523"/>
      <c r="DZ205" s="524">
        <f t="shared" si="175"/>
        <v>800</v>
      </c>
      <c r="EG205" s="165"/>
      <c r="EH205" s="739" t="s">
        <v>3542</v>
      </c>
      <c r="EI205" s="164">
        <v>1800</v>
      </c>
      <c r="EJ205" s="531">
        <f>ROUND(((EI205-(EI205/6))/$DD$3)*$DE$3,2)</f>
        <v>1800</v>
      </c>
      <c r="EK205" s="526"/>
      <c r="EL205" s="527">
        <f>IF(EK205="",EJ205,
IF(AND($EI$10&gt;=VLOOKUP(EK205,$EH$5:$EL$9,2,0),$EI$10&lt;=VLOOKUP(EK205,$EH$5:$EL$9,3,0)),
(EJ205*(1-VLOOKUP(EK205,$EH$5:$EL$9,4,0))),
EJ205))</f>
        <v>1800</v>
      </c>
    </row>
    <row r="206" spans="12:142">
      <c r="L206" s="743" t="s">
        <v>2798</v>
      </c>
      <c r="M206" s="825" t="s">
        <v>2794</v>
      </c>
      <c r="N206" s="94" t="s">
        <v>2099</v>
      </c>
      <c r="O206" s="423" t="s">
        <v>728</v>
      </c>
      <c r="Q206" s="743" t="s">
        <v>2798</v>
      </c>
      <c r="R206" s="98" t="s">
        <v>187</v>
      </c>
      <c r="S206" s="94" t="s">
        <v>147</v>
      </c>
      <c r="U206" s="250" t="s">
        <v>1121</v>
      </c>
      <c r="V206" s="151" t="s">
        <v>88</v>
      </c>
      <c r="W206" s="435" t="s">
        <v>5437</v>
      </c>
      <c r="AK206" s="778" t="s">
        <v>4336</v>
      </c>
      <c r="AL206" s="152" t="s">
        <v>270</v>
      </c>
      <c r="AM206" s="586" t="s">
        <v>2315</v>
      </c>
      <c r="AU206" s="154" t="s">
        <v>643</v>
      </c>
      <c r="AV206" s="151" t="s">
        <v>533</v>
      </c>
      <c r="AW206" s="138" t="str">
        <f t="shared" si="139"/>
        <v>ДП ПОЛЛО.3/6</v>
      </c>
      <c r="AY206" s="234" t="s">
        <v>1354</v>
      </c>
      <c r="AZ206" s="137" t="s">
        <v>1723</v>
      </c>
      <c r="BA206" s="138" t="str">
        <f t="shared" si="176"/>
        <v>ДП ЛАДА C.4/0.б/з фальц.</v>
      </c>
      <c r="BK206" s="143" t="s">
        <v>554</v>
      </c>
      <c r="BL206" s="137"/>
      <c r="BM206" s="138" t="str">
        <f t="shared" si="169"/>
        <v>ФР Verto-FIT.</v>
      </c>
      <c r="BS206" s="58" t="s">
        <v>2662</v>
      </c>
      <c r="BT206" s="56" t="s">
        <v>4086</v>
      </c>
      <c r="BU206" s="70" t="str">
        <f t="shared" si="170"/>
        <v>ДП Міра.2/2.Масив</v>
      </c>
      <c r="BW206" s="162" t="s">
        <v>1355</v>
      </c>
      <c r="BX206" s="246" t="s">
        <v>458</v>
      </c>
      <c r="BY206" s="135" t="str">
        <f>CONCATENATE(BW206,".",BX206)</f>
        <v>ДП ЛАДА C.4/1.Сатин</v>
      </c>
      <c r="CA206" s="145" t="s">
        <v>3239</v>
      </c>
      <c r="CB206" s="137" t="s">
        <v>4106</v>
      </c>
      <c r="CC206" s="238" t="str">
        <f>CONCATENATE(CA206,".",CB206)</f>
        <v>ДП Ідея.б/з фальц.робоча.(ні)</v>
      </c>
      <c r="CE206" s="546"/>
      <c r="CF206" s="544"/>
      <c r="CG206" s="545"/>
      <c r="CM206" s="86" t="s">
        <v>3323</v>
      </c>
      <c r="CN206" s="56" t="s">
        <v>941</v>
      </c>
      <c r="CO206" s="70" t="str">
        <f t="shared" si="173"/>
        <v>ДП ПОЛЛО.б/з фальц..робоча..Verto-FIT Comfort</v>
      </c>
      <c r="CY206" s="750" t="s">
        <v>4873</v>
      </c>
      <c r="CZ206" s="785" t="s">
        <v>4886</v>
      </c>
      <c r="DA206" s="139" t="s">
        <v>859</v>
      </c>
      <c r="DD206" s="740" t="s">
        <v>5099</v>
      </c>
      <c r="DE206" s="166">
        <v>8470</v>
      </c>
      <c r="DF206" s="537">
        <f t="shared" si="171"/>
        <v>8470</v>
      </c>
      <c r="DG206" s="529"/>
      <c r="DH206" s="530">
        <f t="shared" si="172"/>
        <v>8470</v>
      </c>
      <c r="DP206" s="165" t="s">
        <v>1632</v>
      </c>
      <c r="DQ206" s="166">
        <v>0</v>
      </c>
      <c r="DR206" s="522">
        <f t="shared" si="167"/>
        <v>0</v>
      </c>
      <c r="DS206" s="523"/>
      <c r="DT206" s="524">
        <f t="shared" si="168"/>
        <v>0</v>
      </c>
      <c r="DU206" s="166"/>
      <c r="DV206" s="738" t="s">
        <v>4491</v>
      </c>
      <c r="DW206" s="166">
        <v>800.00000000000011</v>
      </c>
      <c r="DX206" s="522">
        <f t="shared" si="174"/>
        <v>800</v>
      </c>
      <c r="DY206" s="523"/>
      <c r="DZ206" s="524">
        <f t="shared" si="175"/>
        <v>800</v>
      </c>
      <c r="EG206" s="165"/>
      <c r="EH206" s="738" t="s">
        <v>3543</v>
      </c>
      <c r="EI206" s="166">
        <v>0</v>
      </c>
      <c r="EJ206" s="522">
        <f>ROUND(((EI206-(EI206/6))/$DD$3)*$DE$3,2)</f>
        <v>0</v>
      </c>
      <c r="EK206" s="523"/>
      <c r="EL206" s="524">
        <f>IF(EK206="",EJ206,
IF(AND($EI$10&gt;=VLOOKUP(EK206,$EH$5:$EL$9,2,0),$EI$10&lt;=VLOOKUP(EK206,$EH$5:$EL$9,3,0)),
(EJ206*(1-VLOOKUP(EK206,$EH$5:$EL$9,4,0))),
EJ206))</f>
        <v>0</v>
      </c>
    </row>
    <row r="207" spans="12:142">
      <c r="L207" s="743" t="s">
        <v>2799</v>
      </c>
      <c r="M207" s="825" t="s">
        <v>2794</v>
      </c>
      <c r="N207" s="94" t="s">
        <v>2099</v>
      </c>
      <c r="O207" s="423" t="s">
        <v>728</v>
      </c>
      <c r="Q207" s="743" t="s">
        <v>2799</v>
      </c>
      <c r="R207" s="98" t="s">
        <v>188</v>
      </c>
      <c r="S207" s="94" t="s">
        <v>137</v>
      </c>
      <c r="U207" s="250" t="s">
        <v>1122</v>
      </c>
      <c r="V207" s="151" t="s">
        <v>89</v>
      </c>
      <c r="W207" s="435" t="s">
        <v>5438</v>
      </c>
      <c r="AK207" s="778" t="s">
        <v>6164</v>
      </c>
      <c r="AL207" s="152" t="s">
        <v>6454</v>
      </c>
      <c r="AM207" s="586" t="s">
        <v>6165</v>
      </c>
      <c r="AU207" s="154" t="s">
        <v>643</v>
      </c>
      <c r="AV207" s="151" t="s">
        <v>671</v>
      </c>
      <c r="AW207" s="138" t="str">
        <f t="shared" si="139"/>
        <v>ДП ПОЛЛО.3А/3</v>
      </c>
      <c r="AY207" s="224" t="s">
        <v>1354</v>
      </c>
      <c r="AZ207" s="62" t="s">
        <v>1724</v>
      </c>
      <c r="BA207" s="139" t="str">
        <f t="shared" si="176"/>
        <v>ДП ЛАДА C.4/0.купе.</v>
      </c>
      <c r="BK207" s="143" t="s">
        <v>554</v>
      </c>
      <c r="BL207" s="137" t="s">
        <v>1893</v>
      </c>
      <c r="BM207" s="138" t="str">
        <f t="shared" si="169"/>
        <v>ФР Verto-FIT.Uni-Mat</v>
      </c>
      <c r="BS207" s="58" t="s">
        <v>2663</v>
      </c>
      <c r="BT207" s="56" t="s">
        <v>4086</v>
      </c>
      <c r="BU207" s="70" t="str">
        <f t="shared" si="170"/>
        <v>ДП Міра.2/3.Масив</v>
      </c>
      <c r="BW207" s="165" t="s">
        <v>1355</v>
      </c>
      <c r="BX207" s="770" t="s">
        <v>3851</v>
      </c>
      <c r="BY207" s="138" t="str">
        <f>CONCATENATE(BW207,".",BX207)</f>
        <v>ДП ЛАДА C.4/1.Графіт</v>
      </c>
      <c r="CA207" s="146" t="s">
        <v>3239</v>
      </c>
      <c r="CB207" s="97"/>
      <c r="CC207" s="97"/>
      <c r="CE207" s="145" t="s">
        <v>3305</v>
      </c>
      <c r="CF207" s="137"/>
      <c r="CG207" s="138" t="str">
        <f t="shared" ref="CG207:CG217" si="177">CONCATENATE(CE207,".",CF207)</f>
        <v>ДП Тіана.фальц..робоча..</v>
      </c>
      <c r="CM207" s="86" t="s">
        <v>3324</v>
      </c>
      <c r="CN207" s="56" t="s">
        <v>841</v>
      </c>
      <c r="CO207" s="70" t="str">
        <f t="shared" si="173"/>
        <v>ДП ПОЛЛО.купе..робоча..Verto-FIT</v>
      </c>
      <c r="CY207" s="752" t="s">
        <v>4844</v>
      </c>
      <c r="CZ207" s="768" t="s">
        <v>4856</v>
      </c>
      <c r="DA207" s="138" t="s">
        <v>859</v>
      </c>
      <c r="DD207" s="740" t="s">
        <v>5100</v>
      </c>
      <c r="DE207" s="166">
        <v>8470</v>
      </c>
      <c r="DF207" s="537">
        <f t="shared" si="171"/>
        <v>8470</v>
      </c>
      <c r="DG207" s="529"/>
      <c r="DH207" s="530">
        <f t="shared" si="172"/>
        <v>8470</v>
      </c>
      <c r="DP207" s="738" t="s">
        <v>3892</v>
      </c>
      <c r="DQ207" s="166">
        <v>550</v>
      </c>
      <c r="DR207" s="522">
        <f t="shared" si="167"/>
        <v>550</v>
      </c>
      <c r="DS207" s="523"/>
      <c r="DT207" s="524">
        <f t="shared" si="168"/>
        <v>550</v>
      </c>
      <c r="DU207" s="166"/>
      <c r="DV207" s="739" t="s">
        <v>4492</v>
      </c>
      <c r="DW207" s="164">
        <v>800.00000000000011</v>
      </c>
      <c r="DX207" s="525">
        <f t="shared" si="174"/>
        <v>800</v>
      </c>
      <c r="DY207" s="526"/>
      <c r="DZ207" s="527">
        <f t="shared" si="175"/>
        <v>800</v>
      </c>
      <c r="EG207" s="165"/>
      <c r="EH207" s="739" t="s">
        <v>3544</v>
      </c>
      <c r="EI207" s="164">
        <v>2070</v>
      </c>
      <c r="EJ207" s="531">
        <f>ROUND(((EI207-(EI207/6))/$DD$3)*$DE$3,2)</f>
        <v>2070</v>
      </c>
      <c r="EK207" s="526"/>
      <c r="EL207" s="527">
        <f>IF(EK207="",EJ207,
IF(AND($EI$10&gt;=VLOOKUP(EK207,$EH$5:$EL$9,2,0),$EI$10&lt;=VLOOKUP(EK207,$EH$5:$EL$9,3,0)),
(EJ207*(1-VLOOKUP(EK207,$EH$5:$EL$9,4,0))),
EJ207))</f>
        <v>2070</v>
      </c>
    </row>
    <row r="208" spans="12:142">
      <c r="L208" s="743" t="s">
        <v>2800</v>
      </c>
      <c r="M208" s="825" t="s">
        <v>2794</v>
      </c>
      <c r="N208" s="94" t="s">
        <v>2099</v>
      </c>
      <c r="O208" s="423" t="s">
        <v>728</v>
      </c>
      <c r="Q208" s="743" t="s">
        <v>2800</v>
      </c>
      <c r="R208" s="98" t="s">
        <v>189</v>
      </c>
      <c r="S208" s="94" t="s">
        <v>148</v>
      </c>
      <c r="U208" s="250" t="s">
        <v>1123</v>
      </c>
      <c r="V208" s="151" t="s">
        <v>90</v>
      </c>
      <c r="W208" s="435" t="s">
        <v>5439</v>
      </c>
      <c r="AK208" s="591"/>
      <c r="AL208" s="475"/>
      <c r="AM208" s="592"/>
      <c r="AU208" s="154" t="s">
        <v>643</v>
      </c>
      <c r="AV208" s="151" t="s">
        <v>674</v>
      </c>
      <c r="AW208" s="138" t="str">
        <f t="shared" si="139"/>
        <v>ДП ПОЛЛО.3А/5</v>
      </c>
      <c r="AY208" s="234" t="s">
        <v>1355</v>
      </c>
      <c r="AZ208" s="137" t="s">
        <v>1722</v>
      </c>
      <c r="BA208" s="138" t="str">
        <f t="shared" si="176"/>
        <v>ДП ЛАДА C.4/1.фальц.</v>
      </c>
      <c r="BK208" s="143" t="s">
        <v>554</v>
      </c>
      <c r="BL208" s="137" t="s">
        <v>557</v>
      </c>
      <c r="BM208" s="138" t="str">
        <f t="shared" si="169"/>
        <v>ФР Verto-FIT.Резист</v>
      </c>
      <c r="BS208" s="426"/>
      <c r="BT208" s="427"/>
      <c r="BU208" s="428"/>
      <c r="BW208" s="108" t="s">
        <v>1355</v>
      </c>
      <c r="BX208" s="248" t="s">
        <v>832</v>
      </c>
      <c r="BY208" s="139" t="str">
        <f>CONCATENATE(BW208,".",BX208)</f>
        <v>ДП ЛАДА C.4/1.Бронза</v>
      </c>
      <c r="CA208" s="146" t="s">
        <v>3239</v>
      </c>
      <c r="CB208" s="478" t="s">
        <v>4337</v>
      </c>
      <c r="CC208" s="239" t="str">
        <f>CONCATENATE(CA208,".",CB208)</f>
        <v>ДП Ідея.б/з фальц.робоча.Magnet цл б/з завіс.</v>
      </c>
      <c r="CE208" s="146" t="s">
        <v>3305</v>
      </c>
      <c r="CF208" s="137" t="s">
        <v>4261</v>
      </c>
      <c r="CG208" s="138" t="str">
        <f t="shared" si="177"/>
        <v>ДП Тіана.фальц..робоча..ВВ</v>
      </c>
      <c r="CM208" s="432"/>
      <c r="CN208" s="427"/>
      <c r="CO208" s="428"/>
      <c r="CY208" s="750" t="s">
        <v>4874</v>
      </c>
      <c r="CZ208" s="785" t="s">
        <v>4886</v>
      </c>
      <c r="DA208" s="139" t="s">
        <v>859</v>
      </c>
      <c r="DD208" s="740" t="s">
        <v>5101</v>
      </c>
      <c r="DE208" s="166">
        <v>8470</v>
      </c>
      <c r="DF208" s="537">
        <f t="shared" si="171"/>
        <v>8470</v>
      </c>
      <c r="DG208" s="529"/>
      <c r="DH208" s="530">
        <f t="shared" si="172"/>
        <v>8470</v>
      </c>
      <c r="DP208" s="108" t="s">
        <v>1639</v>
      </c>
      <c r="DQ208" s="164">
        <v>550</v>
      </c>
      <c r="DR208" s="531">
        <f t="shared" si="167"/>
        <v>550</v>
      </c>
      <c r="DS208" s="526"/>
      <c r="DT208" s="527">
        <f t="shared" si="168"/>
        <v>550</v>
      </c>
      <c r="DU208" s="166"/>
      <c r="DV208" s="738" t="s">
        <v>6245</v>
      </c>
      <c r="DW208" s="166">
        <v>1</v>
      </c>
      <c r="DX208" s="522">
        <f t="shared" si="153"/>
        <v>1</v>
      </c>
      <c r="DY208" s="523"/>
      <c r="DZ208" s="524">
        <f t="shared" si="154"/>
        <v>1</v>
      </c>
      <c r="EG208" s="165"/>
      <c r="EH208" s="738" t="s">
        <v>3545</v>
      </c>
      <c r="EI208" s="166">
        <v>0</v>
      </c>
      <c r="EJ208" s="522">
        <f t="shared" si="157"/>
        <v>0</v>
      </c>
      <c r="EK208" s="523"/>
      <c r="EL208" s="524">
        <f t="shared" si="158"/>
        <v>0</v>
      </c>
    </row>
    <row r="209" spans="12:142">
      <c r="L209" s="743" t="s">
        <v>2801</v>
      </c>
      <c r="M209" s="825" t="s">
        <v>2794</v>
      </c>
      <c r="N209" s="94" t="s">
        <v>2099</v>
      </c>
      <c r="O209" s="423" t="s">
        <v>728</v>
      </c>
      <c r="Q209" s="743" t="s">
        <v>2801</v>
      </c>
      <c r="R209" s="98" t="s">
        <v>201</v>
      </c>
      <c r="S209" s="94" t="s">
        <v>149</v>
      </c>
      <c r="U209" s="250" t="s">
        <v>1124</v>
      </c>
      <c r="V209" s="151" t="s">
        <v>91</v>
      </c>
      <c r="W209" s="435" t="s">
        <v>5440</v>
      </c>
      <c r="AK209" s="759" t="s">
        <v>3133</v>
      </c>
      <c r="AL209" s="98" t="s">
        <v>174</v>
      </c>
      <c r="AM209" s="592" t="s">
        <v>5466</v>
      </c>
      <c r="AU209" s="404" t="s">
        <v>643</v>
      </c>
      <c r="AV209" s="172" t="s">
        <v>201</v>
      </c>
      <c r="AW209" s="174" t="str">
        <f t="shared" si="139"/>
        <v>ДП ПОЛЛО.4/3</v>
      </c>
      <c r="AY209" s="234" t="s">
        <v>1355</v>
      </c>
      <c r="AZ209" s="137" t="s">
        <v>1723</v>
      </c>
      <c r="BA209" s="138" t="str">
        <f t="shared" si="176"/>
        <v>ДП ЛАДА C.4/1.б/з фальц.</v>
      </c>
      <c r="BK209" s="143" t="s">
        <v>554</v>
      </c>
      <c r="BL209" s="137" t="s">
        <v>62</v>
      </c>
      <c r="BM209" s="138" t="str">
        <f t="shared" si="169"/>
        <v>ФР Verto-FIT.LINE-3D</v>
      </c>
      <c r="BS209" s="58" t="s">
        <v>1065</v>
      </c>
      <c r="BT209" s="41" t="s">
        <v>4086</v>
      </c>
      <c r="BU209" s="70" t="str">
        <f t="shared" ref="BU209:BU218" si="178">CONCATENATE(BS209,".",BT209)</f>
        <v>ДП ЛАДА-ЛОФТ.1/0.Масив</v>
      </c>
      <c r="BW209" s="162" t="s">
        <v>1356</v>
      </c>
      <c r="BX209" s="246" t="s">
        <v>458</v>
      </c>
      <c r="BY209" s="135" t="str">
        <f>CONCATENATE(BW209,".",BX209)</f>
        <v>ДП ЛАДА C.4/2.Сатин</v>
      </c>
      <c r="CA209" s="146" t="s">
        <v>3239</v>
      </c>
      <c r="CB209" s="478" t="s">
        <v>4339</v>
      </c>
      <c r="CC209" s="239" t="str">
        <f>CONCATENATE(CA209,".",CB209)</f>
        <v>ДП Ідея.б/з фальц.робоча.Magnet ст б/з завіс.</v>
      </c>
      <c r="CE209" s="147" t="s">
        <v>3305</v>
      </c>
      <c r="CF209" s="62" t="s">
        <v>739</v>
      </c>
      <c r="CG209" s="139" t="str">
        <f t="shared" si="177"/>
        <v>ДП Тіана.фальц..робоча..ВП</v>
      </c>
      <c r="CM209" s="146" t="s">
        <v>3325</v>
      </c>
      <c r="CN209" s="137" t="s">
        <v>975</v>
      </c>
      <c r="CO209" s="138" t="str">
        <f t="shared" ref="CO209:CO218" si="179">CONCATENATE(CM209,".",CN209)</f>
        <v>ДП Лінея.фальц,.робоча..Standard-MDF</v>
      </c>
      <c r="CY209" s="752" t="s">
        <v>5635</v>
      </c>
      <c r="CZ209" s="768" t="s">
        <v>4856</v>
      </c>
      <c r="DA209" s="138" t="s">
        <v>859</v>
      </c>
      <c r="DD209" s="740" t="s">
        <v>5102</v>
      </c>
      <c r="DE209" s="166">
        <v>8470</v>
      </c>
      <c r="DF209" s="537">
        <f t="shared" si="171"/>
        <v>8470</v>
      </c>
      <c r="DG209" s="529"/>
      <c r="DH209" s="530">
        <f>IF(DG209="",DF209,
IF(AND($DE$10&gt;=VLOOKUP(DG209,$DD$5:$DH$9,2,0),$DE$10&lt;=VLOOKUP(DG209,$DD$5:$DH$9,3,0)),
(DF209*(1-VLOOKUP(DG209,$DD$5:$DH$9,4,0))),
DF209))</f>
        <v>8470</v>
      </c>
      <c r="DP209" s="165" t="s">
        <v>1633</v>
      </c>
      <c r="DQ209" s="166">
        <v>0</v>
      </c>
      <c r="DR209" s="522">
        <f t="shared" si="167"/>
        <v>0</v>
      </c>
      <c r="DS209" s="523"/>
      <c r="DT209" s="524">
        <f t="shared" si="168"/>
        <v>0</v>
      </c>
      <c r="DU209" s="166"/>
      <c r="DV209" s="738" t="s">
        <v>6246</v>
      </c>
      <c r="DW209" s="166">
        <v>1</v>
      </c>
      <c r="DX209" s="522">
        <f t="shared" si="153"/>
        <v>1</v>
      </c>
      <c r="DY209" s="523"/>
      <c r="DZ209" s="524">
        <f t="shared" si="154"/>
        <v>1</v>
      </c>
      <c r="EG209" s="165"/>
      <c r="EH209" s="739" t="s">
        <v>3546</v>
      </c>
      <c r="EI209" s="164">
        <v>2130</v>
      </c>
      <c r="EJ209" s="531">
        <f t="shared" si="157"/>
        <v>2130</v>
      </c>
      <c r="EK209" s="526"/>
      <c r="EL209" s="527">
        <f t="shared" si="158"/>
        <v>2130</v>
      </c>
    </row>
    <row r="210" spans="12:142">
      <c r="L210" s="743" t="s">
        <v>2802</v>
      </c>
      <c r="M210" s="825" t="s">
        <v>2794</v>
      </c>
      <c r="N210" s="94" t="s">
        <v>2099</v>
      </c>
      <c r="O210" s="423" t="s">
        <v>728</v>
      </c>
      <c r="Q210" s="743" t="s">
        <v>2802</v>
      </c>
      <c r="R210" s="98" t="s">
        <v>202</v>
      </c>
      <c r="S210" s="94" t="s">
        <v>150</v>
      </c>
      <c r="U210" s="250" t="s">
        <v>1125</v>
      </c>
      <c r="V210" s="151" t="s">
        <v>92</v>
      </c>
      <c r="W210" s="435" t="s">
        <v>5441</v>
      </c>
      <c r="AK210" s="759" t="s">
        <v>6166</v>
      </c>
      <c r="AL210" s="98">
        <v>30</v>
      </c>
      <c r="AM210" s="592" t="s">
        <v>5467</v>
      </c>
      <c r="AU210" s="746" t="s">
        <v>2935</v>
      </c>
      <c r="AV210" s="150" t="s">
        <v>528</v>
      </c>
      <c r="AW210" s="135" t="str">
        <f t="shared" si="139"/>
        <v>ДП Лінея.1</v>
      </c>
      <c r="AY210" s="224" t="s">
        <v>1355</v>
      </c>
      <c r="AZ210" s="62" t="s">
        <v>1724</v>
      </c>
      <c r="BA210" s="139" t="str">
        <f t="shared" si="176"/>
        <v>ДП ЛАДА C.4/1.купе.</v>
      </c>
      <c r="BK210" s="143" t="s">
        <v>554</v>
      </c>
      <c r="BL210" s="137" t="s">
        <v>5071</v>
      </c>
      <c r="BM210" s="138" t="str">
        <f t="shared" si="169"/>
        <v>ФР Verto-FIT.Е-шпон</v>
      </c>
      <c r="BS210" s="58" t="s">
        <v>1067</v>
      </c>
      <c r="BT210" s="41" t="s">
        <v>4086</v>
      </c>
      <c r="BU210" s="70" t="str">
        <f t="shared" si="178"/>
        <v>ДП ЛАДА-ЛОФТ.1/1.Масив</v>
      </c>
      <c r="BW210" s="165" t="s">
        <v>1356</v>
      </c>
      <c r="BX210" s="770" t="s">
        <v>3851</v>
      </c>
      <c r="BY210" s="138" t="str">
        <f t="shared" ref="BY210:BY250" si="180">CONCATENATE(BW210,".",BX210)</f>
        <v>ДП ЛАДА C.4/2.Графіт</v>
      </c>
      <c r="CA210" s="146" t="s">
        <v>3239</v>
      </c>
      <c r="CB210" s="97"/>
      <c r="CC210" s="97"/>
      <c r="CE210" s="145" t="s">
        <v>3306</v>
      </c>
      <c r="CF210" s="137"/>
      <c r="CG210" s="138" t="str">
        <f t="shared" si="177"/>
        <v>ДП Тіана.фальц..неробоча..</v>
      </c>
      <c r="CM210" s="146" t="s">
        <v>3325</v>
      </c>
      <c r="CN210" s="137" t="s">
        <v>840</v>
      </c>
      <c r="CO210" s="138" t="str">
        <f t="shared" si="179"/>
        <v>ДП Лінея.фальц,.робоча..Standard</v>
      </c>
      <c r="CY210" s="750" t="s">
        <v>5636</v>
      </c>
      <c r="CZ210" s="785" t="s">
        <v>4886</v>
      </c>
      <c r="DA210" s="139" t="s">
        <v>859</v>
      </c>
      <c r="DD210" s="741" t="s">
        <v>5103</v>
      </c>
      <c r="DE210" s="164">
        <v>8470</v>
      </c>
      <c r="DF210" s="537">
        <f t="shared" si="171"/>
        <v>8470</v>
      </c>
      <c r="DG210" s="529"/>
      <c r="DH210" s="530">
        <f>IF(DG210="",DF210,
IF(AND($DE$10&gt;=VLOOKUP(DG210,$DD$5:$DH$9,2,0),$DE$10&lt;=VLOOKUP(DG210,$DD$5:$DH$9,3,0)),
(DF210*(1-VLOOKUP(DG210,$DD$5:$DH$9,4,0))),
DF210))</f>
        <v>8470</v>
      </c>
      <c r="DP210" s="738" t="s">
        <v>3893</v>
      </c>
      <c r="DQ210" s="166">
        <v>550</v>
      </c>
      <c r="DR210" s="522">
        <f t="shared" si="167"/>
        <v>550</v>
      </c>
      <c r="DS210" s="523"/>
      <c r="DT210" s="524">
        <f t="shared" si="168"/>
        <v>550</v>
      </c>
      <c r="DU210" s="166"/>
      <c r="DV210" s="738" t="s">
        <v>6247</v>
      </c>
      <c r="DW210" s="166">
        <v>1</v>
      </c>
      <c r="DX210" s="522">
        <f t="shared" si="153"/>
        <v>1</v>
      </c>
      <c r="DY210" s="523"/>
      <c r="DZ210" s="524">
        <f t="shared" si="154"/>
        <v>1</v>
      </c>
      <c r="EG210" s="165"/>
      <c r="EH210" s="738" t="s">
        <v>3547</v>
      </c>
      <c r="EI210" s="166">
        <v>0</v>
      </c>
      <c r="EJ210" s="522">
        <f t="shared" si="157"/>
        <v>0</v>
      </c>
      <c r="EK210" s="523"/>
      <c r="EL210" s="524">
        <f t="shared" si="158"/>
        <v>0</v>
      </c>
    </row>
    <row r="211" spans="12:142">
      <c r="L211" s="743" t="s">
        <v>2803</v>
      </c>
      <c r="M211" s="825" t="s">
        <v>2794</v>
      </c>
      <c r="N211" s="94" t="s">
        <v>2099</v>
      </c>
      <c r="O211" s="423" t="s">
        <v>728</v>
      </c>
      <c r="Q211" s="743" t="s">
        <v>2803</v>
      </c>
      <c r="R211" s="98" t="s">
        <v>534</v>
      </c>
      <c r="S211" s="94" t="s">
        <v>1017</v>
      </c>
      <c r="U211" s="249" t="s">
        <v>1126</v>
      </c>
      <c r="V211" s="152" t="s">
        <v>93</v>
      </c>
      <c r="W211" s="599" t="s">
        <v>5442</v>
      </c>
      <c r="AK211" s="591"/>
      <c r="AL211" s="475"/>
      <c r="AM211" s="592"/>
      <c r="AU211" s="742" t="s">
        <v>2935</v>
      </c>
      <c r="AV211" s="148" t="s">
        <v>530</v>
      </c>
      <c r="AW211" s="138" t="str">
        <f t="shared" si="139"/>
        <v>ДП Лінея.3</v>
      </c>
      <c r="AY211" s="234" t="s">
        <v>1356</v>
      </c>
      <c r="AZ211" s="137" t="s">
        <v>1722</v>
      </c>
      <c r="BA211" s="138" t="str">
        <f t="shared" si="176"/>
        <v>ДП ЛАДА C.4/2.фальц.</v>
      </c>
      <c r="BK211" s="144" t="s">
        <v>554</v>
      </c>
      <c r="BL211" s="62" t="s">
        <v>1836</v>
      </c>
      <c r="BM211" s="139" t="str">
        <f t="shared" si="169"/>
        <v>ФР Verto-FIT.Лофт</v>
      </c>
      <c r="BS211" s="58" t="s">
        <v>1068</v>
      </c>
      <c r="BT211" s="41" t="s">
        <v>4086</v>
      </c>
      <c r="BU211" s="70" t="str">
        <f t="shared" si="178"/>
        <v>ДП ЛАДА-ЛОФТ.3/0.Масив</v>
      </c>
      <c r="BW211" s="108" t="s">
        <v>1356</v>
      </c>
      <c r="BX211" s="248" t="s">
        <v>832</v>
      </c>
      <c r="BY211" s="139" t="str">
        <f t="shared" si="180"/>
        <v>ДП ЛАДА C.4/2.Бронза</v>
      </c>
      <c r="CA211" s="146" t="s">
        <v>3239</v>
      </c>
      <c r="CB211" s="478" t="s">
        <v>4343</v>
      </c>
      <c r="CC211" s="239" t="str">
        <f>CONCATENATE(CA211,".",CB211)</f>
        <v>ДП Ідея.б/з фальц.робоча.Magnet цл +2завіс 3D</v>
      </c>
      <c r="CE211" s="146" t="s">
        <v>3306</v>
      </c>
      <c r="CF211" s="137" t="s">
        <v>4261</v>
      </c>
      <c r="CG211" s="138" t="str">
        <f t="shared" si="177"/>
        <v>ДП Тіана.фальц..неробоча..ВВ</v>
      </c>
      <c r="CM211" s="146" t="s">
        <v>3325</v>
      </c>
      <c r="CN211" s="137" t="s">
        <v>841</v>
      </c>
      <c r="CO211" s="138" t="str">
        <f t="shared" si="179"/>
        <v>ДП Лінея.фальц,.робоча..Verto-FIT</v>
      </c>
      <c r="CY211" s="752" t="s">
        <v>5637</v>
      </c>
      <c r="CZ211" s="768" t="s">
        <v>4856</v>
      </c>
      <c r="DA211" s="138" t="s">
        <v>859</v>
      </c>
      <c r="DD211" s="740" t="s">
        <v>5104</v>
      </c>
      <c r="DE211" s="166">
        <v>8470</v>
      </c>
      <c r="DF211" s="537">
        <f t="shared" si="144"/>
        <v>8470</v>
      </c>
      <c r="DG211" s="529"/>
      <c r="DH211" s="530">
        <f t="shared" si="145"/>
        <v>8470</v>
      </c>
      <c r="DP211" s="108" t="s">
        <v>1638</v>
      </c>
      <c r="DQ211" s="164">
        <v>550</v>
      </c>
      <c r="DR211" s="531">
        <f t="shared" si="167"/>
        <v>550</v>
      </c>
      <c r="DS211" s="526"/>
      <c r="DT211" s="527">
        <f t="shared" si="168"/>
        <v>550</v>
      </c>
      <c r="DU211" s="166"/>
      <c r="DV211" s="738" t="s">
        <v>6248</v>
      </c>
      <c r="DW211" s="166">
        <v>1</v>
      </c>
      <c r="DX211" s="522">
        <f t="shared" si="153"/>
        <v>1</v>
      </c>
      <c r="DY211" s="523"/>
      <c r="DZ211" s="524">
        <f t="shared" si="154"/>
        <v>1</v>
      </c>
      <c r="EG211" s="165"/>
      <c r="EH211" s="739" t="s">
        <v>3548</v>
      </c>
      <c r="EI211" s="164">
        <v>2260</v>
      </c>
      <c r="EJ211" s="531">
        <f t="shared" si="157"/>
        <v>2260</v>
      </c>
      <c r="EK211" s="526"/>
      <c r="EL211" s="527">
        <f t="shared" si="158"/>
        <v>2260</v>
      </c>
    </row>
    <row r="212" spans="12:142">
      <c r="L212" s="743" t="s">
        <v>2804</v>
      </c>
      <c r="M212" s="825" t="s">
        <v>2794</v>
      </c>
      <c r="N212" s="94" t="s">
        <v>2099</v>
      </c>
      <c r="O212" s="423" t="s">
        <v>728</v>
      </c>
      <c r="Q212" s="743" t="s">
        <v>2804</v>
      </c>
      <c r="R212" s="98" t="s">
        <v>535</v>
      </c>
      <c r="S212" s="94" t="s">
        <v>1018</v>
      </c>
      <c r="U212" s="815"/>
      <c r="V212" s="816"/>
      <c r="W212" s="808"/>
      <c r="AK212" s="583"/>
      <c r="AL212" s="478"/>
      <c r="AM212" s="584"/>
      <c r="AU212" s="424" t="s">
        <v>2935</v>
      </c>
      <c r="AV212" s="149" t="s">
        <v>525</v>
      </c>
      <c r="AW212" s="139" t="str">
        <f t="shared" ref="AW212:AW244" si="181">CONCATENATE(AU212,".",AV212)</f>
        <v>ДП Лінея.4</v>
      </c>
      <c r="AY212" s="234" t="s">
        <v>1356</v>
      </c>
      <c r="AZ212" s="137" t="s">
        <v>1723</v>
      </c>
      <c r="BA212" s="138" t="str">
        <f t="shared" si="176"/>
        <v>ДП ЛАДА C.4/2.б/з фальц.</v>
      </c>
      <c r="BK212" s="142" t="s">
        <v>555</v>
      </c>
      <c r="BL212" s="134" t="s">
        <v>4904</v>
      </c>
      <c r="BM212" s="135" t="str">
        <f t="shared" si="169"/>
        <v>Планка Verto-FIT 80мм.Сімплекс</v>
      </c>
      <c r="BS212" s="58" t="s">
        <v>1069</v>
      </c>
      <c r="BT212" s="41" t="s">
        <v>4086</v>
      </c>
      <c r="BU212" s="70" t="str">
        <f t="shared" si="178"/>
        <v>ДП ЛАДА-ЛОФТ.3/1.Масив</v>
      </c>
      <c r="BW212" s="162" t="s">
        <v>1357</v>
      </c>
      <c r="BX212" s="246" t="s">
        <v>458</v>
      </c>
      <c r="BY212" s="135" t="str">
        <f t="shared" si="180"/>
        <v>ДП ЛАДА C.4/3.Сатин</v>
      </c>
      <c r="CA212" s="146" t="s">
        <v>3239</v>
      </c>
      <c r="CB212" s="478" t="s">
        <v>4347</v>
      </c>
      <c r="CC212" s="239" t="str">
        <f>CONCATENATE(CA212,".",CB212)</f>
        <v>ДП Ідея.б/з фальц.робоча.Magnet ст +2завіс 3D</v>
      </c>
      <c r="CE212" s="147" t="s">
        <v>3306</v>
      </c>
      <c r="CF212" s="62" t="s">
        <v>739</v>
      </c>
      <c r="CG212" s="139" t="str">
        <f t="shared" si="177"/>
        <v>ДП Тіана.фальц..неробоча..ВП</v>
      </c>
      <c r="CM212" s="147" t="s">
        <v>3325</v>
      </c>
      <c r="CN212" s="62" t="s">
        <v>371</v>
      </c>
      <c r="CO212" s="139" t="str">
        <f t="shared" si="179"/>
        <v>ДП Лінея.фальц,.робоча..Verto-FIT Plus</v>
      </c>
      <c r="CY212" s="750" t="s">
        <v>5638</v>
      </c>
      <c r="CZ212" s="785" t="s">
        <v>4886</v>
      </c>
      <c r="DA212" s="139" t="s">
        <v>859</v>
      </c>
      <c r="DD212" s="740" t="s">
        <v>5105</v>
      </c>
      <c r="DE212" s="166">
        <v>8470</v>
      </c>
      <c r="DF212" s="537">
        <f t="shared" si="144"/>
        <v>8470</v>
      </c>
      <c r="DG212" s="529"/>
      <c r="DH212" s="530">
        <f t="shared" si="145"/>
        <v>8470</v>
      </c>
      <c r="DP212" s="165" t="s">
        <v>1634</v>
      </c>
      <c r="DQ212" s="166">
        <v>0</v>
      </c>
      <c r="DR212" s="522">
        <f t="shared" si="167"/>
        <v>0</v>
      </c>
      <c r="DS212" s="523"/>
      <c r="DT212" s="524">
        <f t="shared" si="168"/>
        <v>0</v>
      </c>
      <c r="DU212" s="166"/>
      <c r="DV212" s="738" t="s">
        <v>6249</v>
      </c>
      <c r="DW212" s="166">
        <v>1</v>
      </c>
      <c r="DX212" s="522">
        <f t="shared" si="153"/>
        <v>1</v>
      </c>
      <c r="DY212" s="523"/>
      <c r="DZ212" s="524">
        <f t="shared" si="154"/>
        <v>1</v>
      </c>
      <c r="EG212" s="165"/>
      <c r="EH212" s="738" t="s">
        <v>5106</v>
      </c>
      <c r="EI212" s="166">
        <v>0</v>
      </c>
      <c r="EJ212" s="522">
        <f>ROUND(((EI212-(EI212/6))/$DD$3)*$DE$3,2)</f>
        <v>0</v>
      </c>
      <c r="EK212" s="523"/>
      <c r="EL212" s="524">
        <f>IF(EK212="",EJ212,
IF(AND($EI$10&gt;=VLOOKUP(EK212,$EH$5:$EL$9,2,0),$EI$10&lt;=VLOOKUP(EK212,$EH$5:$EL$9,3,0)),
(EJ212*(1-VLOOKUP(EK212,$EH$5:$EL$9,4,0))),
EJ212))</f>
        <v>0</v>
      </c>
    </row>
    <row r="213" spans="12:142">
      <c r="L213" s="144"/>
      <c r="M213" s="48"/>
      <c r="N213" s="94"/>
      <c r="O213" s="423"/>
      <c r="Q213" s="144"/>
      <c r="R213" s="98"/>
      <c r="S213" s="94"/>
      <c r="U213" s="153" t="s">
        <v>27</v>
      </c>
      <c r="V213" s="101" t="s">
        <v>239</v>
      </c>
      <c r="W213" s="100" t="s">
        <v>2188</v>
      </c>
      <c r="AK213" s="593"/>
      <c r="AL213" s="577"/>
      <c r="AM213" s="594"/>
      <c r="AU213" s="133" t="s">
        <v>612</v>
      </c>
      <c r="AV213" s="150" t="s">
        <v>528</v>
      </c>
      <c r="AW213" s="135" t="str">
        <f t="shared" si="181"/>
        <v>ДП ЛАЙН.1</v>
      </c>
      <c r="AY213" s="224" t="s">
        <v>1356</v>
      </c>
      <c r="AZ213" s="62" t="s">
        <v>1724</v>
      </c>
      <c r="BA213" s="139" t="str">
        <f t="shared" si="176"/>
        <v>ДП ЛАДА C.4/2.купе.</v>
      </c>
      <c r="BK213" s="143" t="s">
        <v>555</v>
      </c>
      <c r="BL213" s="137" t="s">
        <v>409</v>
      </c>
      <c r="BM213" s="138" t="str">
        <f t="shared" si="169"/>
        <v>Планка Verto-FIT 80мм.Verto-Cell</v>
      </c>
      <c r="BS213" s="58" t="s">
        <v>1070</v>
      </c>
      <c r="BT213" s="41" t="s">
        <v>4086</v>
      </c>
      <c r="BU213" s="70" t="str">
        <f t="shared" si="178"/>
        <v>ДП ЛАДА-ЛОФТ.4/0.Масив</v>
      </c>
      <c r="BW213" s="165" t="s">
        <v>1357</v>
      </c>
      <c r="BX213" s="770" t="s">
        <v>3851</v>
      </c>
      <c r="BY213" s="138" t="str">
        <f t="shared" si="180"/>
        <v>ДП ЛАДА C.4/3.Графіт</v>
      </c>
      <c r="CA213" s="146" t="s">
        <v>3239</v>
      </c>
      <c r="CB213" s="97"/>
      <c r="CC213" s="97"/>
      <c r="CE213" s="145" t="s">
        <v>3307</v>
      </c>
      <c r="CF213" s="137"/>
      <c r="CG213" s="138" t="str">
        <f t="shared" si="177"/>
        <v>ДП Тіана.б/з фальц..робоча..</v>
      </c>
      <c r="CM213" s="146" t="s">
        <v>3326</v>
      </c>
      <c r="CN213" s="137" t="s">
        <v>975</v>
      </c>
      <c r="CO213" s="138" t="str">
        <f>CONCATENATE(CM213,".",CN213)</f>
        <v>ДП Лінея.фальц.робоча.Standard-MDF</v>
      </c>
      <c r="CY213" s="476"/>
      <c r="CZ213" s="483"/>
      <c r="DA213" s="428"/>
      <c r="DD213" s="740" t="s">
        <v>5107</v>
      </c>
      <c r="DE213" s="166">
        <v>8470</v>
      </c>
      <c r="DF213" s="537">
        <f t="shared" si="144"/>
        <v>8470</v>
      </c>
      <c r="DG213" s="529"/>
      <c r="DH213" s="530">
        <f t="shared" si="145"/>
        <v>8470</v>
      </c>
      <c r="DP213" s="738" t="s">
        <v>3894</v>
      </c>
      <c r="DQ213" s="166">
        <v>550</v>
      </c>
      <c r="DR213" s="522">
        <f t="shared" si="167"/>
        <v>550</v>
      </c>
      <c r="DS213" s="523"/>
      <c r="DT213" s="524">
        <f t="shared" si="168"/>
        <v>550</v>
      </c>
      <c r="DU213" s="166"/>
      <c r="DV213" s="739" t="s">
        <v>6250</v>
      </c>
      <c r="DW213" s="164">
        <v>1</v>
      </c>
      <c r="DX213" s="525">
        <f t="shared" si="153"/>
        <v>1</v>
      </c>
      <c r="DY213" s="526"/>
      <c r="DZ213" s="527">
        <f t="shared" si="154"/>
        <v>1</v>
      </c>
      <c r="EG213" s="165"/>
      <c r="EH213" s="739" t="s">
        <v>5108</v>
      </c>
      <c r="EI213" s="164">
        <v>2400</v>
      </c>
      <c r="EJ213" s="531">
        <f>ROUND(((EI213-(EI213/6))/$DD$3)*$DE$3,2)</f>
        <v>2400</v>
      </c>
      <c r="EK213" s="526"/>
      <c r="EL213" s="527">
        <f>IF(EK213="",EJ213,
IF(AND($EI$10&gt;=VLOOKUP(EK213,$EH$5:$EL$9,2,0),$EI$10&lt;=VLOOKUP(EK213,$EH$5:$EL$9,3,0)),
(EJ213*(1-VLOOKUP(EK213,$EH$5:$EL$9,4,0))),
EJ213))</f>
        <v>2400</v>
      </c>
    </row>
    <row r="214" spans="12:142">
      <c r="L214" s="58" t="s">
        <v>1162</v>
      </c>
      <c r="M214" s="48" t="s">
        <v>1150</v>
      </c>
      <c r="N214" s="94" t="s">
        <v>2086</v>
      </c>
      <c r="O214" s="423" t="s">
        <v>728</v>
      </c>
      <c r="Q214" s="58" t="s">
        <v>1162</v>
      </c>
      <c r="R214" s="98" t="s">
        <v>190</v>
      </c>
      <c r="S214" s="94" t="s">
        <v>151</v>
      </c>
      <c r="U214" s="154" t="s">
        <v>28</v>
      </c>
      <c r="V214" s="151" t="s">
        <v>240</v>
      </c>
      <c r="W214" s="159" t="s">
        <v>2189</v>
      </c>
      <c r="AK214" s="583"/>
      <c r="AL214" s="478"/>
      <c r="AM214" s="584"/>
      <c r="AU214" s="136" t="s">
        <v>612</v>
      </c>
      <c r="AV214" s="148" t="s">
        <v>529</v>
      </c>
      <c r="AW214" s="138" t="str">
        <f t="shared" si="181"/>
        <v>ДП ЛАЙН.2</v>
      </c>
      <c r="AY214" s="234" t="s">
        <v>1357</v>
      </c>
      <c r="AZ214" s="137" t="s">
        <v>1722</v>
      </c>
      <c r="BA214" s="138" t="str">
        <f t="shared" si="176"/>
        <v>ДП ЛАДА C.4/3.фальц.</v>
      </c>
      <c r="BK214" s="143" t="s">
        <v>555</v>
      </c>
      <c r="BL214" s="137"/>
      <c r="BM214" s="138" t="str">
        <f t="shared" si="169"/>
        <v>Планка Verto-FIT 80мм.</v>
      </c>
      <c r="BS214" s="58" t="s">
        <v>1076</v>
      </c>
      <c r="BT214" s="41" t="s">
        <v>4086</v>
      </c>
      <c r="BU214" s="70" t="str">
        <f t="shared" si="178"/>
        <v>ДП ЛАДА-ЛОФТ.4/1.Масив</v>
      </c>
      <c r="BW214" s="108" t="s">
        <v>1357</v>
      </c>
      <c r="BX214" s="248" t="s">
        <v>832</v>
      </c>
      <c r="BY214" s="139" t="str">
        <f t="shared" si="180"/>
        <v>ДП ЛАДА C.4/3.Бронза</v>
      </c>
      <c r="CA214" s="146" t="s">
        <v>3239</v>
      </c>
      <c r="CB214" s="478" t="s">
        <v>4349</v>
      </c>
      <c r="CC214" s="239" t="str">
        <f>CONCATENATE(CA214,".",CB214)</f>
        <v>ДП Ідея.б/з фальц.робоча.Magnet цл +3завіс 3D</v>
      </c>
      <c r="CE214" s="146" t="s">
        <v>3307</v>
      </c>
      <c r="CF214" s="137" t="s">
        <v>4261</v>
      </c>
      <c r="CG214" s="138" t="str">
        <f t="shared" si="177"/>
        <v>ДП Тіана.б/з фальц..робоча..ВВ</v>
      </c>
      <c r="CM214" s="146" t="s">
        <v>3326</v>
      </c>
      <c r="CN214" s="137" t="s">
        <v>840</v>
      </c>
      <c r="CO214" s="138" t="str">
        <f t="shared" si="179"/>
        <v>ДП Лінея.фальц.робоча.Standard</v>
      </c>
      <c r="CY214" s="751" t="s">
        <v>4847</v>
      </c>
      <c r="CZ214" s="134"/>
      <c r="DA214" s="135" t="s">
        <v>859</v>
      </c>
      <c r="DD214" s="740" t="s">
        <v>5109</v>
      </c>
      <c r="DE214" s="166">
        <v>8470</v>
      </c>
      <c r="DF214" s="537">
        <f t="shared" si="144"/>
        <v>8470</v>
      </c>
      <c r="DG214" s="529"/>
      <c r="DH214" s="530">
        <f t="shared" si="145"/>
        <v>8470</v>
      </c>
      <c r="DP214" s="108" t="s">
        <v>1637</v>
      </c>
      <c r="DQ214" s="164">
        <v>550</v>
      </c>
      <c r="DR214" s="531">
        <f t="shared" si="167"/>
        <v>550</v>
      </c>
      <c r="DS214" s="526"/>
      <c r="DT214" s="527">
        <f t="shared" si="168"/>
        <v>550</v>
      </c>
      <c r="DU214" s="166"/>
      <c r="DV214" s="165" t="s">
        <v>2405</v>
      </c>
      <c r="DW214" s="166">
        <v>0</v>
      </c>
      <c r="DX214" s="522">
        <f t="shared" si="153"/>
        <v>0</v>
      </c>
      <c r="DY214" s="523"/>
      <c r="DZ214" s="524">
        <f t="shared" si="154"/>
        <v>0</v>
      </c>
      <c r="EG214" s="165"/>
      <c r="EH214" s="738" t="s">
        <v>3549</v>
      </c>
      <c r="EI214" s="166">
        <v>0</v>
      </c>
      <c r="EJ214" s="522">
        <f t="shared" si="157"/>
        <v>0</v>
      </c>
      <c r="EK214" s="523"/>
      <c r="EL214" s="524">
        <f t="shared" si="158"/>
        <v>0</v>
      </c>
    </row>
    <row r="215" spans="12:142">
      <c r="L215" s="58" t="s">
        <v>1163</v>
      </c>
      <c r="M215" s="48" t="s">
        <v>1150</v>
      </c>
      <c r="N215" s="94" t="s">
        <v>2086</v>
      </c>
      <c r="O215" s="423" t="s">
        <v>728</v>
      </c>
      <c r="Q215" s="58" t="s">
        <v>1163</v>
      </c>
      <c r="R215" s="98" t="s">
        <v>191</v>
      </c>
      <c r="S215" s="94" t="s">
        <v>740</v>
      </c>
      <c r="U215" s="154" t="s">
        <v>29</v>
      </c>
      <c r="V215" s="151" t="s">
        <v>241</v>
      </c>
      <c r="W215" s="159" t="s">
        <v>2190</v>
      </c>
      <c r="AK215" s="777" t="s">
        <v>4410</v>
      </c>
      <c r="AL215" s="151" t="s">
        <v>979</v>
      </c>
      <c r="AM215" s="584" t="s">
        <v>2317</v>
      </c>
      <c r="AU215" s="136" t="s">
        <v>612</v>
      </c>
      <c r="AV215" s="148" t="s">
        <v>530</v>
      </c>
      <c r="AW215" s="138" t="str">
        <f t="shared" si="181"/>
        <v>ДП ЛАЙН.3</v>
      </c>
      <c r="AY215" s="234" t="s">
        <v>1357</v>
      </c>
      <c r="AZ215" s="137" t="s">
        <v>1723</v>
      </c>
      <c r="BA215" s="138" t="str">
        <f t="shared" si="176"/>
        <v>ДП ЛАДА C.4/3.б/з фальц.</v>
      </c>
      <c r="BK215" s="143" t="s">
        <v>555</v>
      </c>
      <c r="BL215" s="137" t="s">
        <v>1893</v>
      </c>
      <c r="BM215" s="138" t="str">
        <f t="shared" si="169"/>
        <v>Планка Verto-FIT 80мм.Uni-Mat</v>
      </c>
      <c r="BS215" s="58" t="s">
        <v>1071</v>
      </c>
      <c r="BT215" s="41" t="s">
        <v>4086</v>
      </c>
      <c r="BU215" s="70" t="str">
        <f t="shared" si="178"/>
        <v>ДП ЛАДА-ЛОФТ.5/0.Масив</v>
      </c>
      <c r="BW215" s="162" t="s">
        <v>1358</v>
      </c>
      <c r="BX215" s="246" t="s">
        <v>458</v>
      </c>
      <c r="BY215" s="135" t="str">
        <f t="shared" si="180"/>
        <v>ДП ЛАДА C.4/4.Сатин</v>
      </c>
      <c r="CA215" s="147" t="s">
        <v>3239</v>
      </c>
      <c r="CB215" s="590" t="s">
        <v>4350</v>
      </c>
      <c r="CC215" s="240" t="str">
        <f>CONCATENATE(CA215,".",CB215)</f>
        <v>ДП Ідея.б/з фальц.робоча.Magnet ст +3завіс 3D</v>
      </c>
      <c r="CE215" s="147" t="s">
        <v>3307</v>
      </c>
      <c r="CF215" s="62" t="s">
        <v>739</v>
      </c>
      <c r="CG215" s="139" t="str">
        <f t="shared" si="177"/>
        <v>ДП Тіана.б/з фальц..робоча..ВП</v>
      </c>
      <c r="CM215" s="146" t="s">
        <v>3326</v>
      </c>
      <c r="CN215" s="137" t="s">
        <v>841</v>
      </c>
      <c r="CO215" s="138" t="str">
        <f t="shared" si="179"/>
        <v>ДП Лінея.фальц.робоча.Verto-FIT</v>
      </c>
      <c r="CY215" s="750" t="s">
        <v>4877</v>
      </c>
      <c r="CZ215" s="62"/>
      <c r="DA215" s="139" t="s">
        <v>859</v>
      </c>
      <c r="DD215" s="740" t="s">
        <v>5110</v>
      </c>
      <c r="DE215" s="166">
        <v>8470</v>
      </c>
      <c r="DF215" s="537">
        <f t="shared" si="144"/>
        <v>8470</v>
      </c>
      <c r="DG215" s="529"/>
      <c r="DH215" s="530">
        <f t="shared" si="145"/>
        <v>8470</v>
      </c>
      <c r="DP215" s="165" t="s">
        <v>1635</v>
      </c>
      <c r="DQ215" s="166">
        <v>0</v>
      </c>
      <c r="DR215" s="522">
        <f t="shared" si="167"/>
        <v>0</v>
      </c>
      <c r="DS215" s="523"/>
      <c r="DT215" s="524">
        <f t="shared" si="168"/>
        <v>0</v>
      </c>
      <c r="DU215" s="166"/>
      <c r="DV215" s="108" t="s">
        <v>2406</v>
      </c>
      <c r="DW215" s="164">
        <v>560</v>
      </c>
      <c r="DX215" s="531">
        <f t="shared" si="153"/>
        <v>560</v>
      </c>
      <c r="DY215" s="526"/>
      <c r="DZ215" s="527">
        <f t="shared" si="154"/>
        <v>560</v>
      </c>
      <c r="EG215" s="165"/>
      <c r="EH215" s="739" t="s">
        <v>3550</v>
      </c>
      <c r="EI215" s="164">
        <v>2400</v>
      </c>
      <c r="EJ215" s="531">
        <f t="shared" si="157"/>
        <v>2400</v>
      </c>
      <c r="EK215" s="526"/>
      <c r="EL215" s="527">
        <f t="shared" si="158"/>
        <v>2400</v>
      </c>
    </row>
    <row r="216" spans="12:142">
      <c r="L216" s="58" t="s">
        <v>1164</v>
      </c>
      <c r="M216" s="48" t="s">
        <v>1150</v>
      </c>
      <c r="N216" s="94" t="s">
        <v>2086</v>
      </c>
      <c r="O216" s="423" t="s">
        <v>728</v>
      </c>
      <c r="Q216" s="58" t="s">
        <v>1164</v>
      </c>
      <c r="R216" s="98" t="s">
        <v>192</v>
      </c>
      <c r="S216" s="94" t="s">
        <v>741</v>
      </c>
      <c r="U216" s="154" t="s">
        <v>30</v>
      </c>
      <c r="V216" s="151" t="s">
        <v>242</v>
      </c>
      <c r="W216" s="159" t="s">
        <v>2191</v>
      </c>
      <c r="AK216" s="777" t="s">
        <v>6167</v>
      </c>
      <c r="AL216" s="151" t="s">
        <v>6460</v>
      </c>
      <c r="AM216" s="584" t="s">
        <v>6169</v>
      </c>
      <c r="AU216" s="136" t="s">
        <v>612</v>
      </c>
      <c r="AV216" s="148" t="s">
        <v>525</v>
      </c>
      <c r="AW216" s="138" t="str">
        <f t="shared" si="181"/>
        <v>ДП ЛАЙН.4</v>
      </c>
      <c r="AY216" s="224" t="s">
        <v>1357</v>
      </c>
      <c r="AZ216" s="62" t="s">
        <v>1724</v>
      </c>
      <c r="BA216" s="139" t="str">
        <f t="shared" si="176"/>
        <v>ДП ЛАДА C.4/3.купе.</v>
      </c>
      <c r="BK216" s="143" t="s">
        <v>555</v>
      </c>
      <c r="BL216" s="137" t="s">
        <v>557</v>
      </c>
      <c r="BM216" s="138" t="str">
        <f t="shared" si="169"/>
        <v>Планка Verto-FIT 80мм.Резист</v>
      </c>
      <c r="BS216" s="58" t="s">
        <v>1072</v>
      </c>
      <c r="BT216" s="41" t="s">
        <v>4086</v>
      </c>
      <c r="BU216" s="70" t="str">
        <f t="shared" si="178"/>
        <v>ДП ЛАДА-ЛОФТ.5/1.Масив</v>
      </c>
      <c r="BW216" s="165" t="s">
        <v>1358</v>
      </c>
      <c r="BX216" s="770" t="s">
        <v>3851</v>
      </c>
      <c r="BY216" s="138" t="str">
        <f t="shared" si="180"/>
        <v>ДП ЛАДА C.4/4.Графіт</v>
      </c>
      <c r="CA216" s="746" t="s">
        <v>3244</v>
      </c>
      <c r="CB216" s="134" t="s">
        <v>4106</v>
      </c>
      <c r="CC216" s="135" t="str">
        <f>CONCATENATE(CA216,".",CB216)</f>
        <v>ДП Ідея.купе.робоча.(ні)</v>
      </c>
      <c r="CE216" s="145" t="s">
        <v>3308</v>
      </c>
      <c r="CF216" s="137"/>
      <c r="CG216" s="138" t="str">
        <f t="shared" si="177"/>
        <v>ДП Тіана.купе..робоча..</v>
      </c>
      <c r="CM216" s="146" t="s">
        <v>3326</v>
      </c>
      <c r="CN216" s="137" t="s">
        <v>371</v>
      </c>
      <c r="CO216" s="138" t="str">
        <f t="shared" si="179"/>
        <v>ДП Лінея.фальц.робоча.Verto-FIT Plus</v>
      </c>
      <c r="CY216" s="752" t="s">
        <v>4848</v>
      </c>
      <c r="CZ216" s="137"/>
      <c r="DA216" s="138" t="s">
        <v>859</v>
      </c>
      <c r="DD216" s="740" t="s">
        <v>5098</v>
      </c>
      <c r="DE216" s="166">
        <v>8470</v>
      </c>
      <c r="DF216" s="537">
        <f t="shared" si="144"/>
        <v>8470</v>
      </c>
      <c r="DG216" s="529"/>
      <c r="DH216" s="530">
        <f t="shared" si="145"/>
        <v>8470</v>
      </c>
      <c r="DP216" s="738" t="s">
        <v>3895</v>
      </c>
      <c r="DQ216" s="166">
        <v>550</v>
      </c>
      <c r="DR216" s="522">
        <f t="shared" si="167"/>
        <v>550</v>
      </c>
      <c r="DS216" s="523"/>
      <c r="DT216" s="524">
        <f t="shared" si="168"/>
        <v>550</v>
      </c>
      <c r="DU216" s="166"/>
      <c r="DV216" s="647"/>
      <c r="DW216" s="648"/>
      <c r="DX216" s="654"/>
      <c r="DY216" s="655"/>
      <c r="DZ216" s="656"/>
      <c r="EG216" s="165"/>
      <c r="EH216" s="256"/>
      <c r="EI216" s="257"/>
      <c r="EJ216" s="517"/>
      <c r="EK216" s="532"/>
      <c r="EL216" s="259"/>
    </row>
    <row r="217" spans="12:142">
      <c r="L217" s="58" t="s">
        <v>1165</v>
      </c>
      <c r="M217" s="48" t="s">
        <v>1150</v>
      </c>
      <c r="N217" s="94" t="s">
        <v>2086</v>
      </c>
      <c r="O217" s="423" t="s">
        <v>728</v>
      </c>
      <c r="P217" s="21"/>
      <c r="Q217" s="58" t="s">
        <v>1165</v>
      </c>
      <c r="R217" s="98" t="s">
        <v>193</v>
      </c>
      <c r="S217" s="94" t="s">
        <v>742</v>
      </c>
      <c r="U217" s="155" t="s">
        <v>31</v>
      </c>
      <c r="V217" s="152" t="s">
        <v>243</v>
      </c>
      <c r="W217" s="160" t="s">
        <v>2192</v>
      </c>
      <c r="AK217" s="777" t="s">
        <v>4414</v>
      </c>
      <c r="AL217" s="151" t="s">
        <v>160</v>
      </c>
      <c r="AM217" s="584" t="s">
        <v>2318</v>
      </c>
      <c r="AU217" s="136" t="s">
        <v>612</v>
      </c>
      <c r="AV217" s="148" t="s">
        <v>526</v>
      </c>
      <c r="AW217" s="138" t="str">
        <f t="shared" si="181"/>
        <v>ДП ЛАЙН.5</v>
      </c>
      <c r="AY217" s="234" t="s">
        <v>1358</v>
      </c>
      <c r="AZ217" s="137" t="s">
        <v>1722</v>
      </c>
      <c r="BA217" s="138" t="str">
        <f t="shared" si="176"/>
        <v>ДП ЛАДА C.4/4.фальц.</v>
      </c>
      <c r="BK217" s="143" t="s">
        <v>555</v>
      </c>
      <c r="BL217" s="137" t="s">
        <v>62</v>
      </c>
      <c r="BM217" s="138" t="str">
        <f t="shared" si="169"/>
        <v>Планка Verto-FIT 80мм.LINE-3D</v>
      </c>
      <c r="BS217" s="58" t="s">
        <v>1073</v>
      </c>
      <c r="BT217" s="41" t="s">
        <v>4086</v>
      </c>
      <c r="BU217" s="70" t="str">
        <f t="shared" si="178"/>
        <v>ДП ЛАДА-ЛОФТ.6/0.Масив</v>
      </c>
      <c r="BW217" s="108" t="s">
        <v>1358</v>
      </c>
      <c r="BX217" s="248" t="s">
        <v>832</v>
      </c>
      <c r="BY217" s="139" t="str">
        <f t="shared" si="180"/>
        <v>ДП ЛАДА C.4/4.Бронза</v>
      </c>
      <c r="CA217" s="742" t="s">
        <v>3244</v>
      </c>
      <c r="CB217" s="21"/>
      <c r="CC217" s="21"/>
      <c r="CE217" s="146" t="s">
        <v>3308</v>
      </c>
      <c r="CF217" s="62" t="s">
        <v>4261</v>
      </c>
      <c r="CG217" s="139" t="str">
        <f t="shared" si="177"/>
        <v>ДП Тіана.купе..робоча..ВВ</v>
      </c>
      <c r="CM217" s="86" t="s">
        <v>3327</v>
      </c>
      <c r="CN217" s="56" t="s">
        <v>4106</v>
      </c>
      <c r="CO217" s="70" t="str">
        <f t="shared" si="179"/>
        <v>ДП Лінея.фальц,.неробоча,.(ні)</v>
      </c>
      <c r="CY217" s="750" t="s">
        <v>4878</v>
      </c>
      <c r="CZ217" s="62"/>
      <c r="DA217" s="139" t="s">
        <v>859</v>
      </c>
      <c r="DD217" s="740" t="s">
        <v>5099</v>
      </c>
      <c r="DE217" s="166">
        <v>8470</v>
      </c>
      <c r="DF217" s="537">
        <f t="shared" si="144"/>
        <v>8470</v>
      </c>
      <c r="DG217" s="529"/>
      <c r="DH217" s="530">
        <f t="shared" si="145"/>
        <v>8470</v>
      </c>
      <c r="DP217" s="108" t="s">
        <v>1636</v>
      </c>
      <c r="DQ217" s="164">
        <v>550</v>
      </c>
      <c r="DR217" s="531">
        <f t="shared" si="167"/>
        <v>550</v>
      </c>
      <c r="DS217" s="526"/>
      <c r="DT217" s="527">
        <f t="shared" si="168"/>
        <v>550</v>
      </c>
      <c r="DU217" s="166"/>
      <c r="DV217" s="795" t="s">
        <v>4139</v>
      </c>
      <c r="DW217" s="796">
        <v>0</v>
      </c>
      <c r="DX217" s="801">
        <f t="shared" ref="DX217:DX245" si="182">ROUND(((DW217-(DW217/6))/$DD$3)*$DE$3,2)</f>
        <v>0</v>
      </c>
      <c r="DY217" s="514"/>
      <c r="DZ217" s="511">
        <f t="shared" ref="DZ217:DZ245" si="183">IF(DY217="",DX217,
IF(AND($DW$10&gt;=VLOOKUP(DY217,$DV$5:$DZ$9,2,0),$DW$10&lt;=VLOOKUP(DY217,$DV$5:$DZ$9,3,0)),
(DX217*(1-VLOOKUP(DY217,$DV$5:$DZ$9,4,0))),
DX217))</f>
        <v>0</v>
      </c>
      <c r="EG217" s="165"/>
      <c r="EH217" s="256"/>
      <c r="EI217" s="257"/>
      <c r="EJ217" s="517"/>
      <c r="EK217" s="532"/>
      <c r="EL217" s="259"/>
    </row>
    <row r="218" spans="12:142">
      <c r="L218" s="58" t="s">
        <v>1166</v>
      </c>
      <c r="M218" s="48" t="s">
        <v>1150</v>
      </c>
      <c r="N218" s="94" t="s">
        <v>2086</v>
      </c>
      <c r="O218" s="423" t="s">
        <v>728</v>
      </c>
      <c r="Q218" s="58" t="s">
        <v>1166</v>
      </c>
      <c r="R218" s="98" t="s">
        <v>203</v>
      </c>
      <c r="S218" s="94" t="s">
        <v>743</v>
      </c>
      <c r="U218" s="815"/>
      <c r="V218" s="816"/>
      <c r="W218" s="808"/>
      <c r="AK218" s="777" t="s">
        <v>6168</v>
      </c>
      <c r="AL218" s="151" t="s">
        <v>6448</v>
      </c>
      <c r="AM218" s="584" t="s">
        <v>6171</v>
      </c>
      <c r="AU218" s="136" t="s">
        <v>612</v>
      </c>
      <c r="AV218" s="148" t="s">
        <v>527</v>
      </c>
      <c r="AW218" s="138" t="str">
        <f t="shared" si="181"/>
        <v>ДП ЛАЙН.6</v>
      </c>
      <c r="AY218" s="234" t="s">
        <v>1358</v>
      </c>
      <c r="AZ218" s="137" t="s">
        <v>1723</v>
      </c>
      <c r="BA218" s="138" t="str">
        <f t="shared" si="176"/>
        <v>ДП ЛАДА C.4/4.б/з фальц.</v>
      </c>
      <c r="BK218" s="143" t="s">
        <v>555</v>
      </c>
      <c r="BL218" s="137" t="s">
        <v>5071</v>
      </c>
      <c r="BM218" s="138" t="str">
        <f t="shared" si="169"/>
        <v>Планка Verto-FIT 80мм.Е-шпон</v>
      </c>
      <c r="BS218" s="58" t="s">
        <v>1074</v>
      </c>
      <c r="BT218" s="41" t="s">
        <v>4086</v>
      </c>
      <c r="BU218" s="70" t="str">
        <f t="shared" si="178"/>
        <v>ДП ЛАДА-ЛОФТ.6/1.Масив</v>
      </c>
      <c r="BW218" s="162" t="s">
        <v>1359</v>
      </c>
      <c r="BX218" s="246" t="s">
        <v>458</v>
      </c>
      <c r="BY218" s="135" t="str">
        <f t="shared" si="180"/>
        <v>ДП ЛАДА C.4/5.Сатин</v>
      </c>
      <c r="CA218" s="742" t="s">
        <v>3244</v>
      </c>
      <c r="CB218" s="137" t="s">
        <v>462</v>
      </c>
      <c r="CC218" s="138" t="str">
        <f>CONCATENATE(CA218,".",CB218)</f>
        <v>ДП Ідея.купе.робоча.Ручка-Захват</v>
      </c>
      <c r="CE218" s="546"/>
      <c r="CF218" s="544"/>
      <c r="CG218" s="545"/>
      <c r="CM218" s="86" t="s">
        <v>3328</v>
      </c>
      <c r="CN218" s="56" t="s">
        <v>4106</v>
      </c>
      <c r="CO218" s="70" t="str">
        <f t="shared" si="179"/>
        <v>ДП Лінея.фальц.неробоча.(ні)</v>
      </c>
      <c r="CY218" s="752" t="s">
        <v>4849</v>
      </c>
      <c r="CZ218" s="137"/>
      <c r="DA218" s="138" t="s">
        <v>859</v>
      </c>
      <c r="DD218" s="740" t="s">
        <v>5100</v>
      </c>
      <c r="DE218" s="166">
        <v>8470</v>
      </c>
      <c r="DF218" s="537">
        <f t="shared" si="144"/>
        <v>8470</v>
      </c>
      <c r="DG218" s="529"/>
      <c r="DH218" s="530">
        <f t="shared" si="145"/>
        <v>8470</v>
      </c>
      <c r="DP218" s="256"/>
      <c r="DQ218" s="257"/>
      <c r="DR218" s="517"/>
      <c r="DS218" s="532"/>
      <c r="DT218" s="259"/>
      <c r="DU218" s="166"/>
      <c r="DV218" s="802" t="s">
        <v>4493</v>
      </c>
      <c r="DW218" s="728">
        <v>0</v>
      </c>
      <c r="DX218" s="803">
        <f t="shared" si="182"/>
        <v>0</v>
      </c>
      <c r="DY218" s="529"/>
      <c r="DZ218" s="530">
        <f t="shared" si="183"/>
        <v>0</v>
      </c>
      <c r="EG218" s="165"/>
      <c r="EH218" s="737" t="s">
        <v>4968</v>
      </c>
      <c r="EI218" s="163">
        <v>0</v>
      </c>
      <c r="EJ218" s="537">
        <f t="shared" ref="EJ218:EJ250" si="184">ROUND(((EI218-(EI218/6))/$DD$3)*$DE$3,2)</f>
        <v>0</v>
      </c>
      <c r="EK218" s="529"/>
      <c r="EL218" s="530">
        <f t="shared" ref="EL218:EL250" si="185">IF(EK218="",EJ218,
IF(AND($EI$10&gt;=VLOOKUP(EK218,$EH$5:$EL$9,2,0),$EI$10&lt;=VLOOKUP(EK218,$EH$5:$EL$9,3,0)),
(EJ218*(1-VLOOKUP(EK218,$EH$5:$EL$9,4,0))),
EJ218))</f>
        <v>0</v>
      </c>
    </row>
    <row r="219" spans="12:142">
      <c r="L219" s="58" t="s">
        <v>1167</v>
      </c>
      <c r="M219" s="48" t="s">
        <v>1150</v>
      </c>
      <c r="N219" s="94" t="s">
        <v>2086</v>
      </c>
      <c r="O219" s="423" t="s">
        <v>728</v>
      </c>
      <c r="Q219" s="58" t="s">
        <v>1167</v>
      </c>
      <c r="R219" s="98" t="s">
        <v>204</v>
      </c>
      <c r="S219" s="94" t="s">
        <v>744</v>
      </c>
      <c r="U219" s="153" t="s">
        <v>32</v>
      </c>
      <c r="V219" s="101" t="s">
        <v>239</v>
      </c>
      <c r="W219" s="100" t="s">
        <v>2188</v>
      </c>
      <c r="AK219" s="778" t="s">
        <v>4417</v>
      </c>
      <c r="AL219" s="152" t="s">
        <v>270</v>
      </c>
      <c r="AM219" s="586" t="s">
        <v>2319</v>
      </c>
      <c r="AU219" s="44" t="s">
        <v>612</v>
      </c>
      <c r="AV219" s="149" t="s">
        <v>663</v>
      </c>
      <c r="AW219" s="139" t="str">
        <f t="shared" si="181"/>
        <v>ДП ЛАЙН.7</v>
      </c>
      <c r="AY219" s="224" t="s">
        <v>1358</v>
      </c>
      <c r="AZ219" s="62" t="s">
        <v>1724</v>
      </c>
      <c r="BA219" s="139" t="str">
        <f t="shared" si="176"/>
        <v>ДП ЛАДА C.4/4.купе.</v>
      </c>
      <c r="BK219" s="144" t="s">
        <v>555</v>
      </c>
      <c r="BL219" s="62" t="s">
        <v>1836</v>
      </c>
      <c r="BM219" s="139" t="str">
        <f t="shared" si="169"/>
        <v>Планка Verto-FIT 80мм.Лофт</v>
      </c>
      <c r="BS219" s="426"/>
      <c r="BT219" s="427"/>
      <c r="BU219" s="428"/>
      <c r="BW219" s="165" t="s">
        <v>1359</v>
      </c>
      <c r="BX219" s="770" t="s">
        <v>3851</v>
      </c>
      <c r="BY219" s="138" t="str">
        <f t="shared" si="180"/>
        <v>ДП ЛАДА C.4/5.Графіт</v>
      </c>
      <c r="CA219" s="742" t="s">
        <v>3244</v>
      </c>
      <c r="CB219" s="137" t="s">
        <v>684</v>
      </c>
      <c r="CC219" s="138" t="str">
        <f>CONCATENATE(CA219,".",CB219)</f>
        <v>ДП Ідея.купе.робоча.Ручка-Замок</v>
      </c>
      <c r="CE219" s="145" t="s">
        <v>3309</v>
      </c>
      <c r="CF219" s="137"/>
      <c r="CG219" s="138" t="str">
        <f t="shared" ref="CG219:CG229" si="186">CONCATENATE(CE219,".",CF219)</f>
        <v>ДП Єва.фальц..робоча..</v>
      </c>
      <c r="CM219" s="432"/>
      <c r="CN219" s="222"/>
      <c r="CO219" s="223"/>
      <c r="CY219" s="750" t="s">
        <v>4879</v>
      </c>
      <c r="CZ219" s="62"/>
      <c r="DA219" s="139" t="s">
        <v>859</v>
      </c>
      <c r="DD219" s="740" t="s">
        <v>5101</v>
      </c>
      <c r="DE219" s="166">
        <v>8470</v>
      </c>
      <c r="DF219" s="537">
        <f t="shared" si="144"/>
        <v>8470</v>
      </c>
      <c r="DG219" s="529"/>
      <c r="DH219" s="530">
        <f t="shared" si="145"/>
        <v>8470</v>
      </c>
      <c r="DP219" s="162" t="s">
        <v>1596</v>
      </c>
      <c r="DQ219" s="163">
        <v>0</v>
      </c>
      <c r="DR219" s="528">
        <f t="shared" ref="DR219:DR254" si="187">ROUND(((DQ219-(DQ219/6))/$DD$3)*$DE$3,2)</f>
        <v>0</v>
      </c>
      <c r="DS219" s="529"/>
      <c r="DT219" s="530">
        <f t="shared" ref="DT219:DT254" si="188">IF(DS219="",DR219,
IF(AND($DQ$10&gt;=VLOOKUP(DS219,$DP$5:$DT$9,2,0),$DQ$10&lt;=VLOOKUP(DS219,$DP$5:$DT$9,3,0)),
(DR219*(1-VLOOKUP(DS219,$DP$5:$DT$9,4,0))),
DR219))</f>
        <v>0</v>
      </c>
      <c r="DU219" s="166"/>
      <c r="DV219" s="799" t="s">
        <v>4494</v>
      </c>
      <c r="DW219" s="726">
        <v>0</v>
      </c>
      <c r="DX219" s="804">
        <f t="shared" si="182"/>
        <v>0</v>
      </c>
      <c r="DY219" s="523"/>
      <c r="DZ219" s="524">
        <f t="shared" si="183"/>
        <v>0</v>
      </c>
      <c r="EG219" s="165"/>
      <c r="EH219" s="739" t="s">
        <v>4969</v>
      </c>
      <c r="EI219" s="164">
        <v>1340</v>
      </c>
      <c r="EJ219" s="531">
        <f t="shared" si="184"/>
        <v>1340</v>
      </c>
      <c r="EK219" s="526"/>
      <c r="EL219" s="527">
        <f t="shared" si="185"/>
        <v>1340</v>
      </c>
    </row>
    <row r="220" spans="12:142">
      <c r="L220" s="58" t="s">
        <v>1168</v>
      </c>
      <c r="M220" s="48" t="s">
        <v>1150</v>
      </c>
      <c r="N220" s="94" t="s">
        <v>2086</v>
      </c>
      <c r="O220" s="423" t="s">
        <v>728</v>
      </c>
      <c r="Q220" s="58" t="s">
        <v>1168</v>
      </c>
      <c r="R220" s="98" t="s">
        <v>1188</v>
      </c>
      <c r="S220" s="94" t="s">
        <v>1282</v>
      </c>
      <c r="U220" s="154" t="s">
        <v>33</v>
      </c>
      <c r="V220" s="151" t="s">
        <v>240</v>
      </c>
      <c r="W220" s="159" t="s">
        <v>2189</v>
      </c>
      <c r="AK220" s="778" t="s">
        <v>6170</v>
      </c>
      <c r="AL220" s="152" t="s">
        <v>6454</v>
      </c>
      <c r="AM220" s="586" t="s">
        <v>6172</v>
      </c>
      <c r="AU220" s="746" t="s">
        <v>2957</v>
      </c>
      <c r="AV220" s="150" t="s">
        <v>528</v>
      </c>
      <c r="AW220" s="135" t="str">
        <f t="shared" si="181"/>
        <v>ДП Елегант.1</v>
      </c>
      <c r="AY220" s="234" t="s">
        <v>1359</v>
      </c>
      <c r="AZ220" s="137" t="s">
        <v>1722</v>
      </c>
      <c r="BA220" s="138" t="str">
        <f t="shared" si="176"/>
        <v>ДП ЛАДА C.4/5.фальц.</v>
      </c>
      <c r="BK220" s="142" t="s">
        <v>505</v>
      </c>
      <c r="BL220" s="134" t="s">
        <v>4904</v>
      </c>
      <c r="BM220" s="135" t="str">
        <f t="shared" si="169"/>
        <v>Планка Verto-FIT 160мм.Сімплекс</v>
      </c>
      <c r="BS220" s="58" t="s">
        <v>2728</v>
      </c>
      <c r="BT220" s="56" t="s">
        <v>4086</v>
      </c>
      <c r="BU220" s="70" t="str">
        <f t="shared" ref="BU220:BU238" si="189">CONCATENATE(BS220,".",BT220)</f>
        <v>ДП Лінда.1/0.Масив</v>
      </c>
      <c r="BW220" s="108" t="s">
        <v>1359</v>
      </c>
      <c r="BX220" s="248" t="s">
        <v>832</v>
      </c>
      <c r="BY220" s="139" t="str">
        <f t="shared" si="180"/>
        <v>ДП ЛАДА C.4/5.Бронза</v>
      </c>
      <c r="CA220" s="432"/>
      <c r="CB220" s="222"/>
      <c r="CC220" s="223"/>
      <c r="CE220" s="146" t="s">
        <v>3309</v>
      </c>
      <c r="CF220" s="137" t="s">
        <v>4261</v>
      </c>
      <c r="CG220" s="138" t="str">
        <f t="shared" si="186"/>
        <v>ДП Єва.фальц..робоча..ВВ</v>
      </c>
      <c r="CM220" s="146" t="s">
        <v>3329</v>
      </c>
      <c r="CN220" s="137" t="s">
        <v>975</v>
      </c>
      <c r="CO220" s="138" t="str">
        <f>CONCATENATE(CM220,".",CN220)</f>
        <v>ДП ЛАЙН.фальц,.робоча..Standard-MDF</v>
      </c>
      <c r="CY220" s="752" t="s">
        <v>4849</v>
      </c>
      <c r="CZ220" s="137"/>
      <c r="DA220" s="138" t="s">
        <v>859</v>
      </c>
      <c r="DD220" s="740" t="s">
        <v>5102</v>
      </c>
      <c r="DE220" s="166">
        <v>8470</v>
      </c>
      <c r="DF220" s="537">
        <f t="shared" si="144"/>
        <v>8470</v>
      </c>
      <c r="DG220" s="529"/>
      <c r="DH220" s="530">
        <f>IF(DG220="",DF220,
IF(AND($DE$10&gt;=VLOOKUP(DG220,$DD$5:$DH$9,2,0),$DE$10&lt;=VLOOKUP(DG220,$DD$5:$DH$9,3,0)),
(DF220*(1-VLOOKUP(DG220,$DD$5:$DH$9,4,0))),
DF220))</f>
        <v>8470</v>
      </c>
      <c r="DP220" s="738" t="s">
        <v>3896</v>
      </c>
      <c r="DQ220" s="166">
        <v>550</v>
      </c>
      <c r="DR220" s="522">
        <f t="shared" si="187"/>
        <v>550</v>
      </c>
      <c r="DS220" s="523"/>
      <c r="DT220" s="524">
        <f t="shared" si="188"/>
        <v>550</v>
      </c>
      <c r="DU220" s="166"/>
      <c r="DV220" s="799" t="s">
        <v>4495</v>
      </c>
      <c r="DW220" s="726">
        <v>0</v>
      </c>
      <c r="DX220" s="804">
        <f t="shared" si="182"/>
        <v>0</v>
      </c>
      <c r="DY220" s="523"/>
      <c r="DZ220" s="524">
        <f t="shared" si="183"/>
        <v>0</v>
      </c>
      <c r="EG220" s="165"/>
      <c r="EH220" s="738" t="s">
        <v>3551</v>
      </c>
      <c r="EI220" s="166">
        <v>0</v>
      </c>
      <c r="EJ220" s="522">
        <f t="shared" si="184"/>
        <v>0</v>
      </c>
      <c r="EK220" s="523"/>
      <c r="EL220" s="524">
        <f t="shared" si="185"/>
        <v>0</v>
      </c>
    </row>
    <row r="221" spans="12:142">
      <c r="L221" s="58" t="s">
        <v>1169</v>
      </c>
      <c r="M221" s="48" t="s">
        <v>1150</v>
      </c>
      <c r="N221" s="94" t="s">
        <v>2086</v>
      </c>
      <c r="O221" s="423" t="s">
        <v>728</v>
      </c>
      <c r="Q221" s="58" t="s">
        <v>1169</v>
      </c>
      <c r="R221" s="98" t="s">
        <v>1189</v>
      </c>
      <c r="S221" s="94" t="s">
        <v>1283</v>
      </c>
      <c r="U221" s="154" t="s">
        <v>34</v>
      </c>
      <c r="V221" s="151" t="s">
        <v>241</v>
      </c>
      <c r="W221" s="159" t="s">
        <v>2190</v>
      </c>
      <c r="AK221" s="591"/>
      <c r="AL221" s="475"/>
      <c r="AM221" s="592"/>
      <c r="AU221" s="742" t="s">
        <v>2957</v>
      </c>
      <c r="AV221" s="148" t="s">
        <v>529</v>
      </c>
      <c r="AW221" s="138" t="str">
        <f t="shared" si="181"/>
        <v>ДП Елегант.2</v>
      </c>
      <c r="AY221" s="234" t="s">
        <v>1359</v>
      </c>
      <c r="AZ221" s="137" t="s">
        <v>1723</v>
      </c>
      <c r="BA221" s="138" t="str">
        <f t="shared" si="176"/>
        <v>ДП ЛАДА C.4/5.б/з фальц.</v>
      </c>
      <c r="BK221" s="143" t="s">
        <v>505</v>
      </c>
      <c r="BL221" s="137" t="s">
        <v>409</v>
      </c>
      <c r="BM221" s="138" t="str">
        <f t="shared" si="169"/>
        <v>Планка Verto-FIT 160мм.Verto-Cell</v>
      </c>
      <c r="BS221" s="58" t="s">
        <v>2729</v>
      </c>
      <c r="BT221" s="56" t="s">
        <v>4086</v>
      </c>
      <c r="BU221" s="70" t="str">
        <f t="shared" si="189"/>
        <v>ДП Лінда.1/1.Масив</v>
      </c>
      <c r="BW221" s="162" t="s">
        <v>1360</v>
      </c>
      <c r="BX221" s="246" t="s">
        <v>458</v>
      </c>
      <c r="BY221" s="135" t="str">
        <f t="shared" si="180"/>
        <v>ДП ЛАДА C.4/6.Сатин</v>
      </c>
      <c r="CA221" s="742" t="s">
        <v>3249</v>
      </c>
      <c r="CB221" s="137" t="s">
        <v>4106</v>
      </c>
      <c r="CC221" s="138" t="str">
        <f>CONCATENATE(CA221,".",CB221)</f>
        <v>ДП Ідея-ЛОФТ.фальц.робоча.(ні)</v>
      </c>
      <c r="CE221" s="147" t="s">
        <v>3309</v>
      </c>
      <c r="CF221" s="62" t="s">
        <v>739</v>
      </c>
      <c r="CG221" s="139" t="str">
        <f t="shared" si="186"/>
        <v>ДП Єва.фальц..робоча..ВП</v>
      </c>
      <c r="CM221" s="146" t="s">
        <v>3329</v>
      </c>
      <c r="CN221" s="137" t="s">
        <v>840</v>
      </c>
      <c r="CO221" s="138" t="str">
        <f>CONCATENATE(CM221,".",CN221)</f>
        <v>ДП ЛАЙН.фальц,.робоча..Standard</v>
      </c>
      <c r="CY221" s="750" t="s">
        <v>4879</v>
      </c>
      <c r="CZ221" s="62"/>
      <c r="DA221" s="139" t="s">
        <v>859</v>
      </c>
      <c r="DD221" s="741" t="s">
        <v>5103</v>
      </c>
      <c r="DE221" s="164">
        <v>8470</v>
      </c>
      <c r="DF221" s="537">
        <f t="shared" si="144"/>
        <v>8470</v>
      </c>
      <c r="DG221" s="529"/>
      <c r="DH221" s="530">
        <f t="shared" si="145"/>
        <v>8470</v>
      </c>
      <c r="DP221" s="108" t="s">
        <v>1675</v>
      </c>
      <c r="DQ221" s="164">
        <v>550</v>
      </c>
      <c r="DR221" s="531">
        <f t="shared" si="187"/>
        <v>550</v>
      </c>
      <c r="DS221" s="526"/>
      <c r="DT221" s="527">
        <f t="shared" si="188"/>
        <v>550</v>
      </c>
      <c r="DU221" s="166"/>
      <c r="DV221" s="799" t="s">
        <v>4496</v>
      </c>
      <c r="DW221" s="726">
        <v>450</v>
      </c>
      <c r="DX221" s="804">
        <f t="shared" si="182"/>
        <v>450</v>
      </c>
      <c r="DY221" s="523"/>
      <c r="DZ221" s="524">
        <f t="shared" si="183"/>
        <v>450</v>
      </c>
      <c r="EG221" s="165"/>
      <c r="EH221" s="739" t="s">
        <v>3552</v>
      </c>
      <c r="EI221" s="164">
        <v>1340</v>
      </c>
      <c r="EJ221" s="531">
        <f t="shared" si="184"/>
        <v>1340</v>
      </c>
      <c r="EK221" s="526"/>
      <c r="EL221" s="527">
        <f t="shared" si="185"/>
        <v>1340</v>
      </c>
    </row>
    <row r="222" spans="12:142">
      <c r="L222" s="58" t="s">
        <v>1170</v>
      </c>
      <c r="M222" s="48" t="s">
        <v>1150</v>
      </c>
      <c r="N222" s="94" t="s">
        <v>2086</v>
      </c>
      <c r="O222" s="423" t="s">
        <v>728</v>
      </c>
      <c r="Q222" s="58" t="s">
        <v>1170</v>
      </c>
      <c r="R222" s="98" t="s">
        <v>1190</v>
      </c>
      <c r="S222" s="94" t="s">
        <v>1284</v>
      </c>
      <c r="U222" s="154" t="s">
        <v>35</v>
      </c>
      <c r="V222" s="151" t="s">
        <v>242</v>
      </c>
      <c r="W222" s="159" t="s">
        <v>2191</v>
      </c>
      <c r="AK222" s="600" t="s">
        <v>237</v>
      </c>
      <c r="AL222" s="98" t="s">
        <v>174</v>
      </c>
      <c r="AM222" s="592" t="s">
        <v>2316</v>
      </c>
      <c r="AU222" s="742" t="s">
        <v>2957</v>
      </c>
      <c r="AV222" s="148" t="s">
        <v>530</v>
      </c>
      <c r="AW222" s="138" t="str">
        <f t="shared" si="181"/>
        <v>ДП Елегант.3</v>
      </c>
      <c r="AY222" s="224" t="s">
        <v>1359</v>
      </c>
      <c r="AZ222" s="62" t="s">
        <v>1724</v>
      </c>
      <c r="BA222" s="139" t="str">
        <f t="shared" si="176"/>
        <v>ДП ЛАДА C.4/5.купе.</v>
      </c>
      <c r="BK222" s="143" t="s">
        <v>505</v>
      </c>
      <c r="BL222" s="137"/>
      <c r="BM222" s="138" t="str">
        <f t="shared" si="169"/>
        <v>Планка Verto-FIT 160мм.</v>
      </c>
      <c r="BS222" s="58" t="s">
        <v>2730</v>
      </c>
      <c r="BT222" s="56" t="s">
        <v>4086</v>
      </c>
      <c r="BU222" s="70" t="str">
        <f t="shared" si="189"/>
        <v>ДП Лінда.1/2.Масив</v>
      </c>
      <c r="BW222" s="165" t="s">
        <v>1360</v>
      </c>
      <c r="BX222" s="770" t="s">
        <v>3851</v>
      </c>
      <c r="BY222" s="138" t="str">
        <f t="shared" si="180"/>
        <v>ДП ЛАДА C.4/6.Графіт</v>
      </c>
      <c r="CA222" s="742" t="s">
        <v>3249</v>
      </c>
      <c r="CB222" s="21"/>
      <c r="CC222" s="21"/>
      <c r="CE222" s="145" t="s">
        <v>3310</v>
      </c>
      <c r="CF222" s="137"/>
      <c r="CG222" s="138" t="str">
        <f t="shared" si="186"/>
        <v>ДП Єва.фальц..неробоча..</v>
      </c>
      <c r="CM222" s="146" t="s">
        <v>3329</v>
      </c>
      <c r="CN222" s="137" t="s">
        <v>841</v>
      </c>
      <c r="CO222" s="138" t="str">
        <f>CONCATENATE(CM222,".",CN222)</f>
        <v>ДП ЛАЙН.фальц,.робоча..Verto-FIT</v>
      </c>
      <c r="CY222" s="752" t="s">
        <v>6193</v>
      </c>
      <c r="CZ222" s="137"/>
      <c r="DA222" s="138" t="s">
        <v>859</v>
      </c>
      <c r="DD222" s="641"/>
      <c r="DE222" s="648"/>
      <c r="DF222" s="643"/>
      <c r="DG222" s="644"/>
      <c r="DH222" s="645"/>
      <c r="DP222" s="108" t="s">
        <v>6049</v>
      </c>
      <c r="DQ222" s="164">
        <v>550</v>
      </c>
      <c r="DR222" s="531">
        <f>ROUND(((DQ222-(DQ222/6))/$DD$3)*$DE$3,2)</f>
        <v>550</v>
      </c>
      <c r="DS222" s="526"/>
      <c r="DT222" s="527">
        <f>IF(DS222="",DR222,
IF(AND($DQ$10&gt;=VLOOKUP(DS222,$DP$5:$DT$9,2,0),$DQ$10&lt;=VLOOKUP(DS222,$DP$5:$DT$9,3,0)),
(DR222*(1-VLOOKUP(DS222,$DP$5:$DT$9,4,0))),
DR222))</f>
        <v>550</v>
      </c>
      <c r="DU222" s="166"/>
      <c r="DV222" s="799" t="s">
        <v>4497</v>
      </c>
      <c r="DW222" s="726">
        <v>450</v>
      </c>
      <c r="DX222" s="804">
        <f t="shared" si="182"/>
        <v>450</v>
      </c>
      <c r="DY222" s="523"/>
      <c r="DZ222" s="524">
        <f t="shared" si="183"/>
        <v>450</v>
      </c>
      <c r="EG222" s="165"/>
      <c r="EH222" s="738" t="s">
        <v>3553</v>
      </c>
      <c r="EI222" s="166">
        <v>0</v>
      </c>
      <c r="EJ222" s="522">
        <f>ROUND(((EI222-(EI222/6))/$DD$3)*$DE$3,2)</f>
        <v>0</v>
      </c>
      <c r="EK222" s="523"/>
      <c r="EL222" s="524">
        <f>IF(EK222="",EJ222,
IF(AND($EI$10&gt;=VLOOKUP(EK222,$EH$5:$EL$9,2,0),$EI$10&lt;=VLOOKUP(EK222,$EH$5:$EL$9,3,0)),
(EJ222*(1-VLOOKUP(EK222,$EH$5:$EL$9,4,0))),
EJ222))</f>
        <v>0</v>
      </c>
    </row>
    <row r="223" spans="12:142">
      <c r="L223" s="58" t="s">
        <v>1171</v>
      </c>
      <c r="M223" s="48" t="s">
        <v>1150</v>
      </c>
      <c r="N223" s="94" t="s">
        <v>2086</v>
      </c>
      <c r="O223" s="423" t="s">
        <v>728</v>
      </c>
      <c r="Q223" s="58" t="s">
        <v>1171</v>
      </c>
      <c r="R223" s="98" t="s">
        <v>1191</v>
      </c>
      <c r="S223" s="94" t="s">
        <v>1285</v>
      </c>
      <c r="U223" s="155" t="s">
        <v>36</v>
      </c>
      <c r="V223" s="152" t="s">
        <v>243</v>
      </c>
      <c r="W223" s="160" t="s">
        <v>2192</v>
      </c>
      <c r="AK223" s="600" t="s">
        <v>238</v>
      </c>
      <c r="AL223" s="98" t="s">
        <v>175</v>
      </c>
      <c r="AM223" s="592" t="s">
        <v>2320</v>
      </c>
      <c r="AU223" s="742" t="s">
        <v>2957</v>
      </c>
      <c r="AV223" s="148" t="s">
        <v>525</v>
      </c>
      <c r="AW223" s="138" t="str">
        <f t="shared" si="181"/>
        <v>ДП Елегант.4</v>
      </c>
      <c r="AY223" s="234" t="s">
        <v>1360</v>
      </c>
      <c r="AZ223" s="137" t="s">
        <v>1722</v>
      </c>
      <c r="BA223" s="138" t="str">
        <f t="shared" si="176"/>
        <v>ДП ЛАДА C.4/6.фальц.</v>
      </c>
      <c r="BK223" s="143" t="s">
        <v>505</v>
      </c>
      <c r="BL223" s="137" t="s">
        <v>1893</v>
      </c>
      <c r="BM223" s="138" t="str">
        <f t="shared" si="169"/>
        <v>Планка Verto-FIT 160мм.Uni-Mat</v>
      </c>
      <c r="BS223" s="58" t="s">
        <v>2731</v>
      </c>
      <c r="BT223" s="56" t="s">
        <v>4086</v>
      </c>
      <c r="BU223" s="70" t="str">
        <f t="shared" si="189"/>
        <v>ДП Лінда.1/3.Масив</v>
      </c>
      <c r="BW223" s="108" t="s">
        <v>1360</v>
      </c>
      <c r="BX223" s="248" t="s">
        <v>832</v>
      </c>
      <c r="BY223" s="139" t="str">
        <f t="shared" si="180"/>
        <v>ДП ЛАДА C.4/6.Бронза</v>
      </c>
      <c r="CA223" s="742" t="s">
        <v>3249</v>
      </c>
      <c r="CB223" s="783" t="s">
        <v>5748</v>
      </c>
      <c r="CC223" s="138" t="str">
        <f t="shared" ref="CC223:CC228" si="190">CONCATENATE(CA223,".",CB223)</f>
        <v>ДП Ідея-ЛОФТ.фальц.робоча.Stand цл Лів +2завіс</v>
      </c>
      <c r="CE223" s="146" t="s">
        <v>3310</v>
      </c>
      <c r="CF223" s="137" t="s">
        <v>4261</v>
      </c>
      <c r="CG223" s="138" t="str">
        <f t="shared" si="186"/>
        <v>ДП Єва.фальц..неробоча..ВВ</v>
      </c>
      <c r="CM223" s="146" t="s">
        <v>3329</v>
      </c>
      <c r="CN223" s="137" t="s">
        <v>371</v>
      </c>
      <c r="CO223" s="138" t="str">
        <f>CONCATENATE(CM223,".",CN223)</f>
        <v>ДП ЛАЙН.фальц,.робоча..Verto-FIT Plus</v>
      </c>
      <c r="CY223" s="750" t="s">
        <v>6194</v>
      </c>
      <c r="CZ223" s="62"/>
      <c r="DA223" s="139" t="s">
        <v>859</v>
      </c>
      <c r="DD223" s="251" t="s">
        <v>1434</v>
      </c>
      <c r="DE223" s="163">
        <v>6230</v>
      </c>
      <c r="DF223" s="528">
        <f t="shared" si="144"/>
        <v>6230</v>
      </c>
      <c r="DG223" s="529"/>
      <c r="DH223" s="530">
        <f t="shared" si="145"/>
        <v>6230</v>
      </c>
      <c r="DP223" s="165" t="s">
        <v>1597</v>
      </c>
      <c r="DQ223" s="166">
        <v>0</v>
      </c>
      <c r="DR223" s="522">
        <f t="shared" si="187"/>
        <v>0</v>
      </c>
      <c r="DS223" s="523"/>
      <c r="DT223" s="524">
        <f t="shared" si="188"/>
        <v>0</v>
      </c>
      <c r="DU223" s="166"/>
      <c r="DV223" s="799" t="s">
        <v>4498</v>
      </c>
      <c r="DW223" s="726">
        <v>660</v>
      </c>
      <c r="DX223" s="804">
        <f t="shared" si="182"/>
        <v>660</v>
      </c>
      <c r="DY223" s="523"/>
      <c r="DZ223" s="524">
        <f t="shared" si="183"/>
        <v>660</v>
      </c>
      <c r="EG223" s="165"/>
      <c r="EH223" s="739" t="s">
        <v>3554</v>
      </c>
      <c r="EI223" s="164">
        <v>1340</v>
      </c>
      <c r="EJ223" s="531">
        <f>ROUND(((EI223-(EI223/6))/$DD$3)*$DE$3,2)</f>
        <v>1340</v>
      </c>
      <c r="EK223" s="526"/>
      <c r="EL223" s="527">
        <f>IF(EK223="",EJ223,
IF(AND($EI$10&gt;=VLOOKUP(EK223,$EH$5:$EL$9,2,0),$EI$10&lt;=VLOOKUP(EK223,$EH$5:$EL$9,3,0)),
(EJ223*(1-VLOOKUP(EK223,$EH$5:$EL$9,4,0))),
EJ223))</f>
        <v>1340</v>
      </c>
    </row>
    <row r="224" spans="12:142">
      <c r="L224" s="58"/>
      <c r="M224" s="48"/>
      <c r="N224" s="94"/>
      <c r="O224" s="423"/>
      <c r="Q224" s="58"/>
      <c r="R224" s="98"/>
      <c r="S224" s="94"/>
      <c r="U224" s="815"/>
      <c r="V224" s="816"/>
      <c r="W224" s="808"/>
      <c r="AK224" s="591"/>
      <c r="AL224" s="475"/>
      <c r="AM224" s="592"/>
      <c r="AU224" s="742" t="s">
        <v>2957</v>
      </c>
      <c r="AV224" s="148" t="s">
        <v>526</v>
      </c>
      <c r="AW224" s="138" t="str">
        <f t="shared" si="181"/>
        <v>ДП Елегант.5</v>
      </c>
      <c r="AY224" s="234" t="s">
        <v>1360</v>
      </c>
      <c r="AZ224" s="137" t="s">
        <v>1723</v>
      </c>
      <c r="BA224" s="138" t="str">
        <f t="shared" si="176"/>
        <v>ДП ЛАДА C.4/6.б/з фальц.</v>
      </c>
      <c r="BK224" s="143" t="s">
        <v>505</v>
      </c>
      <c r="BL224" s="137" t="s">
        <v>557</v>
      </c>
      <c r="BM224" s="138" t="str">
        <f t="shared" si="169"/>
        <v>Планка Verto-FIT 160мм.Резист</v>
      </c>
      <c r="BS224" s="58" t="s">
        <v>2732</v>
      </c>
      <c r="BT224" s="56" t="s">
        <v>4086</v>
      </c>
      <c r="BU224" s="70" t="str">
        <f t="shared" si="189"/>
        <v>ДП Лінда.1/4.Масив</v>
      </c>
      <c r="BW224" s="162" t="s">
        <v>1361</v>
      </c>
      <c r="BX224" s="246" t="s">
        <v>458</v>
      </c>
      <c r="BY224" s="135" t="str">
        <f t="shared" si="180"/>
        <v>ДП ЛАДА C.4/7.Сатин</v>
      </c>
      <c r="CA224" s="742" t="s">
        <v>3249</v>
      </c>
      <c r="CB224" s="783" t="s">
        <v>5749</v>
      </c>
      <c r="CC224" s="138" t="str">
        <f t="shared" si="190"/>
        <v>ДП Ідея-ЛОФТ.фальц.робоча.Stand цл Пр +2завіс</v>
      </c>
      <c r="CE224" s="147" t="s">
        <v>3310</v>
      </c>
      <c r="CF224" s="62" t="s">
        <v>739</v>
      </c>
      <c r="CG224" s="139" t="str">
        <f t="shared" si="186"/>
        <v>ДП Єва.фальц..неробоча..ВП</v>
      </c>
      <c r="CM224" s="86" t="s">
        <v>3330</v>
      </c>
      <c r="CN224" s="56" t="s">
        <v>4106</v>
      </c>
      <c r="CO224" s="70" t="str">
        <f>CONCATENATE(CM224,".",CN224)</f>
        <v>ДП ЛАЙН.фальц,.неробоча,.(ні)</v>
      </c>
      <c r="CY224" s="752" t="s">
        <v>6193</v>
      </c>
      <c r="CZ224" s="137"/>
      <c r="DA224" s="138" t="s">
        <v>859</v>
      </c>
      <c r="DD224" s="250" t="s">
        <v>1436</v>
      </c>
      <c r="DE224" s="166">
        <v>6230</v>
      </c>
      <c r="DF224" s="528">
        <f t="shared" si="144"/>
        <v>6230</v>
      </c>
      <c r="DG224" s="523"/>
      <c r="DH224" s="530">
        <f t="shared" si="145"/>
        <v>6230</v>
      </c>
      <c r="DP224" s="738" t="s">
        <v>3897</v>
      </c>
      <c r="DQ224" s="166">
        <v>550</v>
      </c>
      <c r="DR224" s="522">
        <f t="shared" si="187"/>
        <v>550</v>
      </c>
      <c r="DS224" s="523"/>
      <c r="DT224" s="524">
        <f t="shared" si="188"/>
        <v>550</v>
      </c>
      <c r="DU224" s="166"/>
      <c r="DV224" s="805" t="s">
        <v>4499</v>
      </c>
      <c r="DW224" s="727">
        <v>660</v>
      </c>
      <c r="DX224" s="806">
        <f t="shared" si="182"/>
        <v>660</v>
      </c>
      <c r="DY224" s="526"/>
      <c r="DZ224" s="527">
        <f t="shared" si="183"/>
        <v>660</v>
      </c>
      <c r="EG224" s="165"/>
      <c r="EH224" s="738" t="s">
        <v>3555</v>
      </c>
      <c r="EI224" s="166">
        <v>0</v>
      </c>
      <c r="EJ224" s="522">
        <f>ROUND(((EI224-(EI224/6))/$DD$3)*$DE$3,2)</f>
        <v>0</v>
      </c>
      <c r="EK224" s="523"/>
      <c r="EL224" s="524">
        <f>IF(EK224="",EJ224,
IF(AND($EI$10&gt;=VLOOKUP(EK224,$EH$5:$EL$9,2,0),$EI$10&lt;=VLOOKUP(EK224,$EH$5:$EL$9,3,0)),
(EJ224*(1-VLOOKUP(EK224,$EH$5:$EL$9,4,0))),
EJ224))</f>
        <v>0</v>
      </c>
    </row>
    <row r="225" spans="12:142">
      <c r="L225" s="58" t="s">
        <v>1178</v>
      </c>
      <c r="M225" s="48" t="s">
        <v>1151</v>
      </c>
      <c r="N225" s="94" t="s">
        <v>2087</v>
      </c>
      <c r="O225" s="423" t="s">
        <v>728</v>
      </c>
      <c r="Q225" s="58" t="s">
        <v>1178</v>
      </c>
      <c r="R225" s="98" t="s">
        <v>194</v>
      </c>
      <c r="S225" s="94" t="s">
        <v>138</v>
      </c>
      <c r="U225" s="251" t="s">
        <v>1286</v>
      </c>
      <c r="V225" s="101" t="s">
        <v>239</v>
      </c>
      <c r="W225" s="100" t="s">
        <v>2188</v>
      </c>
      <c r="AK225" s="600" t="s">
        <v>590</v>
      </c>
      <c r="AL225" s="98" t="s">
        <v>591</v>
      </c>
      <c r="AM225" s="790" t="s">
        <v>5465</v>
      </c>
      <c r="AU225" s="742" t="s">
        <v>2957</v>
      </c>
      <c r="AV225" s="148" t="s">
        <v>527</v>
      </c>
      <c r="AW225" s="138" t="str">
        <f t="shared" si="181"/>
        <v>ДП Елегант.6</v>
      </c>
      <c r="AY225" s="224" t="s">
        <v>1360</v>
      </c>
      <c r="AZ225" s="62" t="s">
        <v>1724</v>
      </c>
      <c r="BA225" s="139" t="str">
        <f t="shared" si="176"/>
        <v>ДП ЛАДА C.4/6.купе.</v>
      </c>
      <c r="BK225" s="143" t="s">
        <v>505</v>
      </c>
      <c r="BL225" s="137" t="s">
        <v>62</v>
      </c>
      <c r="BM225" s="138" t="str">
        <f t="shared" si="169"/>
        <v>Планка Verto-FIT 160мм.LINE-3D</v>
      </c>
      <c r="BS225" s="58" t="s">
        <v>2733</v>
      </c>
      <c r="BT225" s="56" t="s">
        <v>4086</v>
      </c>
      <c r="BU225" s="70" t="str">
        <f t="shared" si="189"/>
        <v>ДП Лінда.1/5.Масив</v>
      </c>
      <c r="BW225" s="165" t="s">
        <v>1361</v>
      </c>
      <c r="BX225" s="770" t="s">
        <v>3851</v>
      </c>
      <c r="BY225" s="138" t="str">
        <f t="shared" si="180"/>
        <v>ДП ЛАДА C.4/7.Графіт</v>
      </c>
      <c r="CA225" s="742" t="s">
        <v>3249</v>
      </c>
      <c r="CB225" s="783" t="s">
        <v>5750</v>
      </c>
      <c r="CC225" s="138" t="str">
        <f t="shared" si="190"/>
        <v>ДП Ідея-ЛОФТ.фальц.робоча.Stand кл Лів +2завіс</v>
      </c>
      <c r="CE225" s="145" t="s">
        <v>3311</v>
      </c>
      <c r="CF225" s="137"/>
      <c r="CG225" s="138" t="str">
        <f t="shared" si="186"/>
        <v>ДП Єва.б/з фальц..робоча..</v>
      </c>
      <c r="CM225" s="432"/>
      <c r="CN225" s="222"/>
      <c r="CO225" s="223"/>
      <c r="CY225" s="750" t="s">
        <v>6194</v>
      </c>
      <c r="CZ225" s="62"/>
      <c r="DA225" s="139" t="s">
        <v>859</v>
      </c>
      <c r="DD225" s="250" t="s">
        <v>1437</v>
      </c>
      <c r="DE225" s="166">
        <v>6230</v>
      </c>
      <c r="DF225" s="528">
        <f t="shared" si="144"/>
        <v>6230</v>
      </c>
      <c r="DG225" s="523"/>
      <c r="DH225" s="530">
        <f t="shared" si="145"/>
        <v>6230</v>
      </c>
      <c r="DP225" s="108" t="s">
        <v>1674</v>
      </c>
      <c r="DQ225" s="164">
        <v>550</v>
      </c>
      <c r="DR225" s="531">
        <f t="shared" si="187"/>
        <v>550</v>
      </c>
      <c r="DS225" s="526"/>
      <c r="DT225" s="527">
        <f t="shared" si="188"/>
        <v>550</v>
      </c>
      <c r="DU225" s="166"/>
      <c r="DV225" s="802" t="s">
        <v>4500</v>
      </c>
      <c r="DW225" s="728">
        <v>60</v>
      </c>
      <c r="DX225" s="803">
        <f t="shared" si="182"/>
        <v>60</v>
      </c>
      <c r="DY225" s="529"/>
      <c r="DZ225" s="530">
        <f t="shared" si="183"/>
        <v>60</v>
      </c>
      <c r="EG225" s="165"/>
      <c r="EH225" s="739" t="s">
        <v>3556</v>
      </c>
      <c r="EI225" s="164">
        <v>1530</v>
      </c>
      <c r="EJ225" s="531">
        <f>ROUND(((EI225-(EI225/6))/$DD$3)*$DE$3,2)</f>
        <v>1530</v>
      </c>
      <c r="EK225" s="526"/>
      <c r="EL225" s="527">
        <f>IF(EK225="",EJ225,
IF(AND($EI$10&gt;=VLOOKUP(EK225,$EH$5:$EL$9,2,0),$EI$10&lt;=VLOOKUP(EK225,$EH$5:$EL$9,3,0)),
(EJ225*(1-VLOOKUP(EK225,$EH$5:$EL$9,4,0))),
EJ225))</f>
        <v>1530</v>
      </c>
    </row>
    <row r="226" spans="12:142">
      <c r="L226" s="58" t="s">
        <v>1179</v>
      </c>
      <c r="M226" s="48" t="s">
        <v>1151</v>
      </c>
      <c r="N226" s="94" t="s">
        <v>2087</v>
      </c>
      <c r="O226" s="423" t="s">
        <v>728</v>
      </c>
      <c r="Q226" s="58" t="s">
        <v>1179</v>
      </c>
      <c r="R226" s="98" t="s">
        <v>195</v>
      </c>
      <c r="S226" s="94" t="s">
        <v>139</v>
      </c>
      <c r="U226" s="250" t="s">
        <v>1287</v>
      </c>
      <c r="V226" s="151" t="s">
        <v>240</v>
      </c>
      <c r="W226" s="159" t="s">
        <v>2189</v>
      </c>
      <c r="AK226" s="591"/>
      <c r="AL226" s="475"/>
      <c r="AM226" s="592"/>
      <c r="AU226" s="424" t="s">
        <v>2957</v>
      </c>
      <c r="AV226" s="149" t="s">
        <v>663</v>
      </c>
      <c r="AW226" s="139" t="str">
        <f t="shared" si="181"/>
        <v>ДП Елегант.7</v>
      </c>
      <c r="AY226" s="234" t="s">
        <v>1361</v>
      </c>
      <c r="AZ226" s="137" t="s">
        <v>1722</v>
      </c>
      <c r="BA226" s="138" t="str">
        <f t="shared" si="176"/>
        <v>ДП ЛАДА C.4/7.фальц.</v>
      </c>
      <c r="BK226" s="143" t="s">
        <v>505</v>
      </c>
      <c r="BL226" s="137" t="s">
        <v>5071</v>
      </c>
      <c r="BM226" s="138" t="str">
        <f t="shared" si="169"/>
        <v>Планка Verto-FIT 160мм.Е-шпон</v>
      </c>
      <c r="BS226" s="58" t="s">
        <v>2734</v>
      </c>
      <c r="BT226" s="56" t="s">
        <v>4086</v>
      </c>
      <c r="BU226" s="70" t="str">
        <f t="shared" si="189"/>
        <v>ДП Лінда.1/6.Масив</v>
      </c>
      <c r="BW226" s="108" t="s">
        <v>1361</v>
      </c>
      <c r="BX226" s="248" t="s">
        <v>832</v>
      </c>
      <c r="BY226" s="139" t="str">
        <f t="shared" si="180"/>
        <v>ДП ЛАДА C.4/7.Бронза</v>
      </c>
      <c r="CA226" s="742" t="s">
        <v>3249</v>
      </c>
      <c r="CB226" s="783" t="s">
        <v>5751</v>
      </c>
      <c r="CC226" s="138" t="str">
        <f t="shared" si="190"/>
        <v>ДП Ідея-ЛОФТ.фальц.робоча.Stand кл Пр +2завіс</v>
      </c>
      <c r="CE226" s="146" t="s">
        <v>3311</v>
      </c>
      <c r="CF226" s="137" t="s">
        <v>4261</v>
      </c>
      <c r="CG226" s="138" t="str">
        <f t="shared" si="186"/>
        <v>ДП Єва.б/з фальц..робоча..ВВ</v>
      </c>
      <c r="CM226" s="146" t="s">
        <v>3331</v>
      </c>
      <c r="CN226" s="137" t="s">
        <v>975</v>
      </c>
      <c r="CO226" s="138" t="str">
        <f>CONCATENATE(CM226,".",CN226)</f>
        <v>ДП Елегант.фальц.робоча.Standard-MDF</v>
      </c>
      <c r="CY226" s="476"/>
      <c r="CZ226" s="483"/>
      <c r="DA226" s="428"/>
      <c r="DD226" s="250" t="s">
        <v>1438</v>
      </c>
      <c r="DE226" s="166">
        <v>6230</v>
      </c>
      <c r="DF226" s="528">
        <f t="shared" si="144"/>
        <v>6230</v>
      </c>
      <c r="DG226" s="523"/>
      <c r="DH226" s="530">
        <f t="shared" si="145"/>
        <v>6230</v>
      </c>
      <c r="DP226" s="165" t="s">
        <v>1598</v>
      </c>
      <c r="DQ226" s="166">
        <v>0</v>
      </c>
      <c r="DR226" s="522">
        <f t="shared" si="187"/>
        <v>0</v>
      </c>
      <c r="DS226" s="523"/>
      <c r="DT226" s="524">
        <f t="shared" si="188"/>
        <v>0</v>
      </c>
      <c r="DU226" s="166"/>
      <c r="DV226" s="799" t="s">
        <v>4501</v>
      </c>
      <c r="DW226" s="726">
        <v>60</v>
      </c>
      <c r="DX226" s="804">
        <f t="shared" si="182"/>
        <v>60</v>
      </c>
      <c r="DY226" s="523"/>
      <c r="DZ226" s="524">
        <f t="shared" si="183"/>
        <v>60</v>
      </c>
      <c r="EG226" s="165"/>
      <c r="EH226" s="738" t="s">
        <v>3557</v>
      </c>
      <c r="EI226" s="166">
        <v>0</v>
      </c>
      <c r="EJ226" s="522">
        <f t="shared" si="184"/>
        <v>0</v>
      </c>
      <c r="EK226" s="523"/>
      <c r="EL226" s="524">
        <f t="shared" si="185"/>
        <v>0</v>
      </c>
    </row>
    <row r="227" spans="12:142">
      <c r="L227" s="58" t="s">
        <v>1172</v>
      </c>
      <c r="M227" s="48" t="s">
        <v>1151</v>
      </c>
      <c r="N227" s="94" t="s">
        <v>2087</v>
      </c>
      <c r="O227" s="423" t="s">
        <v>728</v>
      </c>
      <c r="Q227" s="58" t="s">
        <v>1172</v>
      </c>
      <c r="R227" s="98" t="s">
        <v>185</v>
      </c>
      <c r="S227" s="94" t="s">
        <v>143</v>
      </c>
      <c r="U227" s="250" t="s">
        <v>1288</v>
      </c>
      <c r="V227" s="151" t="s">
        <v>241</v>
      </c>
      <c r="W227" s="159" t="s">
        <v>2190</v>
      </c>
      <c r="AK227" s="583"/>
      <c r="AL227" s="478"/>
      <c r="AM227" s="584"/>
      <c r="AU227" s="133" t="s">
        <v>157</v>
      </c>
      <c r="AV227" s="150" t="s">
        <v>528</v>
      </c>
      <c r="AW227" s="135" t="str">
        <f t="shared" si="181"/>
        <v>ДП ГЛАСФОРД.1</v>
      </c>
      <c r="AY227" s="234" t="s">
        <v>1361</v>
      </c>
      <c r="AZ227" s="137" t="s">
        <v>1723</v>
      </c>
      <c r="BA227" s="138" t="str">
        <f t="shared" si="176"/>
        <v>ДП ЛАДА C.4/7.б/з фальц.</v>
      </c>
      <c r="BK227" s="144" t="s">
        <v>505</v>
      </c>
      <c r="BL227" s="62" t="s">
        <v>1836</v>
      </c>
      <c r="BM227" s="139" t="str">
        <f t="shared" si="169"/>
        <v>Планка Verto-FIT 160мм.Лофт</v>
      </c>
      <c r="BS227" s="58" t="s">
        <v>2735</v>
      </c>
      <c r="BT227" s="56" t="s">
        <v>4086</v>
      </c>
      <c r="BU227" s="70" t="str">
        <f t="shared" si="189"/>
        <v>ДП Лінда.1/7.Масив</v>
      </c>
      <c r="BW227" s="162" t="s">
        <v>1362</v>
      </c>
      <c r="BX227" s="246" t="s">
        <v>458</v>
      </c>
      <c r="BY227" s="135" t="str">
        <f t="shared" si="180"/>
        <v>ДП ЛАДА C.4/8.Сатин</v>
      </c>
      <c r="CA227" s="742" t="s">
        <v>3249</v>
      </c>
      <c r="CB227" s="783" t="s">
        <v>5752</v>
      </c>
      <c r="CC227" s="138" t="str">
        <f t="shared" si="190"/>
        <v>ДП Ідея-ЛОФТ.фальц.робоча.Stand ст Лів +2завіс</v>
      </c>
      <c r="CE227" s="147" t="s">
        <v>3311</v>
      </c>
      <c r="CF227" s="62" t="s">
        <v>739</v>
      </c>
      <c r="CG227" s="139" t="str">
        <f t="shared" si="186"/>
        <v>ДП Єва.б/з фальц..робоча..ВП</v>
      </c>
      <c r="CM227" s="146" t="s">
        <v>3331</v>
      </c>
      <c r="CN227" s="137" t="s">
        <v>840</v>
      </c>
      <c r="CO227" s="138" t="str">
        <f>CONCATENATE(CM227,".",CN227)</f>
        <v>ДП Елегант.фальц.робоча.Standard</v>
      </c>
      <c r="CY227" s="751" t="s">
        <v>4850</v>
      </c>
      <c r="CZ227" s="134"/>
      <c r="DA227" s="135" t="s">
        <v>859</v>
      </c>
      <c r="DD227" s="250" t="s">
        <v>1439</v>
      </c>
      <c r="DE227" s="166">
        <v>6230</v>
      </c>
      <c r="DF227" s="528">
        <f t="shared" si="144"/>
        <v>6230</v>
      </c>
      <c r="DG227" s="523"/>
      <c r="DH227" s="530">
        <f t="shared" si="145"/>
        <v>6230</v>
      </c>
      <c r="DP227" s="738" t="s">
        <v>3898</v>
      </c>
      <c r="DQ227" s="166">
        <v>550</v>
      </c>
      <c r="DR227" s="522">
        <f t="shared" si="187"/>
        <v>550</v>
      </c>
      <c r="DS227" s="523"/>
      <c r="DT227" s="524">
        <f t="shared" si="188"/>
        <v>550</v>
      </c>
      <c r="DU227" s="166"/>
      <c r="DV227" s="799" t="s">
        <v>4502</v>
      </c>
      <c r="DW227" s="726">
        <v>60</v>
      </c>
      <c r="DX227" s="804">
        <f t="shared" si="182"/>
        <v>60</v>
      </c>
      <c r="DY227" s="523"/>
      <c r="DZ227" s="524">
        <f t="shared" si="183"/>
        <v>60</v>
      </c>
      <c r="EG227" s="165"/>
      <c r="EH227" s="739" t="s">
        <v>3558</v>
      </c>
      <c r="EI227" s="164">
        <v>1630</v>
      </c>
      <c r="EJ227" s="531">
        <f t="shared" si="184"/>
        <v>1630</v>
      </c>
      <c r="EK227" s="526"/>
      <c r="EL227" s="527">
        <f t="shared" si="185"/>
        <v>1630</v>
      </c>
    </row>
    <row r="228" spans="12:142">
      <c r="L228" s="58" t="s">
        <v>1173</v>
      </c>
      <c r="M228" s="48" t="s">
        <v>1151</v>
      </c>
      <c r="N228" s="94" t="s">
        <v>2087</v>
      </c>
      <c r="O228" s="423" t="s">
        <v>728</v>
      </c>
      <c r="P228" s="21"/>
      <c r="Q228" s="58" t="s">
        <v>1173</v>
      </c>
      <c r="R228" s="98" t="s">
        <v>186</v>
      </c>
      <c r="S228" s="94" t="s">
        <v>144</v>
      </c>
      <c r="U228" s="250" t="s">
        <v>1289</v>
      </c>
      <c r="V228" s="151" t="s">
        <v>242</v>
      </c>
      <c r="W228" s="159" t="s">
        <v>2191</v>
      </c>
      <c r="AK228" s="583"/>
      <c r="AL228" s="478"/>
      <c r="AM228" s="584"/>
      <c r="AU228" s="136" t="s">
        <v>157</v>
      </c>
      <c r="AV228" s="148" t="s">
        <v>529</v>
      </c>
      <c r="AW228" s="138" t="str">
        <f t="shared" si="181"/>
        <v>ДП ГЛАСФОРД.2</v>
      </c>
      <c r="AY228" s="224" t="s">
        <v>1361</v>
      </c>
      <c r="AZ228" s="62" t="s">
        <v>1724</v>
      </c>
      <c r="BA228" s="139" t="str">
        <f t="shared" si="176"/>
        <v>ДП ЛАДА C.4/7.купе.</v>
      </c>
      <c r="BK228" s="142" t="s">
        <v>1111</v>
      </c>
      <c r="BL228" s="134" t="s">
        <v>4904</v>
      </c>
      <c r="BM228" s="135" t="str">
        <f t="shared" ref="BM228:BM259" si="191">CONCATENATE(BK228,".",BL228)</f>
        <v>Планка Verto-FIT 200мм.Сімплекс</v>
      </c>
      <c r="BS228" s="58" t="s">
        <v>2736</v>
      </c>
      <c r="BT228" s="56" t="s">
        <v>4086</v>
      </c>
      <c r="BU228" s="70" t="str">
        <f t="shared" si="189"/>
        <v>ДП Лінда.1/8.Масив</v>
      </c>
      <c r="BW228" s="165" t="s">
        <v>1362</v>
      </c>
      <c r="BX228" s="770" t="s">
        <v>3851</v>
      </c>
      <c r="BY228" s="138" t="str">
        <f t="shared" si="180"/>
        <v>ДП ЛАДА C.4/8.Графіт</v>
      </c>
      <c r="CA228" s="742" t="s">
        <v>3249</v>
      </c>
      <c r="CB228" s="783" t="s">
        <v>5753</v>
      </c>
      <c r="CC228" s="138" t="str">
        <f t="shared" si="190"/>
        <v>ДП Ідея-ЛОФТ.фальц.робоча.Stand ст Пр +2завіс</v>
      </c>
      <c r="CE228" s="145" t="s">
        <v>3312</v>
      </c>
      <c r="CF228" s="137"/>
      <c r="CG228" s="138" t="str">
        <f t="shared" si="186"/>
        <v>ДП Єва.купе..робоча..</v>
      </c>
      <c r="CM228" s="742" t="s">
        <v>3331</v>
      </c>
      <c r="CN228" s="137" t="s">
        <v>841</v>
      </c>
      <c r="CO228" s="138" t="str">
        <f>CONCATENATE(CM228,".",CN228)</f>
        <v>ДП Елегант.фальц.робоча.Verto-FIT</v>
      </c>
      <c r="CY228" s="750" t="s">
        <v>4880</v>
      </c>
      <c r="CZ228" s="62"/>
      <c r="DA228" s="139" t="s">
        <v>859</v>
      </c>
      <c r="DD228" s="250" t="s">
        <v>1440</v>
      </c>
      <c r="DE228" s="166">
        <v>6230</v>
      </c>
      <c r="DF228" s="528">
        <f t="shared" si="144"/>
        <v>6230</v>
      </c>
      <c r="DG228" s="523"/>
      <c r="DH228" s="530">
        <f t="shared" si="145"/>
        <v>6230</v>
      </c>
      <c r="DP228" s="108" t="s">
        <v>1673</v>
      </c>
      <c r="DQ228" s="164">
        <v>550</v>
      </c>
      <c r="DR228" s="531">
        <f t="shared" si="187"/>
        <v>550</v>
      </c>
      <c r="DS228" s="526"/>
      <c r="DT228" s="527">
        <f t="shared" si="188"/>
        <v>550</v>
      </c>
      <c r="DU228" s="166"/>
      <c r="DV228" s="799" t="s">
        <v>4503</v>
      </c>
      <c r="DW228" s="726">
        <v>510</v>
      </c>
      <c r="DX228" s="804">
        <f t="shared" si="182"/>
        <v>510</v>
      </c>
      <c r="DY228" s="523"/>
      <c r="DZ228" s="524">
        <f t="shared" si="183"/>
        <v>510</v>
      </c>
      <c r="EG228" s="165"/>
      <c r="EH228" s="738" t="s">
        <v>3559</v>
      </c>
      <c r="EI228" s="166">
        <v>0</v>
      </c>
      <c r="EJ228" s="522">
        <f t="shared" si="184"/>
        <v>0</v>
      </c>
      <c r="EK228" s="523"/>
      <c r="EL228" s="524">
        <f t="shared" si="185"/>
        <v>0</v>
      </c>
    </row>
    <row r="229" spans="12:142">
      <c r="L229" s="58" t="s">
        <v>1174</v>
      </c>
      <c r="M229" s="48" t="s">
        <v>1151</v>
      </c>
      <c r="N229" s="94" t="s">
        <v>2087</v>
      </c>
      <c r="O229" s="423" t="s">
        <v>728</v>
      </c>
      <c r="Q229" s="58" t="s">
        <v>1174</v>
      </c>
      <c r="R229" s="98" t="s">
        <v>199</v>
      </c>
      <c r="S229" s="94" t="s">
        <v>145</v>
      </c>
      <c r="U229" s="249" t="s">
        <v>1290</v>
      </c>
      <c r="V229" s="152" t="s">
        <v>243</v>
      </c>
      <c r="W229" s="160" t="s">
        <v>2192</v>
      </c>
      <c r="AK229" s="601"/>
      <c r="AL229" s="602"/>
      <c r="AM229" s="603"/>
      <c r="AU229" s="136" t="s">
        <v>157</v>
      </c>
      <c r="AV229" s="148" t="s">
        <v>530</v>
      </c>
      <c r="AW229" s="138" t="str">
        <f t="shared" si="181"/>
        <v>ДП ГЛАСФОРД.3</v>
      </c>
      <c r="AY229" s="234" t="s">
        <v>1362</v>
      </c>
      <c r="AZ229" s="137" t="s">
        <v>1722</v>
      </c>
      <c r="BA229" s="138" t="str">
        <f t="shared" si="176"/>
        <v>ДП ЛАДА C.4/8.фальц.</v>
      </c>
      <c r="BK229" s="143" t="s">
        <v>1111</v>
      </c>
      <c r="BL229" s="137" t="s">
        <v>409</v>
      </c>
      <c r="BM229" s="138" t="str">
        <f t="shared" si="191"/>
        <v>Планка Verto-FIT 200мм.Verto-Cell</v>
      </c>
      <c r="BS229" s="426"/>
      <c r="BT229" s="427"/>
      <c r="BU229" s="428"/>
      <c r="BW229" s="108" t="s">
        <v>1362</v>
      </c>
      <c r="BX229" s="248" t="s">
        <v>832</v>
      </c>
      <c r="BY229" s="139" t="str">
        <f t="shared" si="180"/>
        <v>ДП ЛАДА C.4/8.Бронза</v>
      </c>
      <c r="CA229" s="742" t="s">
        <v>3249</v>
      </c>
      <c r="CB229" s="137"/>
      <c r="CC229" s="138"/>
      <c r="CE229" s="146" t="s">
        <v>3312</v>
      </c>
      <c r="CF229" s="62" t="s">
        <v>4261</v>
      </c>
      <c r="CG229" s="139" t="str">
        <f t="shared" si="186"/>
        <v>ДП Єва.купе..робоча..ВВ</v>
      </c>
      <c r="CM229" s="742" t="s">
        <v>3331</v>
      </c>
      <c r="CN229" s="137" t="s">
        <v>371</v>
      </c>
      <c r="CO229" s="138" t="str">
        <f>CONCATENATE(CM229,".",CN229)</f>
        <v>ДП Елегант.фальц.робоча.Verto-FIT Plus</v>
      </c>
      <c r="CY229" s="752" t="s">
        <v>4851</v>
      </c>
      <c r="CZ229" s="137"/>
      <c r="DA229" s="138" t="s">
        <v>859</v>
      </c>
      <c r="DD229" s="250" t="s">
        <v>1441</v>
      </c>
      <c r="DE229" s="166">
        <v>6230</v>
      </c>
      <c r="DF229" s="528">
        <f t="shared" si="144"/>
        <v>6230</v>
      </c>
      <c r="DG229" s="523"/>
      <c r="DH229" s="530">
        <f t="shared" si="145"/>
        <v>6230</v>
      </c>
      <c r="DP229" s="741" t="s">
        <v>4148</v>
      </c>
      <c r="DQ229" s="164">
        <v>0</v>
      </c>
      <c r="DR229" s="525">
        <f t="shared" si="187"/>
        <v>0</v>
      </c>
      <c r="DS229" s="526"/>
      <c r="DT229" s="527">
        <f t="shared" si="188"/>
        <v>0</v>
      </c>
      <c r="DU229" s="166"/>
      <c r="DV229" s="799" t="s">
        <v>4504</v>
      </c>
      <c r="DW229" s="726">
        <v>510</v>
      </c>
      <c r="DX229" s="804">
        <f t="shared" si="182"/>
        <v>510</v>
      </c>
      <c r="DY229" s="523"/>
      <c r="DZ229" s="524">
        <f t="shared" si="183"/>
        <v>510</v>
      </c>
      <c r="EG229" s="165"/>
      <c r="EH229" s="739" t="s">
        <v>3560</v>
      </c>
      <c r="EI229" s="164">
        <v>1740</v>
      </c>
      <c r="EJ229" s="531">
        <f t="shared" si="184"/>
        <v>1740</v>
      </c>
      <c r="EK229" s="526"/>
      <c r="EL229" s="527">
        <f t="shared" si="185"/>
        <v>1740</v>
      </c>
    </row>
    <row r="230" spans="12:142">
      <c r="L230" s="58" t="s">
        <v>1175</v>
      </c>
      <c r="M230" s="48" t="s">
        <v>1151</v>
      </c>
      <c r="N230" s="94" t="s">
        <v>2087</v>
      </c>
      <c r="O230" s="423" t="s">
        <v>728</v>
      </c>
      <c r="Q230" s="58" t="s">
        <v>1175</v>
      </c>
      <c r="R230" s="98" t="s">
        <v>200</v>
      </c>
      <c r="S230" s="94" t="s">
        <v>146</v>
      </c>
      <c r="U230" s="815"/>
      <c r="V230" s="816"/>
      <c r="W230" s="808"/>
      <c r="AK230" s="49"/>
      <c r="AL230" s="98"/>
      <c r="AM230" s="94"/>
      <c r="AU230" s="136" t="s">
        <v>157</v>
      </c>
      <c r="AV230" s="148" t="s">
        <v>525</v>
      </c>
      <c r="AW230" s="138" t="str">
        <f t="shared" si="181"/>
        <v>ДП ГЛАСФОРД.4</v>
      </c>
      <c r="AY230" s="234" t="s">
        <v>1362</v>
      </c>
      <c r="AZ230" s="137" t="s">
        <v>1723</v>
      </c>
      <c r="BA230" s="138" t="str">
        <f t="shared" si="176"/>
        <v>ДП ЛАДА C.4/8.б/з фальц.</v>
      </c>
      <c r="BK230" s="143" t="s">
        <v>1111</v>
      </c>
      <c r="BL230" s="137"/>
      <c r="BM230" s="138" t="str">
        <f t="shared" si="191"/>
        <v>Планка Verto-FIT 200мм.</v>
      </c>
      <c r="BS230" s="743" t="s">
        <v>2869</v>
      </c>
      <c r="BT230" s="56" t="s">
        <v>4086</v>
      </c>
      <c r="BU230" s="70" t="str">
        <f t="shared" si="189"/>
        <v>ДП Тіана.1/0.Масив</v>
      </c>
      <c r="BW230" s="162" t="s">
        <v>1363</v>
      </c>
      <c r="BX230" s="246" t="s">
        <v>458</v>
      </c>
      <c r="BY230" s="135" t="str">
        <f t="shared" si="180"/>
        <v>ДП ЛАДА C.5/0.Сатин</v>
      </c>
      <c r="CA230" s="742" t="s">
        <v>3249</v>
      </c>
      <c r="CB230" s="783" t="s">
        <v>5754</v>
      </c>
      <c r="CC230" s="138" t="str">
        <f t="shared" ref="CC230:CC235" si="192">CONCATENATE(CA230,".",CB230)</f>
        <v>ДП Ідея-ЛОФТ.фальц.робоча.Stand цл Лів +3завіс</v>
      </c>
      <c r="CE230" s="546"/>
      <c r="CF230" s="544"/>
      <c r="CG230" s="545"/>
      <c r="CM230" s="86" t="s">
        <v>3332</v>
      </c>
      <c r="CN230" s="56" t="s">
        <v>4106</v>
      </c>
      <c r="CO230" s="70" t="str">
        <f>CONCATENATE(CM230,".",CN230)</f>
        <v>ДП Елегант.фальц.неробоча.(ні)</v>
      </c>
      <c r="CY230" s="750" t="s">
        <v>4881</v>
      </c>
      <c r="CZ230" s="62"/>
      <c r="DA230" s="139" t="s">
        <v>859</v>
      </c>
      <c r="DD230" s="250" t="s">
        <v>1444</v>
      </c>
      <c r="DE230" s="166">
        <v>6500</v>
      </c>
      <c r="DF230" s="528">
        <f t="shared" si="144"/>
        <v>6500</v>
      </c>
      <c r="DG230" s="523"/>
      <c r="DH230" s="530">
        <f t="shared" si="145"/>
        <v>6500</v>
      </c>
      <c r="DP230" s="162" t="s">
        <v>1599</v>
      </c>
      <c r="DQ230" s="163">
        <v>0</v>
      </c>
      <c r="DR230" s="528">
        <f t="shared" si="187"/>
        <v>0</v>
      </c>
      <c r="DS230" s="529"/>
      <c r="DT230" s="530">
        <f t="shared" si="188"/>
        <v>0</v>
      </c>
      <c r="DU230" s="166"/>
      <c r="DV230" s="799" t="s">
        <v>4505</v>
      </c>
      <c r="DW230" s="726">
        <v>720</v>
      </c>
      <c r="DX230" s="804">
        <f t="shared" si="182"/>
        <v>720</v>
      </c>
      <c r="DY230" s="523"/>
      <c r="DZ230" s="524">
        <f t="shared" si="183"/>
        <v>720</v>
      </c>
      <c r="EG230" s="165"/>
      <c r="EH230" s="738" t="s">
        <v>5111</v>
      </c>
      <c r="EI230" s="166">
        <v>0</v>
      </c>
      <c r="EJ230" s="522">
        <f>ROUND(((EI230-(EI230/6))/$DD$3)*$DE$3,2)</f>
        <v>0</v>
      </c>
      <c r="EK230" s="523"/>
      <c r="EL230" s="524">
        <f>IF(EK230="",EJ230,
IF(AND($EI$10&gt;=VLOOKUP(EK230,$EH$5:$EL$9,2,0),$EI$10&lt;=VLOOKUP(EK230,$EH$5:$EL$9,3,0)),
(EJ230*(1-VLOOKUP(EK230,$EH$5:$EL$9,4,0))),
EJ230))</f>
        <v>0</v>
      </c>
    </row>
    <row r="231" spans="12:142">
      <c r="L231" s="58" t="s">
        <v>1176</v>
      </c>
      <c r="M231" s="48" t="s">
        <v>1151</v>
      </c>
      <c r="N231" s="94" t="s">
        <v>2087</v>
      </c>
      <c r="O231" s="423" t="s">
        <v>728</v>
      </c>
      <c r="Q231" s="58" t="s">
        <v>1176</v>
      </c>
      <c r="R231" s="98" t="s">
        <v>524</v>
      </c>
      <c r="S231" s="94" t="s">
        <v>1011</v>
      </c>
      <c r="U231" s="49"/>
      <c r="V231" s="98"/>
      <c r="W231" s="94"/>
      <c r="AK231" s="49"/>
      <c r="AL231" s="98"/>
      <c r="AM231" s="94"/>
      <c r="AU231" s="173" t="s">
        <v>157</v>
      </c>
      <c r="AV231" s="555" t="s">
        <v>526</v>
      </c>
      <c r="AW231" s="174" t="str">
        <f t="shared" si="181"/>
        <v>ДП ГЛАСФОРД.5</v>
      </c>
      <c r="AY231" s="224" t="s">
        <v>1362</v>
      </c>
      <c r="AZ231" s="62" t="s">
        <v>1724</v>
      </c>
      <c r="BA231" s="139" t="str">
        <f t="shared" si="176"/>
        <v>ДП ЛАДА C.4/8.купе.</v>
      </c>
      <c r="BK231" s="143" t="s">
        <v>1111</v>
      </c>
      <c r="BL231" s="137" t="s">
        <v>1893</v>
      </c>
      <c r="BM231" s="138" t="str">
        <f t="shared" si="191"/>
        <v>Планка Verto-FIT 200мм.Uni-Mat</v>
      </c>
      <c r="BS231" s="743" t="s">
        <v>2870</v>
      </c>
      <c r="BT231" s="56" t="s">
        <v>4086</v>
      </c>
      <c r="BU231" s="70" t="str">
        <f t="shared" si="189"/>
        <v>ДП Тіана.1/1.Масив</v>
      </c>
      <c r="BW231" s="165" t="s">
        <v>1363</v>
      </c>
      <c r="BX231" s="770" t="s">
        <v>3851</v>
      </c>
      <c r="BY231" s="138" t="str">
        <f t="shared" si="180"/>
        <v>ДП ЛАДА C.5/0.Графіт</v>
      </c>
      <c r="CA231" s="742" t="s">
        <v>3249</v>
      </c>
      <c r="CB231" s="783" t="s">
        <v>5755</v>
      </c>
      <c r="CC231" s="138" t="str">
        <f t="shared" si="192"/>
        <v>ДП Ідея-ЛОФТ.фальц.робоча.Stand цл Пр +3завіс</v>
      </c>
      <c r="CE231" s="146" t="s">
        <v>3313</v>
      </c>
      <c r="CF231" s="137"/>
      <c r="CG231" s="138" t="str">
        <f t="shared" ref="CG231:CG241" si="193">CONCATENATE(CE231,".",CF231)</f>
        <v>ДП ТРЕНД.фальц..робоча..</v>
      </c>
      <c r="CM231" s="432"/>
      <c r="CN231" s="222"/>
      <c r="CO231" s="223"/>
      <c r="CY231" s="752" t="s">
        <v>4852</v>
      </c>
      <c r="CZ231" s="137"/>
      <c r="DA231" s="138" t="s">
        <v>859</v>
      </c>
      <c r="DD231" s="250" t="s">
        <v>1445</v>
      </c>
      <c r="DE231" s="166">
        <v>6500</v>
      </c>
      <c r="DF231" s="528">
        <f t="shared" si="144"/>
        <v>6500</v>
      </c>
      <c r="DG231" s="523"/>
      <c r="DH231" s="530">
        <f t="shared" si="145"/>
        <v>6500</v>
      </c>
      <c r="DP231" s="738" t="s">
        <v>3899</v>
      </c>
      <c r="DQ231" s="166">
        <v>550</v>
      </c>
      <c r="DR231" s="522">
        <f t="shared" si="187"/>
        <v>550</v>
      </c>
      <c r="DS231" s="523"/>
      <c r="DT231" s="524">
        <f t="shared" si="188"/>
        <v>550</v>
      </c>
      <c r="DU231" s="166"/>
      <c r="DV231" s="805" t="s">
        <v>4506</v>
      </c>
      <c r="DW231" s="727">
        <v>720</v>
      </c>
      <c r="DX231" s="806">
        <f t="shared" si="182"/>
        <v>720</v>
      </c>
      <c r="DY231" s="526"/>
      <c r="DZ231" s="527">
        <f t="shared" si="183"/>
        <v>720</v>
      </c>
      <c r="EG231" s="165"/>
      <c r="EH231" s="739" t="s">
        <v>5112</v>
      </c>
      <c r="EI231" s="164">
        <v>1860</v>
      </c>
      <c r="EJ231" s="531">
        <f>ROUND(((EI231-(EI231/6))/$DD$3)*$DE$3,2)</f>
        <v>1860</v>
      </c>
      <c r="EK231" s="526"/>
      <c r="EL231" s="527">
        <f>IF(EK231="",EJ231,
IF(AND($EI$10&gt;=VLOOKUP(EK231,$EH$5:$EL$9,2,0),$EI$10&lt;=VLOOKUP(EK231,$EH$5:$EL$9,3,0)),
(EJ231*(1-VLOOKUP(EK231,$EH$5:$EL$9,4,0))),
EJ231))</f>
        <v>1860</v>
      </c>
    </row>
    <row r="232" spans="12:142">
      <c r="L232" s="58" t="s">
        <v>1177</v>
      </c>
      <c r="M232" s="48" t="s">
        <v>1151</v>
      </c>
      <c r="N232" s="94" t="s">
        <v>2087</v>
      </c>
      <c r="O232" s="423" t="s">
        <v>728</v>
      </c>
      <c r="Q232" s="58" t="s">
        <v>1177</v>
      </c>
      <c r="R232" s="98" t="s">
        <v>668</v>
      </c>
      <c r="S232" s="94" t="s">
        <v>669</v>
      </c>
      <c r="U232" s="576"/>
      <c r="V232" s="577"/>
      <c r="W232" s="578"/>
      <c r="AK232" s="49"/>
      <c r="AL232" s="98"/>
      <c r="AM232" s="94"/>
      <c r="AU232" s="742" t="s">
        <v>3009</v>
      </c>
      <c r="AV232" s="148" t="s">
        <v>537</v>
      </c>
      <c r="AW232" s="138" t="str">
        <f t="shared" si="181"/>
        <v>ДП Добір.А</v>
      </c>
      <c r="AY232" s="234" t="s">
        <v>1363</v>
      </c>
      <c r="AZ232" s="137" t="s">
        <v>1722</v>
      </c>
      <c r="BA232" s="138" t="str">
        <f t="shared" si="176"/>
        <v>ДП ЛАДА C.5/0.фальц.</v>
      </c>
      <c r="BK232" s="143" t="s">
        <v>1111</v>
      </c>
      <c r="BL232" s="137" t="s">
        <v>557</v>
      </c>
      <c r="BM232" s="138" t="str">
        <f t="shared" si="191"/>
        <v>Планка Verto-FIT 200мм.Резист</v>
      </c>
      <c r="BS232" s="743" t="s">
        <v>2871</v>
      </c>
      <c r="BT232" s="56" t="s">
        <v>4086</v>
      </c>
      <c r="BU232" s="70" t="str">
        <f t="shared" si="189"/>
        <v>ДП Тіана.1/2.Масив</v>
      </c>
      <c r="BW232" s="108" t="s">
        <v>1363</v>
      </c>
      <c r="BX232" s="248" t="s">
        <v>832</v>
      </c>
      <c r="BY232" s="139" t="str">
        <f t="shared" si="180"/>
        <v>ДП ЛАДА C.5/0.Бронза</v>
      </c>
      <c r="CA232" s="742" t="s">
        <v>3249</v>
      </c>
      <c r="CB232" s="783" t="s">
        <v>5756</v>
      </c>
      <c r="CC232" s="138" t="str">
        <f t="shared" si="192"/>
        <v>ДП Ідея-ЛОФТ.фальц.робоча.Stand кл Лів +3завіс</v>
      </c>
      <c r="CE232" s="146" t="s">
        <v>3313</v>
      </c>
      <c r="CF232" s="137" t="s">
        <v>4261</v>
      </c>
      <c r="CG232" s="138" t="str">
        <f t="shared" si="193"/>
        <v>ДП ТРЕНД.фальц..робоча..ВВ</v>
      </c>
      <c r="CM232" s="86" t="s">
        <v>4085</v>
      </c>
      <c r="CN232" s="56" t="s">
        <v>4106</v>
      </c>
      <c r="CO232" s="70" t="str">
        <f>CONCATENATE(CM232,".",CN232)</f>
        <v>ДП ГЛАСФОРД.Скло.робоча..(ні)</v>
      </c>
      <c r="CY232" s="750" t="s">
        <v>4882</v>
      </c>
      <c r="CZ232" s="62"/>
      <c r="DA232" s="139" t="s">
        <v>859</v>
      </c>
      <c r="DD232" s="250" t="s">
        <v>1446</v>
      </c>
      <c r="DE232" s="166">
        <v>6500</v>
      </c>
      <c r="DF232" s="528">
        <f t="shared" ref="DF232:DF295" si="194">ROUND(((DE232-(DE232/6))/$DD$3)*$DE$3,2)</f>
        <v>6500</v>
      </c>
      <c r="DG232" s="523"/>
      <c r="DH232" s="530">
        <f t="shared" ref="DH232:DH295" si="195">IF(DG232="",DF232,
IF(AND($DE$10&gt;=VLOOKUP(DG232,$DD$5:$DH$9,2,0),$DE$10&lt;=VLOOKUP(DG232,$DD$5:$DH$9,3,0)),
(DF232*(1-VLOOKUP(DG232,$DD$5:$DH$9,4,0))),
DF232))</f>
        <v>6500</v>
      </c>
      <c r="DP232" s="108" t="s">
        <v>1672</v>
      </c>
      <c r="DQ232" s="164">
        <v>550</v>
      </c>
      <c r="DR232" s="531">
        <f t="shared" si="187"/>
        <v>550</v>
      </c>
      <c r="DS232" s="526"/>
      <c r="DT232" s="527">
        <f t="shared" si="188"/>
        <v>550</v>
      </c>
      <c r="DU232" s="166"/>
      <c r="DV232" s="802" t="s">
        <v>4507</v>
      </c>
      <c r="DW232" s="728">
        <v>0</v>
      </c>
      <c r="DX232" s="803">
        <f t="shared" si="182"/>
        <v>0</v>
      </c>
      <c r="DY232" s="529"/>
      <c r="DZ232" s="530">
        <f t="shared" si="183"/>
        <v>0</v>
      </c>
      <c r="EG232" s="165"/>
      <c r="EH232" s="738" t="s">
        <v>3561</v>
      </c>
      <c r="EI232" s="166">
        <v>0</v>
      </c>
      <c r="EJ232" s="522">
        <f t="shared" si="184"/>
        <v>0</v>
      </c>
      <c r="EK232" s="523"/>
      <c r="EL232" s="524">
        <f t="shared" si="185"/>
        <v>0</v>
      </c>
    </row>
    <row r="233" spans="12:142">
      <c r="L233" s="144"/>
      <c r="M233" s="48"/>
      <c r="N233" s="94"/>
      <c r="O233" s="423"/>
      <c r="Q233" s="144"/>
      <c r="R233" s="98"/>
      <c r="S233" s="94"/>
      <c r="U233" s="49"/>
      <c r="V233" s="98"/>
      <c r="W233" s="94"/>
      <c r="AK233" s="49"/>
      <c r="AL233" s="98"/>
      <c r="AM233" s="94"/>
      <c r="AU233" s="424" t="s">
        <v>3009</v>
      </c>
      <c r="AV233" s="149" t="s">
        <v>538</v>
      </c>
      <c r="AW233" s="139" t="str">
        <f t="shared" si="181"/>
        <v>ДП Добір.Б</v>
      </c>
      <c r="AY233" s="234" t="s">
        <v>1363</v>
      </c>
      <c r="AZ233" s="137" t="s">
        <v>1723</v>
      </c>
      <c r="BA233" s="138" t="str">
        <f t="shared" si="176"/>
        <v>ДП ЛАДА C.5/0.б/з фальц.</v>
      </c>
      <c r="BK233" s="143" t="s">
        <v>1111</v>
      </c>
      <c r="BL233" s="137" t="s">
        <v>62</v>
      </c>
      <c r="BM233" s="138" t="str">
        <f t="shared" si="191"/>
        <v>Планка Verto-FIT 200мм.LINE-3D</v>
      </c>
      <c r="BS233" s="743" t="s">
        <v>2872</v>
      </c>
      <c r="BT233" s="56" t="s">
        <v>4086</v>
      </c>
      <c r="BU233" s="70" t="str">
        <f t="shared" si="189"/>
        <v>ДП Тіана.1/3.Масив</v>
      </c>
      <c r="BW233" s="162" t="s">
        <v>1364</v>
      </c>
      <c r="BX233" s="246" t="s">
        <v>458</v>
      </c>
      <c r="BY233" s="135" t="str">
        <f t="shared" si="180"/>
        <v>ДП ЛАДА C.5/1.Сатин</v>
      </c>
      <c r="CA233" s="742" t="s">
        <v>3249</v>
      </c>
      <c r="CB233" s="783" t="s">
        <v>5757</v>
      </c>
      <c r="CC233" s="138" t="str">
        <f t="shared" si="192"/>
        <v>ДП Ідея-ЛОФТ.фальц.робоча.Stand кл Пр +3завіс</v>
      </c>
      <c r="CE233" s="147" t="s">
        <v>3313</v>
      </c>
      <c r="CF233" s="62" t="s">
        <v>739</v>
      </c>
      <c r="CG233" s="139" t="str">
        <f t="shared" si="193"/>
        <v>ДП ТРЕНД.фальц..робоча..ВП</v>
      </c>
      <c r="CM233" s="432"/>
      <c r="CN233" s="222"/>
      <c r="CO233" s="223"/>
      <c r="CY233" s="752" t="s">
        <v>6195</v>
      </c>
      <c r="CZ233" s="137"/>
      <c r="DA233" s="138" t="s">
        <v>859</v>
      </c>
      <c r="DD233" s="250" t="s">
        <v>1447</v>
      </c>
      <c r="DE233" s="166">
        <v>6500</v>
      </c>
      <c r="DF233" s="528">
        <f t="shared" si="194"/>
        <v>6500</v>
      </c>
      <c r="DG233" s="523"/>
      <c r="DH233" s="530">
        <f t="shared" si="195"/>
        <v>6500</v>
      </c>
      <c r="DP233" s="108" t="s">
        <v>6050</v>
      </c>
      <c r="DQ233" s="164">
        <v>550</v>
      </c>
      <c r="DR233" s="531">
        <f>ROUND(((DQ233-(DQ233/6))/$DD$3)*$DE$3,2)</f>
        <v>550</v>
      </c>
      <c r="DS233" s="526"/>
      <c r="DT233" s="527">
        <f>IF(DS233="",DR233,
IF(AND($DQ$10&gt;=VLOOKUP(DS233,$DP$5:$DT$9,2,0),$DQ$10&lt;=VLOOKUP(DS233,$DP$5:$DT$9,3,0)),
(DR233*(1-VLOOKUP(DS233,$DP$5:$DT$9,4,0))),
DR233))</f>
        <v>550</v>
      </c>
      <c r="DU233" s="166"/>
      <c r="DV233" s="799" t="s">
        <v>4508</v>
      </c>
      <c r="DW233" s="726">
        <v>0</v>
      </c>
      <c r="DX233" s="804">
        <f t="shared" si="182"/>
        <v>0</v>
      </c>
      <c r="DY233" s="523"/>
      <c r="DZ233" s="524">
        <f t="shared" si="183"/>
        <v>0</v>
      </c>
      <c r="EG233" s="165"/>
      <c r="EH233" s="739" t="s">
        <v>3562</v>
      </c>
      <c r="EI233" s="164">
        <v>1860</v>
      </c>
      <c r="EJ233" s="531">
        <f t="shared" si="184"/>
        <v>1860</v>
      </c>
      <c r="EK233" s="526"/>
      <c r="EL233" s="527">
        <f t="shared" si="185"/>
        <v>1860</v>
      </c>
    </row>
    <row r="234" spans="12:142">
      <c r="L234" s="49" t="s">
        <v>664</v>
      </c>
      <c r="M234" s="48" t="s">
        <v>61</v>
      </c>
      <c r="N234" s="94" t="s">
        <v>2088</v>
      </c>
      <c r="O234" s="423" t="s">
        <v>728</v>
      </c>
      <c r="Q234" s="49" t="s">
        <v>664</v>
      </c>
      <c r="R234" s="98" t="s">
        <v>185</v>
      </c>
      <c r="S234" s="94" t="s">
        <v>143</v>
      </c>
      <c r="U234" s="747" t="s">
        <v>5936</v>
      </c>
      <c r="V234" s="98" t="s">
        <v>760</v>
      </c>
      <c r="W234" s="94" t="s">
        <v>2198</v>
      </c>
      <c r="AK234" s="565"/>
      <c r="AL234" s="579"/>
      <c r="AM234" s="554"/>
      <c r="AU234" s="746" t="s">
        <v>3010</v>
      </c>
      <c r="AV234" s="150" t="s">
        <v>1697</v>
      </c>
      <c r="AW234" s="135" t="str">
        <f t="shared" si="181"/>
        <v>ДП Добір-ЛАДА.Л1/0</v>
      </c>
      <c r="AY234" s="224" t="s">
        <v>1363</v>
      </c>
      <c r="AZ234" s="62" t="s">
        <v>1724</v>
      </c>
      <c r="BA234" s="139" t="str">
        <f t="shared" si="176"/>
        <v>ДП ЛАДА C.5/0.купе.</v>
      </c>
      <c r="BK234" s="143" t="s">
        <v>1111</v>
      </c>
      <c r="BL234" s="137" t="s">
        <v>5071</v>
      </c>
      <c r="BM234" s="138" t="str">
        <f t="shared" si="191"/>
        <v>Планка Verto-FIT 200мм.Е-шпон</v>
      </c>
      <c r="BS234" s="743" t="s">
        <v>2873</v>
      </c>
      <c r="BT234" s="56" t="s">
        <v>4086</v>
      </c>
      <c r="BU234" s="70" t="str">
        <f t="shared" si="189"/>
        <v>ДП Тіана.1/4.Масив</v>
      </c>
      <c r="BW234" s="165" t="s">
        <v>1364</v>
      </c>
      <c r="BX234" s="770" t="s">
        <v>3851</v>
      </c>
      <c r="BY234" s="138" t="str">
        <f t="shared" si="180"/>
        <v>ДП ЛАДА C.5/1.Графіт</v>
      </c>
      <c r="CA234" s="742" t="s">
        <v>3249</v>
      </c>
      <c r="CB234" s="783" t="s">
        <v>5758</v>
      </c>
      <c r="CC234" s="138" t="str">
        <f t="shared" si="192"/>
        <v>ДП Ідея-ЛОФТ.фальц.робоча.Stand ст Лів +3завіс</v>
      </c>
      <c r="CE234" s="146" t="s">
        <v>3314</v>
      </c>
      <c r="CF234" s="137"/>
      <c r="CG234" s="138" t="str">
        <f t="shared" si="193"/>
        <v>ДП ТРЕНД.фальц..неробоча..</v>
      </c>
      <c r="CM234" s="742" t="s">
        <v>3333</v>
      </c>
      <c r="CN234" s="56" t="s">
        <v>4106</v>
      </c>
      <c r="CO234" s="70" t="str">
        <f>CONCATENATE(CM234,".",CN234)</f>
        <v>ДП Добір.фальц...неробоча...(ні)</v>
      </c>
      <c r="CY234" s="750" t="s">
        <v>6196</v>
      </c>
      <c r="CZ234" s="62"/>
      <c r="DA234" s="139" t="s">
        <v>859</v>
      </c>
      <c r="DD234" s="250" t="s">
        <v>1448</v>
      </c>
      <c r="DE234" s="166">
        <v>6500</v>
      </c>
      <c r="DF234" s="528">
        <f t="shared" si="194"/>
        <v>6500</v>
      </c>
      <c r="DG234" s="523"/>
      <c r="DH234" s="530">
        <f t="shared" si="195"/>
        <v>6500</v>
      </c>
      <c r="DP234" s="165" t="s">
        <v>1600</v>
      </c>
      <c r="DQ234" s="166">
        <v>0</v>
      </c>
      <c r="DR234" s="522">
        <f t="shared" si="187"/>
        <v>0</v>
      </c>
      <c r="DS234" s="523"/>
      <c r="DT234" s="524">
        <f t="shared" si="188"/>
        <v>0</v>
      </c>
      <c r="DU234" s="166"/>
      <c r="DV234" s="805" t="s">
        <v>4509</v>
      </c>
      <c r="DW234" s="727">
        <v>0</v>
      </c>
      <c r="DX234" s="807">
        <f t="shared" si="182"/>
        <v>0</v>
      </c>
      <c r="DY234" s="526"/>
      <c r="DZ234" s="527">
        <f t="shared" si="183"/>
        <v>0</v>
      </c>
      <c r="EG234" s="165"/>
      <c r="EH234" s="256"/>
      <c r="EI234" s="257"/>
      <c r="EJ234" s="517"/>
      <c r="EK234" s="532"/>
      <c r="EL234" s="259"/>
    </row>
    <row r="235" spans="12:142">
      <c r="L235" s="49" t="s">
        <v>665</v>
      </c>
      <c r="M235" s="48" t="s">
        <v>61</v>
      </c>
      <c r="N235" s="94" t="s">
        <v>2088</v>
      </c>
      <c r="O235" s="423" t="s">
        <v>728</v>
      </c>
      <c r="Q235" s="49" t="s">
        <v>665</v>
      </c>
      <c r="R235" s="98" t="s">
        <v>199</v>
      </c>
      <c r="S235" s="94" t="s">
        <v>145</v>
      </c>
      <c r="U235" s="747" t="s">
        <v>5937</v>
      </c>
      <c r="V235" s="98" t="s">
        <v>761</v>
      </c>
      <c r="W235" s="475" t="s">
        <v>4288</v>
      </c>
      <c r="AU235" s="742" t="s">
        <v>3010</v>
      </c>
      <c r="AV235" s="148" t="s">
        <v>1698</v>
      </c>
      <c r="AW235" s="138" t="str">
        <f t="shared" si="181"/>
        <v>ДП Добір-ЛАДА.Л1/1</v>
      </c>
      <c r="AY235" s="234" t="s">
        <v>1364</v>
      </c>
      <c r="AZ235" s="137" t="s">
        <v>1722</v>
      </c>
      <c r="BA235" s="138" t="str">
        <f t="shared" si="176"/>
        <v>ДП ЛАДА C.5/1.фальц.</v>
      </c>
      <c r="BK235" s="144" t="s">
        <v>1111</v>
      </c>
      <c r="BL235" s="62" t="s">
        <v>1836</v>
      </c>
      <c r="BM235" s="139" t="str">
        <f t="shared" si="191"/>
        <v>Планка Verto-FIT 200мм.Лофт</v>
      </c>
      <c r="BS235" s="743" t="s">
        <v>2874</v>
      </c>
      <c r="BT235" s="56" t="s">
        <v>4086</v>
      </c>
      <c r="BU235" s="70" t="str">
        <f t="shared" si="189"/>
        <v>ДП Тіана.1/5.Масив</v>
      </c>
      <c r="BW235" s="108" t="s">
        <v>1364</v>
      </c>
      <c r="BX235" s="248" t="s">
        <v>832</v>
      </c>
      <c r="BY235" s="139" t="str">
        <f t="shared" si="180"/>
        <v>ДП ЛАДА C.5/1.Бронза</v>
      </c>
      <c r="CA235" s="742" t="s">
        <v>3249</v>
      </c>
      <c r="CB235" s="783" t="s">
        <v>5759</v>
      </c>
      <c r="CC235" s="138" t="str">
        <f t="shared" si="192"/>
        <v>ДП Ідея-ЛОФТ.фальц.робоча.Stand ст Пр +3завіс</v>
      </c>
      <c r="CE235" s="146" t="s">
        <v>3314</v>
      </c>
      <c r="CF235" s="137" t="s">
        <v>4261</v>
      </c>
      <c r="CG235" s="138" t="str">
        <f t="shared" si="193"/>
        <v>ДП ТРЕНД.фальц..неробоча..ВВ</v>
      </c>
      <c r="CM235" s="228"/>
      <c r="CN235" s="222"/>
      <c r="CO235" s="223"/>
      <c r="CY235" s="476"/>
      <c r="CZ235" s="483"/>
      <c r="DA235" s="428"/>
      <c r="DD235" s="249" t="s">
        <v>1449</v>
      </c>
      <c r="DE235" s="164">
        <v>6500</v>
      </c>
      <c r="DF235" s="528">
        <f t="shared" si="194"/>
        <v>6500</v>
      </c>
      <c r="DG235" s="526"/>
      <c r="DH235" s="530">
        <f t="shared" si="195"/>
        <v>6500</v>
      </c>
      <c r="DP235" s="738" t="s">
        <v>3900</v>
      </c>
      <c r="DQ235" s="166">
        <v>550</v>
      </c>
      <c r="DR235" s="522">
        <f t="shared" si="187"/>
        <v>550</v>
      </c>
      <c r="DS235" s="523"/>
      <c r="DT235" s="524">
        <f t="shared" si="188"/>
        <v>550</v>
      </c>
      <c r="DU235" s="166"/>
      <c r="DV235" s="799" t="s">
        <v>4510</v>
      </c>
      <c r="DW235" s="726">
        <v>60</v>
      </c>
      <c r="DX235" s="804">
        <f t="shared" si="182"/>
        <v>60</v>
      </c>
      <c r="DY235" s="523"/>
      <c r="DZ235" s="524">
        <f t="shared" si="183"/>
        <v>60</v>
      </c>
      <c r="EG235" s="165"/>
      <c r="EH235" s="737" t="s">
        <v>4970</v>
      </c>
      <c r="EI235" s="163">
        <v>0</v>
      </c>
      <c r="EJ235" s="537">
        <f t="shared" si="184"/>
        <v>0</v>
      </c>
      <c r="EK235" s="529"/>
      <c r="EL235" s="530">
        <f t="shared" si="185"/>
        <v>0</v>
      </c>
    </row>
    <row r="236" spans="12:142">
      <c r="L236" s="49" t="s">
        <v>666</v>
      </c>
      <c r="M236" s="48" t="s">
        <v>61</v>
      </c>
      <c r="N236" s="94" t="s">
        <v>2088</v>
      </c>
      <c r="O236" s="423" t="s">
        <v>728</v>
      </c>
      <c r="Q236" s="49" t="s">
        <v>666</v>
      </c>
      <c r="R236" s="98" t="s">
        <v>532</v>
      </c>
      <c r="S236" s="94" t="s">
        <v>1015</v>
      </c>
      <c r="U236" s="815"/>
      <c r="V236" s="816"/>
      <c r="W236" s="808"/>
      <c r="AU236" s="742" t="s">
        <v>3010</v>
      </c>
      <c r="AV236" s="148" t="s">
        <v>1699</v>
      </c>
      <c r="AW236" s="138" t="str">
        <f t="shared" si="181"/>
        <v>ДП Добір-ЛАДА.Л3/0</v>
      </c>
      <c r="AY236" s="234" t="s">
        <v>1364</v>
      </c>
      <c r="AZ236" s="137" t="s">
        <v>1723</v>
      </c>
      <c r="BA236" s="138" t="str">
        <f t="shared" si="176"/>
        <v>ДП ЛАДА C.5/1.б/з фальц.</v>
      </c>
      <c r="BK236" s="142" t="s">
        <v>25</v>
      </c>
      <c r="BL236" s="134" t="s">
        <v>4904</v>
      </c>
      <c r="BM236" s="135" t="str">
        <f t="shared" si="191"/>
        <v>Планка Verto-FIT Comfort 80мм.Сімплекс</v>
      </c>
      <c r="BS236" s="743" t="s">
        <v>2875</v>
      </c>
      <c r="BT236" s="56" t="s">
        <v>4086</v>
      </c>
      <c r="BU236" s="70" t="str">
        <f t="shared" si="189"/>
        <v>ДП Тіана.1/6.Масив</v>
      </c>
      <c r="BW236" s="162" t="s">
        <v>1365</v>
      </c>
      <c r="BX236" s="246" t="s">
        <v>458</v>
      </c>
      <c r="BY236" s="135" t="str">
        <f t="shared" si="180"/>
        <v>ДП ЛАДА C.5/2.Сатин</v>
      </c>
      <c r="CA236" s="742" t="s">
        <v>3249</v>
      </c>
      <c r="CB236" s="21"/>
      <c r="CC236" s="21"/>
      <c r="CE236" s="147" t="s">
        <v>3314</v>
      </c>
      <c r="CF236" s="62" t="s">
        <v>739</v>
      </c>
      <c r="CG236" s="139" t="str">
        <f t="shared" si="193"/>
        <v>ДП ТРЕНД.фальц..неробоча..ВП</v>
      </c>
      <c r="CM236" s="742" t="s">
        <v>3334</v>
      </c>
      <c r="CN236" s="56" t="s">
        <v>4106</v>
      </c>
      <c r="CO236" s="70" t="str">
        <f>CONCATENATE(CM236,".",CN236)</f>
        <v>ДП Добір-ЛАДА.фальц...неробоча...(ні)</v>
      </c>
      <c r="CY236" s="751" t="s">
        <v>4845</v>
      </c>
      <c r="CZ236" s="767" t="s">
        <v>4134</v>
      </c>
      <c r="DA236" s="135" t="s">
        <v>859</v>
      </c>
      <c r="DD236" s="250" t="s">
        <v>1919</v>
      </c>
      <c r="DE236" s="166">
        <v>7100</v>
      </c>
      <c r="DF236" s="528">
        <f t="shared" si="194"/>
        <v>7100</v>
      </c>
      <c r="DG236" s="523"/>
      <c r="DH236" s="530">
        <f t="shared" si="195"/>
        <v>7100</v>
      </c>
      <c r="DP236" s="108" t="s">
        <v>1671</v>
      </c>
      <c r="DQ236" s="164">
        <v>550</v>
      </c>
      <c r="DR236" s="531">
        <f t="shared" si="187"/>
        <v>550</v>
      </c>
      <c r="DS236" s="526"/>
      <c r="DT236" s="527">
        <f t="shared" si="188"/>
        <v>550</v>
      </c>
      <c r="DU236" s="166"/>
      <c r="DV236" s="799" t="s">
        <v>4511</v>
      </c>
      <c r="DW236" s="726">
        <v>60</v>
      </c>
      <c r="DX236" s="804">
        <f t="shared" si="182"/>
        <v>60</v>
      </c>
      <c r="DY236" s="523"/>
      <c r="DZ236" s="524">
        <f t="shared" si="183"/>
        <v>60</v>
      </c>
      <c r="EG236" s="165"/>
      <c r="EH236" s="739" t="s">
        <v>4971</v>
      </c>
      <c r="EI236" s="164">
        <v>1400</v>
      </c>
      <c r="EJ236" s="531">
        <f t="shared" si="184"/>
        <v>1400</v>
      </c>
      <c r="EK236" s="526"/>
      <c r="EL236" s="527">
        <f t="shared" si="185"/>
        <v>1400</v>
      </c>
    </row>
    <row r="237" spans="12:142">
      <c r="L237" s="49" t="s">
        <v>667</v>
      </c>
      <c r="M237" s="48" t="s">
        <v>61</v>
      </c>
      <c r="N237" s="94" t="s">
        <v>2088</v>
      </c>
      <c r="O237" s="423" t="s">
        <v>728</v>
      </c>
      <c r="Q237" s="49" t="s">
        <v>667</v>
      </c>
      <c r="R237" s="98" t="s">
        <v>533</v>
      </c>
      <c r="S237" s="94" t="s">
        <v>1016</v>
      </c>
      <c r="U237" s="743" t="s">
        <v>5938</v>
      </c>
      <c r="V237" s="98" t="s">
        <v>760</v>
      </c>
      <c r="W237" s="94" t="s">
        <v>2198</v>
      </c>
      <c r="AU237" s="742" t="s">
        <v>3010</v>
      </c>
      <c r="AV237" s="148" t="s">
        <v>1700</v>
      </c>
      <c r="AW237" s="138" t="str">
        <f t="shared" si="181"/>
        <v>ДП Добір-ЛАДА.Л3/1</v>
      </c>
      <c r="AY237" s="224" t="s">
        <v>1364</v>
      </c>
      <c r="AZ237" s="62" t="s">
        <v>1724</v>
      </c>
      <c r="BA237" s="139" t="str">
        <f t="shared" si="176"/>
        <v>ДП ЛАДА C.5/1.купе.</v>
      </c>
      <c r="BK237" s="143" t="s">
        <v>25</v>
      </c>
      <c r="BL237" s="137" t="s">
        <v>409</v>
      </c>
      <c r="BM237" s="138" t="str">
        <f t="shared" si="191"/>
        <v>Планка Verto-FIT Comfort 80мм.Verto-Cell</v>
      </c>
      <c r="BS237" s="743" t="s">
        <v>2876</v>
      </c>
      <c r="BT237" s="56" t="s">
        <v>4086</v>
      </c>
      <c r="BU237" s="70" t="str">
        <f t="shared" si="189"/>
        <v>ДП Тіана.1/7.Масив</v>
      </c>
      <c r="BW237" s="165" t="s">
        <v>1365</v>
      </c>
      <c r="BX237" s="770" t="s">
        <v>3851</v>
      </c>
      <c r="BY237" s="138" t="str">
        <f t="shared" si="180"/>
        <v>ДП ЛАДА C.5/2.Графіт</v>
      </c>
      <c r="CA237" s="742" t="s">
        <v>3249</v>
      </c>
      <c r="CB237" s="137" t="s">
        <v>4294</v>
      </c>
      <c r="CC237" s="138" t="str">
        <f>CONCATENATE(CA237,".",CB237)</f>
        <v>ДП Ідея-ЛОФТ.фальц.робоча.Soft цл +2завіс</v>
      </c>
      <c r="CE237" s="146" t="s">
        <v>3315</v>
      </c>
      <c r="CF237" s="137"/>
      <c r="CG237" s="138" t="str">
        <f t="shared" si="193"/>
        <v>ДП ТРЕНД.б/з фальц..робоча..</v>
      </c>
      <c r="CM237" s="432"/>
      <c r="CN237" s="222"/>
      <c r="CO237" s="223"/>
      <c r="CY237" s="750" t="s">
        <v>4875</v>
      </c>
      <c r="CZ237" s="785" t="s">
        <v>4134</v>
      </c>
      <c r="DA237" s="139" t="s">
        <v>859</v>
      </c>
      <c r="DD237" s="250" t="s">
        <v>1920</v>
      </c>
      <c r="DE237" s="166">
        <v>7100</v>
      </c>
      <c r="DF237" s="528">
        <f t="shared" si="194"/>
        <v>7100</v>
      </c>
      <c r="DG237" s="523"/>
      <c r="DH237" s="530">
        <f t="shared" si="195"/>
        <v>7100</v>
      </c>
      <c r="DP237" s="741" t="s">
        <v>4149</v>
      </c>
      <c r="DQ237" s="164">
        <v>0</v>
      </c>
      <c r="DR237" s="525">
        <f t="shared" si="187"/>
        <v>0</v>
      </c>
      <c r="DS237" s="526"/>
      <c r="DT237" s="527">
        <f t="shared" si="188"/>
        <v>0</v>
      </c>
      <c r="DU237" s="166"/>
      <c r="DV237" s="805" t="s">
        <v>4512</v>
      </c>
      <c r="DW237" s="727">
        <v>60</v>
      </c>
      <c r="DX237" s="807">
        <f t="shared" si="182"/>
        <v>60</v>
      </c>
      <c r="DY237" s="526"/>
      <c r="DZ237" s="527">
        <f t="shared" si="183"/>
        <v>60</v>
      </c>
      <c r="EG237" s="165"/>
      <c r="EH237" s="738" t="s">
        <v>3563</v>
      </c>
      <c r="EI237" s="166">
        <v>0</v>
      </c>
      <c r="EJ237" s="522">
        <f t="shared" si="184"/>
        <v>0</v>
      </c>
      <c r="EK237" s="523"/>
      <c r="EL237" s="524">
        <f t="shared" si="185"/>
        <v>0</v>
      </c>
    </row>
    <row r="238" spans="12:142">
      <c r="L238" s="49" t="s">
        <v>670</v>
      </c>
      <c r="M238" s="48" t="s">
        <v>61</v>
      </c>
      <c r="N238" s="94" t="s">
        <v>2088</v>
      </c>
      <c r="O238" s="423" t="s">
        <v>728</v>
      </c>
      <c r="Q238" s="49" t="s">
        <v>670</v>
      </c>
      <c r="R238" s="98" t="s">
        <v>671</v>
      </c>
      <c r="S238" s="94" t="s">
        <v>672</v>
      </c>
      <c r="U238" s="743" t="s">
        <v>5939</v>
      </c>
      <c r="V238" s="98" t="s">
        <v>761</v>
      </c>
      <c r="W238" s="475" t="s">
        <v>4288</v>
      </c>
      <c r="AU238" s="742" t="s">
        <v>3010</v>
      </c>
      <c r="AV238" s="148" t="s">
        <v>1701</v>
      </c>
      <c r="AW238" s="138" t="str">
        <f t="shared" si="181"/>
        <v>ДП Добір-ЛАДА.Л3/2</v>
      </c>
      <c r="AY238" s="234" t="s">
        <v>1365</v>
      </c>
      <c r="AZ238" s="137" t="s">
        <v>1722</v>
      </c>
      <c r="BA238" s="138" t="str">
        <f t="shared" si="176"/>
        <v>ДП ЛАДА C.5/2.фальц.</v>
      </c>
      <c r="BK238" s="143" t="s">
        <v>25</v>
      </c>
      <c r="BL238" s="137"/>
      <c r="BM238" s="138" t="str">
        <f t="shared" si="191"/>
        <v>Планка Verto-FIT Comfort 80мм.</v>
      </c>
      <c r="BS238" s="743" t="s">
        <v>2877</v>
      </c>
      <c r="BT238" s="56" t="s">
        <v>4086</v>
      </c>
      <c r="BU238" s="70" t="str">
        <f t="shared" si="189"/>
        <v>ДП Тіана.1/8.Масив</v>
      </c>
      <c r="BW238" s="108" t="s">
        <v>1365</v>
      </c>
      <c r="BX238" s="248" t="s">
        <v>832</v>
      </c>
      <c r="BY238" s="139" t="str">
        <f t="shared" si="180"/>
        <v>ДП ЛАДА C.5/2.Бронза</v>
      </c>
      <c r="CA238" s="742" t="s">
        <v>3249</v>
      </c>
      <c r="CB238" s="137" t="s">
        <v>4297</v>
      </c>
      <c r="CC238" s="138" t="str">
        <f>CONCATENATE(CA238,".",CB238)</f>
        <v>ДП Ідея-ЛОФТ.фальц.робоча.Soft ст +2завіс</v>
      </c>
      <c r="CE238" s="146" t="s">
        <v>3315</v>
      </c>
      <c r="CF238" s="137" t="s">
        <v>4261</v>
      </c>
      <c r="CG238" s="138" t="str">
        <f t="shared" si="193"/>
        <v>ДП ТРЕНД.б/з фальц..робоча..ВВ</v>
      </c>
      <c r="CM238" s="56"/>
      <c r="CN238" s="56"/>
      <c r="CO238" s="70"/>
      <c r="CY238" s="752" t="s">
        <v>4846</v>
      </c>
      <c r="CZ238" s="768" t="s">
        <v>4135</v>
      </c>
      <c r="DA238" s="138" t="s">
        <v>859</v>
      </c>
      <c r="DD238" s="250" t="s">
        <v>1921</v>
      </c>
      <c r="DE238" s="166">
        <v>7100</v>
      </c>
      <c r="DF238" s="528">
        <f t="shared" si="194"/>
        <v>7100</v>
      </c>
      <c r="DG238" s="523"/>
      <c r="DH238" s="530">
        <f t="shared" si="195"/>
        <v>7100</v>
      </c>
      <c r="DP238" s="162" t="s">
        <v>1602</v>
      </c>
      <c r="DQ238" s="163">
        <v>0</v>
      </c>
      <c r="DR238" s="528">
        <f t="shared" si="187"/>
        <v>0</v>
      </c>
      <c r="DS238" s="529"/>
      <c r="DT238" s="530">
        <f t="shared" si="188"/>
        <v>0</v>
      </c>
      <c r="DU238" s="166"/>
      <c r="DV238" s="799" t="s">
        <v>4513</v>
      </c>
      <c r="DW238" s="726">
        <v>660</v>
      </c>
      <c r="DX238" s="804">
        <f t="shared" si="182"/>
        <v>660</v>
      </c>
      <c r="DY238" s="523"/>
      <c r="DZ238" s="524">
        <f t="shared" si="183"/>
        <v>660</v>
      </c>
      <c r="EG238" s="165"/>
      <c r="EH238" s="739" t="s">
        <v>3564</v>
      </c>
      <c r="EI238" s="164">
        <v>1400</v>
      </c>
      <c r="EJ238" s="531">
        <f t="shared" si="184"/>
        <v>1400</v>
      </c>
      <c r="EK238" s="526"/>
      <c r="EL238" s="527">
        <f t="shared" si="185"/>
        <v>1400</v>
      </c>
    </row>
    <row r="239" spans="12:142">
      <c r="L239" s="49" t="s">
        <v>673</v>
      </c>
      <c r="M239" s="48" t="s">
        <v>61</v>
      </c>
      <c r="N239" s="94" t="s">
        <v>2088</v>
      </c>
      <c r="O239" s="423" t="s">
        <v>728</v>
      </c>
      <c r="Q239" s="49" t="s">
        <v>673</v>
      </c>
      <c r="R239" s="98" t="s">
        <v>674</v>
      </c>
      <c r="S239" s="94" t="s">
        <v>675</v>
      </c>
      <c r="U239" s="815"/>
      <c r="V239" s="816"/>
      <c r="W239" s="808"/>
      <c r="AU239" s="742" t="s">
        <v>3010</v>
      </c>
      <c r="AV239" s="148" t="s">
        <v>1702</v>
      </c>
      <c r="AW239" s="138" t="str">
        <f t="shared" si="181"/>
        <v>ДП Добір-ЛАДА.Л4/0</v>
      </c>
      <c r="AY239" s="234" t="s">
        <v>1365</v>
      </c>
      <c r="AZ239" s="137" t="s">
        <v>1723</v>
      </c>
      <c r="BA239" s="138" t="str">
        <f t="shared" si="176"/>
        <v>ДП ЛАДА C.5/2.б/з фальц.</v>
      </c>
      <c r="BK239" s="143" t="s">
        <v>25</v>
      </c>
      <c r="BL239" s="137" t="s">
        <v>1893</v>
      </c>
      <c r="BM239" s="138" t="str">
        <f t="shared" si="191"/>
        <v>Планка Verto-FIT Comfort 80мм.Uni-Mat</v>
      </c>
      <c r="BS239" s="426"/>
      <c r="BT239" s="427"/>
      <c r="BU239" s="428"/>
      <c r="BW239" s="162" t="s">
        <v>1366</v>
      </c>
      <c r="BX239" s="246" t="s">
        <v>458</v>
      </c>
      <c r="BY239" s="135" t="str">
        <f t="shared" si="180"/>
        <v>ДП ЛАДА C.5/3.Сатин</v>
      </c>
      <c r="CA239" s="742" t="s">
        <v>3249</v>
      </c>
      <c r="CB239" s="21"/>
      <c r="CC239" s="21"/>
      <c r="CE239" s="147" t="s">
        <v>3315</v>
      </c>
      <c r="CF239" s="62" t="s">
        <v>739</v>
      </c>
      <c r="CG239" s="139" t="str">
        <f t="shared" si="193"/>
        <v>ДП ТРЕНД.б/з фальц..робоча..ВП</v>
      </c>
      <c r="CM239" s="62"/>
      <c r="CN239" s="56"/>
      <c r="CO239" s="70"/>
      <c r="CY239" s="750" t="s">
        <v>4876</v>
      </c>
      <c r="CZ239" s="785" t="s">
        <v>4135</v>
      </c>
      <c r="DA239" s="139" t="s">
        <v>859</v>
      </c>
      <c r="DD239" s="250" t="s">
        <v>1922</v>
      </c>
      <c r="DE239" s="166">
        <v>7100</v>
      </c>
      <c r="DF239" s="528">
        <f t="shared" si="194"/>
        <v>7100</v>
      </c>
      <c r="DG239" s="523"/>
      <c r="DH239" s="530">
        <f t="shared" si="195"/>
        <v>7100</v>
      </c>
      <c r="DP239" s="738" t="s">
        <v>3901</v>
      </c>
      <c r="DQ239" s="166">
        <v>550</v>
      </c>
      <c r="DR239" s="522">
        <f t="shared" si="187"/>
        <v>550</v>
      </c>
      <c r="DS239" s="523"/>
      <c r="DT239" s="524">
        <f t="shared" si="188"/>
        <v>550</v>
      </c>
      <c r="DU239" s="166"/>
      <c r="DV239" s="799" t="s">
        <v>4514</v>
      </c>
      <c r="DW239" s="726">
        <v>660</v>
      </c>
      <c r="DX239" s="804">
        <f t="shared" si="182"/>
        <v>660</v>
      </c>
      <c r="DY239" s="523"/>
      <c r="DZ239" s="524">
        <f t="shared" si="183"/>
        <v>660</v>
      </c>
      <c r="EG239" s="165"/>
      <c r="EH239" s="738" t="s">
        <v>3565</v>
      </c>
      <c r="EI239" s="166">
        <v>0</v>
      </c>
      <c r="EJ239" s="522">
        <f>ROUND(((EI239-(EI239/6))/$DD$3)*$DE$3,2)</f>
        <v>0</v>
      </c>
      <c r="EK239" s="523"/>
      <c r="EL239" s="524">
        <f>IF(EK239="",EJ239,
IF(AND($EI$10&gt;=VLOOKUP(EK239,$EH$5:$EL$9,2,0),$EI$10&lt;=VLOOKUP(EK239,$EH$5:$EL$9,3,0)),
(EJ239*(1-VLOOKUP(EK239,$EH$5:$EL$9,4,0))),
EJ239))</f>
        <v>0</v>
      </c>
    </row>
    <row r="240" spans="12:142">
      <c r="L240" s="49" t="s">
        <v>676</v>
      </c>
      <c r="M240" s="48" t="s">
        <v>61</v>
      </c>
      <c r="N240" s="94" t="s">
        <v>2088</v>
      </c>
      <c r="O240" s="423" t="s">
        <v>728</v>
      </c>
      <c r="Q240" s="49" t="s">
        <v>676</v>
      </c>
      <c r="R240" s="98" t="s">
        <v>201</v>
      </c>
      <c r="S240" s="94" t="s">
        <v>149</v>
      </c>
      <c r="U240" s="49" t="s">
        <v>2140</v>
      </c>
      <c r="V240" s="98" t="s">
        <v>760</v>
      </c>
      <c r="W240" s="94" t="s">
        <v>2199</v>
      </c>
      <c r="AU240" s="742" t="s">
        <v>3010</v>
      </c>
      <c r="AV240" s="148" t="s">
        <v>1703</v>
      </c>
      <c r="AW240" s="138" t="str">
        <f t="shared" si="181"/>
        <v>ДП Добір-ЛАДА.Л4/1</v>
      </c>
      <c r="AY240" s="224" t="s">
        <v>1365</v>
      </c>
      <c r="AZ240" s="62" t="s">
        <v>1724</v>
      </c>
      <c r="BA240" s="139" t="str">
        <f t="shared" si="176"/>
        <v>ДП ЛАДА C.5/2.купе.</v>
      </c>
      <c r="BK240" s="143" t="s">
        <v>25</v>
      </c>
      <c r="BL240" s="137" t="s">
        <v>557</v>
      </c>
      <c r="BM240" s="138" t="str">
        <f t="shared" si="191"/>
        <v>Планка Verto-FIT Comfort 80мм.Резист</v>
      </c>
      <c r="BS240" s="743" t="s">
        <v>2795</v>
      </c>
      <c r="BT240" s="56" t="s">
        <v>4086</v>
      </c>
      <c r="BU240" s="70" t="str">
        <f t="shared" ref="BU240:BU249" si="196">CONCATENATE(BS240,".",BT240)</f>
        <v>ДП Єва.2/0.Масив</v>
      </c>
      <c r="BW240" s="165" t="s">
        <v>1366</v>
      </c>
      <c r="BX240" s="770" t="s">
        <v>3851</v>
      </c>
      <c r="BY240" s="138" t="str">
        <f t="shared" si="180"/>
        <v>ДП ЛАДА C.5/3.Графіт</v>
      </c>
      <c r="CA240" s="742" t="s">
        <v>3249</v>
      </c>
      <c r="CB240" s="137" t="s">
        <v>4304</v>
      </c>
      <c r="CC240" s="138" t="str">
        <f>CONCATENATE(CA240,".",CB240)</f>
        <v>ДП Ідея-ЛОФТ.фальц.робоча.Soft цл +3завіс</v>
      </c>
      <c r="CE240" s="146" t="s">
        <v>3316</v>
      </c>
      <c r="CF240" s="137"/>
      <c r="CG240" s="138" t="str">
        <f t="shared" si="193"/>
        <v>ДП ТРЕНД.купе..робоча..</v>
      </c>
      <c r="CM240" s="56"/>
      <c r="CN240" s="56"/>
      <c r="CO240" s="70"/>
      <c r="CY240" s="476"/>
      <c r="CZ240" s="483"/>
      <c r="DA240" s="428"/>
      <c r="DD240" s="250" t="s">
        <v>1923</v>
      </c>
      <c r="DE240" s="166">
        <v>7100</v>
      </c>
      <c r="DF240" s="528">
        <f t="shared" si="194"/>
        <v>7100</v>
      </c>
      <c r="DG240" s="523"/>
      <c r="DH240" s="530">
        <f t="shared" si="195"/>
        <v>7100</v>
      </c>
      <c r="DP240" s="108" t="s">
        <v>1669</v>
      </c>
      <c r="DQ240" s="164">
        <v>550</v>
      </c>
      <c r="DR240" s="531">
        <f t="shared" si="187"/>
        <v>550</v>
      </c>
      <c r="DS240" s="526"/>
      <c r="DT240" s="527">
        <f t="shared" si="188"/>
        <v>550</v>
      </c>
      <c r="DU240" s="166"/>
      <c r="DV240" s="799" t="s">
        <v>4515</v>
      </c>
      <c r="DW240" s="726">
        <v>660</v>
      </c>
      <c r="DX240" s="804">
        <f t="shared" si="182"/>
        <v>660</v>
      </c>
      <c r="DY240" s="523"/>
      <c r="DZ240" s="524">
        <f t="shared" si="183"/>
        <v>660</v>
      </c>
      <c r="EG240" s="165"/>
      <c r="EH240" s="739" t="s">
        <v>3566</v>
      </c>
      <c r="EI240" s="164">
        <v>1400</v>
      </c>
      <c r="EJ240" s="531">
        <f>ROUND(((EI240-(EI240/6))/$DD$3)*$DE$3,2)</f>
        <v>1400</v>
      </c>
      <c r="EK240" s="526"/>
      <c r="EL240" s="527">
        <f>IF(EK240="",EJ240,
IF(AND($EI$10&gt;=VLOOKUP(EK240,$EH$5:$EL$9,2,0),$EI$10&lt;=VLOOKUP(EK240,$EH$5:$EL$9,3,0)),
(EJ240*(1-VLOOKUP(EK240,$EH$5:$EL$9,4,0))),
EJ240))</f>
        <v>1400</v>
      </c>
    </row>
    <row r="241" spans="12:142">
      <c r="L241" s="144"/>
      <c r="M241" s="48"/>
      <c r="N241" s="94"/>
      <c r="O241" s="423"/>
      <c r="Q241" s="144"/>
      <c r="R241" s="98"/>
      <c r="S241" s="94"/>
      <c r="U241" s="49" t="s">
        <v>2141</v>
      </c>
      <c r="V241" s="98" t="s">
        <v>761</v>
      </c>
      <c r="W241" s="475" t="s">
        <v>5452</v>
      </c>
      <c r="AU241" s="742" t="s">
        <v>3010</v>
      </c>
      <c r="AV241" s="148" t="s">
        <v>1704</v>
      </c>
      <c r="AW241" s="138" t="str">
        <f t="shared" si="181"/>
        <v>ДП Добір-ЛАДА.Л5/0</v>
      </c>
      <c r="AY241" s="234" t="s">
        <v>1366</v>
      </c>
      <c r="AZ241" s="137" t="s">
        <v>1722</v>
      </c>
      <c r="BA241" s="138" t="str">
        <f t="shared" si="176"/>
        <v>ДП ЛАДА C.5/3.фальц.</v>
      </c>
      <c r="BK241" s="143" t="s">
        <v>25</v>
      </c>
      <c r="BL241" s="137" t="s">
        <v>62</v>
      </c>
      <c r="BM241" s="138" t="str">
        <f t="shared" si="191"/>
        <v>Планка Verto-FIT Comfort 80мм.LINE-3D</v>
      </c>
      <c r="BS241" s="743" t="s">
        <v>2796</v>
      </c>
      <c r="BT241" s="56" t="s">
        <v>4086</v>
      </c>
      <c r="BU241" s="70" t="str">
        <f t="shared" si="196"/>
        <v>ДП Єва.2/1.Масив</v>
      </c>
      <c r="BW241" s="108" t="s">
        <v>1366</v>
      </c>
      <c r="BX241" s="248" t="s">
        <v>832</v>
      </c>
      <c r="BY241" s="139" t="str">
        <f t="shared" si="180"/>
        <v>ДП ЛАДА C.5/3.Бронза</v>
      </c>
      <c r="CA241" s="742" t="s">
        <v>3249</v>
      </c>
      <c r="CB241" s="137" t="s">
        <v>4307</v>
      </c>
      <c r="CC241" s="138" t="str">
        <f>CONCATENATE(CA241,".",CB241)</f>
        <v>ДП Ідея-ЛОФТ.фальц.робоча.Soft ст +3завіс</v>
      </c>
      <c r="CE241" s="147" t="s">
        <v>3316</v>
      </c>
      <c r="CF241" s="62" t="s">
        <v>4261</v>
      </c>
      <c r="CG241" s="139" t="str">
        <f t="shared" si="193"/>
        <v>ДП ТРЕНД.купе..робоча..ВВ</v>
      </c>
      <c r="CM241" s="56"/>
      <c r="CN241" s="56"/>
      <c r="CO241" s="70"/>
      <c r="CY241" s="45"/>
      <c r="CZ241" s="56"/>
      <c r="DA241" s="139"/>
      <c r="DD241" s="250" t="s">
        <v>1924</v>
      </c>
      <c r="DE241" s="166">
        <v>7100</v>
      </c>
      <c r="DF241" s="528">
        <f t="shared" si="194"/>
        <v>7100</v>
      </c>
      <c r="DG241" s="523"/>
      <c r="DH241" s="530">
        <f t="shared" si="195"/>
        <v>7100</v>
      </c>
      <c r="DP241" s="108" t="s">
        <v>6051</v>
      </c>
      <c r="DQ241" s="164">
        <v>550</v>
      </c>
      <c r="DR241" s="531">
        <f>ROUND(((DQ241-(DQ241/6))/$DD$3)*$DE$3,2)</f>
        <v>550</v>
      </c>
      <c r="DS241" s="526"/>
      <c r="DT241" s="527">
        <f>IF(DS241="",DR241,
IF(AND($DQ$10&gt;=VLOOKUP(DS241,$DP$5:$DT$9,2,0),$DQ$10&lt;=VLOOKUP(DS241,$DP$5:$DT$9,3,0)),
(DR241*(1-VLOOKUP(DS241,$DP$5:$DT$9,4,0))),
DR241))</f>
        <v>550</v>
      </c>
      <c r="DU241" s="166"/>
      <c r="DV241" s="799" t="s">
        <v>4516</v>
      </c>
      <c r="DW241" s="726">
        <v>660</v>
      </c>
      <c r="DX241" s="804">
        <f t="shared" si="182"/>
        <v>660</v>
      </c>
      <c r="DY241" s="523"/>
      <c r="DZ241" s="524">
        <f t="shared" si="183"/>
        <v>660</v>
      </c>
      <c r="EG241" s="165"/>
      <c r="EH241" s="738" t="s">
        <v>3567</v>
      </c>
      <c r="EI241" s="166">
        <v>0</v>
      </c>
      <c r="EJ241" s="522">
        <f>ROUND(((EI241-(EI241/6))/$DD$3)*$DE$3,2)</f>
        <v>0</v>
      </c>
      <c r="EK241" s="523"/>
      <c r="EL241" s="524">
        <f>IF(EK241="",EJ241,
IF(AND($EI$10&gt;=VLOOKUP(EK241,$EH$5:$EL$9,2,0),$EI$10&lt;=VLOOKUP(EK241,$EH$5:$EL$9,3,0)),
(EJ241*(1-VLOOKUP(EK241,$EH$5:$EL$9,4,0))),
EJ241))</f>
        <v>0</v>
      </c>
    </row>
    <row r="242" spans="12:142">
      <c r="L242" s="809"/>
      <c r="M242" s="810"/>
      <c r="N242" s="810"/>
      <c r="O242" s="812"/>
      <c r="P242" s="813"/>
      <c r="Q242" s="809"/>
      <c r="R242" s="811"/>
      <c r="S242" s="810"/>
      <c r="U242" s="815"/>
      <c r="V242" s="816"/>
      <c r="W242" s="808"/>
      <c r="AU242" s="742" t="s">
        <v>3010</v>
      </c>
      <c r="AV242" s="148" t="s">
        <v>1705</v>
      </c>
      <c r="AW242" s="138" t="str">
        <f t="shared" si="181"/>
        <v>ДП Добір-ЛАДА.Л5/1</v>
      </c>
      <c r="AY242" s="234" t="s">
        <v>1366</v>
      </c>
      <c r="AZ242" s="137" t="s">
        <v>1723</v>
      </c>
      <c r="BA242" s="138" t="str">
        <f t="shared" si="176"/>
        <v>ДП ЛАДА C.5/3.б/з фальц.</v>
      </c>
      <c r="BK242" s="143" t="s">
        <v>25</v>
      </c>
      <c r="BL242" s="137" t="s">
        <v>5071</v>
      </c>
      <c r="BM242" s="138" t="str">
        <f t="shared" si="191"/>
        <v>Планка Verto-FIT Comfort 80мм.Е-шпон</v>
      </c>
      <c r="BS242" s="743" t="s">
        <v>2797</v>
      </c>
      <c r="BT242" s="56" t="s">
        <v>4086</v>
      </c>
      <c r="BU242" s="70" t="str">
        <f t="shared" si="196"/>
        <v>ДП Єва.2/2.Масив</v>
      </c>
      <c r="BW242" s="162" t="s">
        <v>1367</v>
      </c>
      <c r="BX242" s="246" t="s">
        <v>458</v>
      </c>
      <c r="BY242" s="135" t="str">
        <f t="shared" si="180"/>
        <v>ДП ЛАДА C.5/4.Сатин</v>
      </c>
      <c r="CA242" s="742" t="s">
        <v>3249</v>
      </c>
      <c r="CB242" s="137"/>
      <c r="CC242" s="138"/>
      <c r="CE242" s="546"/>
      <c r="CF242" s="544"/>
      <c r="CG242" s="545"/>
      <c r="CM242" s="575"/>
      <c r="CN242" s="561"/>
      <c r="CO242" s="562"/>
      <c r="CY242" s="45"/>
      <c r="CZ242" s="56"/>
      <c r="DA242" s="70"/>
      <c r="DD242" s="250" t="s">
        <v>1925</v>
      </c>
      <c r="DE242" s="166">
        <v>7100</v>
      </c>
      <c r="DF242" s="528">
        <f t="shared" si="194"/>
        <v>7100</v>
      </c>
      <c r="DG242" s="523"/>
      <c r="DH242" s="530">
        <f t="shared" si="195"/>
        <v>7100</v>
      </c>
      <c r="DP242" s="165" t="s">
        <v>1603</v>
      </c>
      <c r="DQ242" s="166">
        <v>0</v>
      </c>
      <c r="DR242" s="522">
        <f t="shared" si="187"/>
        <v>0</v>
      </c>
      <c r="DS242" s="523"/>
      <c r="DT242" s="524">
        <f t="shared" si="188"/>
        <v>0</v>
      </c>
      <c r="DU242" s="166"/>
      <c r="DV242" s="799" t="s">
        <v>4517</v>
      </c>
      <c r="DW242" s="726">
        <v>720</v>
      </c>
      <c r="DX242" s="804">
        <f t="shared" si="182"/>
        <v>720</v>
      </c>
      <c r="DY242" s="523"/>
      <c r="DZ242" s="524">
        <f t="shared" si="183"/>
        <v>720</v>
      </c>
      <c r="EG242" s="165"/>
      <c r="EH242" s="739" t="s">
        <v>3568</v>
      </c>
      <c r="EI242" s="164">
        <v>1610</v>
      </c>
      <c r="EJ242" s="531">
        <f>ROUND(((EI242-(EI242/6))/$DD$3)*$DE$3,2)</f>
        <v>1610</v>
      </c>
      <c r="EK242" s="526"/>
      <c r="EL242" s="527">
        <f>IF(EK242="",EJ242,
IF(AND($EI$10&gt;=VLOOKUP(EK242,$EH$5:$EL$9,2,0),$EI$10&lt;=VLOOKUP(EK242,$EH$5:$EL$9,3,0)),
(EJ242*(1-VLOOKUP(EK242,$EH$5:$EL$9,4,0))),
EJ242))</f>
        <v>1610</v>
      </c>
    </row>
    <row r="243" spans="12:142">
      <c r="L243" s="144"/>
      <c r="M243" s="48"/>
      <c r="N243" s="94"/>
      <c r="O243" s="423"/>
      <c r="Q243" s="144"/>
      <c r="R243" s="98"/>
      <c r="S243" s="94"/>
      <c r="U243" s="49" t="s">
        <v>2142</v>
      </c>
      <c r="V243" s="98" t="s">
        <v>760</v>
      </c>
      <c r="W243" s="94" t="s">
        <v>2199</v>
      </c>
      <c r="AU243" s="742" t="s">
        <v>3010</v>
      </c>
      <c r="AV243" s="148" t="s">
        <v>1706</v>
      </c>
      <c r="AW243" s="138" t="str">
        <f t="shared" si="181"/>
        <v>ДП Добір-ЛАДА.Л6/0</v>
      </c>
      <c r="AY243" s="224" t="s">
        <v>1366</v>
      </c>
      <c r="AZ243" s="62" t="s">
        <v>1724</v>
      </c>
      <c r="BA243" s="139" t="str">
        <f t="shared" si="176"/>
        <v>ДП ЛАДА C.5/3.купе.</v>
      </c>
      <c r="BK243" s="144" t="s">
        <v>25</v>
      </c>
      <c r="BL243" s="62" t="s">
        <v>1836</v>
      </c>
      <c r="BM243" s="139" t="str">
        <f t="shared" si="191"/>
        <v>Планка Verto-FIT Comfort 80мм.Лофт</v>
      </c>
      <c r="BS243" s="743" t="s">
        <v>2798</v>
      </c>
      <c r="BT243" s="56" t="s">
        <v>4086</v>
      </c>
      <c r="BU243" s="70" t="str">
        <f t="shared" si="196"/>
        <v>ДП Єва.4/0.Масив</v>
      </c>
      <c r="BW243" s="165" t="s">
        <v>1367</v>
      </c>
      <c r="BX243" s="770" t="s">
        <v>3851</v>
      </c>
      <c r="BY243" s="138" t="str">
        <f t="shared" si="180"/>
        <v>ДП ЛАДА C.5/4.Графіт</v>
      </c>
      <c r="CA243" s="742" t="s">
        <v>3249</v>
      </c>
      <c r="CB243" s="137" t="s">
        <v>4300</v>
      </c>
      <c r="CC243" s="138" t="str">
        <f>CONCATENATE(CA243,".",CB243)</f>
        <v>ДП Ідея-ЛОФТ.фальц.робоча.Magnet цл +2завіс</v>
      </c>
      <c r="CE243" s="146" t="s">
        <v>3317</v>
      </c>
      <c r="CF243" s="137"/>
      <c r="CG243" s="138" t="str">
        <f t="shared" ref="CG243:CG253" si="197">CONCATENATE(CE243,".",CF243)</f>
        <v>ДП МОДЕРН.фальц..робоча..</v>
      </c>
      <c r="CY243" s="45"/>
      <c r="CZ243" s="56"/>
      <c r="DA243" s="70"/>
      <c r="DD243" s="250" t="s">
        <v>1926</v>
      </c>
      <c r="DE243" s="166">
        <v>7400</v>
      </c>
      <c r="DF243" s="528">
        <f t="shared" si="194"/>
        <v>7400</v>
      </c>
      <c r="DG243" s="523"/>
      <c r="DH243" s="530">
        <f t="shared" si="195"/>
        <v>7400</v>
      </c>
      <c r="DP243" s="738" t="s">
        <v>3902</v>
      </c>
      <c r="DQ243" s="166">
        <v>550</v>
      </c>
      <c r="DR243" s="522">
        <f t="shared" si="187"/>
        <v>550</v>
      </c>
      <c r="DS243" s="523"/>
      <c r="DT243" s="524">
        <f t="shared" si="188"/>
        <v>550</v>
      </c>
      <c r="DU243" s="166"/>
      <c r="DV243" s="805" t="s">
        <v>4518</v>
      </c>
      <c r="DW243" s="727">
        <v>720</v>
      </c>
      <c r="DX243" s="806">
        <f t="shared" si="182"/>
        <v>720</v>
      </c>
      <c r="DY243" s="526"/>
      <c r="DZ243" s="527">
        <f t="shared" si="183"/>
        <v>720</v>
      </c>
      <c r="EG243" s="165"/>
      <c r="EH243" s="738" t="s">
        <v>3569</v>
      </c>
      <c r="EI243" s="166">
        <v>0</v>
      </c>
      <c r="EJ243" s="522">
        <f t="shared" si="184"/>
        <v>0</v>
      </c>
      <c r="EK243" s="523"/>
      <c r="EL243" s="524">
        <f t="shared" si="185"/>
        <v>0</v>
      </c>
    </row>
    <row r="244" spans="12:142">
      <c r="L244" s="763" t="s">
        <v>2938</v>
      </c>
      <c r="M244" s="101" t="s">
        <v>2935</v>
      </c>
      <c r="N244" s="100" t="s">
        <v>2100</v>
      </c>
      <c r="O244" s="818" t="s">
        <v>728</v>
      </c>
      <c r="P244" s="21"/>
      <c r="Q244" s="763" t="s">
        <v>2938</v>
      </c>
      <c r="R244" s="101" t="s">
        <v>159</v>
      </c>
      <c r="S244" s="100" t="s">
        <v>1024</v>
      </c>
      <c r="U244" s="49" t="s">
        <v>2143</v>
      </c>
      <c r="V244" s="98" t="s">
        <v>761</v>
      </c>
      <c r="W244" s="475" t="s">
        <v>5452</v>
      </c>
      <c r="AU244" s="749" t="s">
        <v>3010</v>
      </c>
      <c r="AV244" s="555" t="s">
        <v>1707</v>
      </c>
      <c r="AW244" s="174" t="str">
        <f t="shared" si="181"/>
        <v>ДП Добір-ЛАДА.Л6/1</v>
      </c>
      <c r="AY244" s="234" t="s">
        <v>1367</v>
      </c>
      <c r="AZ244" s="137" t="s">
        <v>1722</v>
      </c>
      <c r="BA244" s="138" t="str">
        <f t="shared" si="176"/>
        <v>ДП ЛАДА C.5/4.фальц.</v>
      </c>
      <c r="BK244" s="142" t="s">
        <v>26</v>
      </c>
      <c r="BL244" s="134" t="s">
        <v>4904</v>
      </c>
      <c r="BM244" s="135" t="str">
        <f t="shared" si="191"/>
        <v>Планка Verto-FIT Comfort 160мм.Сімплекс</v>
      </c>
      <c r="BS244" s="743" t="s">
        <v>2799</v>
      </c>
      <c r="BT244" s="56" t="s">
        <v>4086</v>
      </c>
      <c r="BU244" s="70" t="str">
        <f t="shared" si="196"/>
        <v>ДП Єва.4/1.Масив</v>
      </c>
      <c r="BW244" s="108" t="s">
        <v>1367</v>
      </c>
      <c r="BX244" s="248" t="s">
        <v>832</v>
      </c>
      <c r="BY244" s="139" t="str">
        <f t="shared" si="180"/>
        <v>ДП ЛАДА C.5/4.Бронза</v>
      </c>
      <c r="CA244" s="742" t="s">
        <v>3249</v>
      </c>
      <c r="CB244" s="137" t="s">
        <v>4305</v>
      </c>
      <c r="CC244" s="138" t="str">
        <f>CONCATENATE(CA244,".",CB244)</f>
        <v>ДП Ідея-ЛОФТ.фальц.робоча.Magnet ст +2завіс</v>
      </c>
      <c r="CE244" s="146" t="s">
        <v>3317</v>
      </c>
      <c r="CF244" s="137" t="s">
        <v>4261</v>
      </c>
      <c r="CG244" s="138" t="str">
        <f t="shared" si="197"/>
        <v>ДП МОДЕРН.фальц..робоча..ВВ</v>
      </c>
      <c r="CY244" s="45"/>
      <c r="CZ244" s="56"/>
      <c r="DA244" s="70"/>
      <c r="DD244" s="250" t="s">
        <v>1927</v>
      </c>
      <c r="DE244" s="166">
        <v>7400</v>
      </c>
      <c r="DF244" s="528">
        <f t="shared" si="194"/>
        <v>7400</v>
      </c>
      <c r="DG244" s="523"/>
      <c r="DH244" s="530">
        <f t="shared" si="195"/>
        <v>7400</v>
      </c>
      <c r="DP244" s="108" t="s">
        <v>1668</v>
      </c>
      <c r="DQ244" s="164">
        <v>550</v>
      </c>
      <c r="DR244" s="531">
        <f t="shared" si="187"/>
        <v>550</v>
      </c>
      <c r="DS244" s="526"/>
      <c r="DT244" s="527">
        <f t="shared" si="188"/>
        <v>550</v>
      </c>
      <c r="DU244" s="166"/>
      <c r="DV244" s="798" t="s">
        <v>579</v>
      </c>
      <c r="DW244" s="726">
        <v>0</v>
      </c>
      <c r="DX244" s="804">
        <f t="shared" si="182"/>
        <v>0</v>
      </c>
      <c r="DY244" s="523"/>
      <c r="DZ244" s="524">
        <f t="shared" si="183"/>
        <v>0</v>
      </c>
      <c r="EG244" s="165"/>
      <c r="EH244" s="739" t="s">
        <v>3570</v>
      </c>
      <c r="EI244" s="164">
        <v>1710</v>
      </c>
      <c r="EJ244" s="531">
        <f t="shared" si="184"/>
        <v>1710</v>
      </c>
      <c r="EK244" s="526"/>
      <c r="EL244" s="527">
        <f t="shared" si="185"/>
        <v>1710</v>
      </c>
    </row>
    <row r="245" spans="12:142">
      <c r="L245" s="764" t="s">
        <v>2939</v>
      </c>
      <c r="M245" s="151" t="s">
        <v>2935</v>
      </c>
      <c r="N245" s="159" t="s">
        <v>2100</v>
      </c>
      <c r="O245" s="819" t="s">
        <v>728</v>
      </c>
      <c r="P245" s="21"/>
      <c r="Q245" s="764" t="s">
        <v>2939</v>
      </c>
      <c r="R245" s="151" t="s">
        <v>161</v>
      </c>
      <c r="S245" s="159" t="s">
        <v>1026</v>
      </c>
      <c r="U245" s="815"/>
      <c r="V245" s="816"/>
      <c r="W245" s="808"/>
      <c r="AU245" s="44" t="s">
        <v>901</v>
      </c>
      <c r="AV245" s="47" t="s">
        <v>528</v>
      </c>
      <c r="AW245" s="70" t="str">
        <f t="shared" ref="AW245:AW288" si="198">CONCATENATE(AU245,".",AV245)</f>
        <v>КД Standard-MDF.1</v>
      </c>
      <c r="AY245" s="234" t="s">
        <v>1367</v>
      </c>
      <c r="AZ245" s="137" t="s">
        <v>1723</v>
      </c>
      <c r="BA245" s="138" t="str">
        <f t="shared" si="176"/>
        <v>ДП ЛАДА C.5/4.б/з фальц.</v>
      </c>
      <c r="BK245" s="143" t="s">
        <v>26</v>
      </c>
      <c r="BL245" s="137" t="s">
        <v>409</v>
      </c>
      <c r="BM245" s="138" t="str">
        <f t="shared" si="191"/>
        <v>Планка Verto-FIT Comfort 160мм.Verto-Cell</v>
      </c>
      <c r="BS245" s="743" t="s">
        <v>2800</v>
      </c>
      <c r="BT245" s="56" t="s">
        <v>4086</v>
      </c>
      <c r="BU245" s="70" t="str">
        <f t="shared" si="196"/>
        <v>ДП Єва.4/2.Масив</v>
      </c>
      <c r="BW245" s="162" t="s">
        <v>1368</v>
      </c>
      <c r="BX245" s="246" t="s">
        <v>458</v>
      </c>
      <c r="BY245" s="135" t="str">
        <f t="shared" si="180"/>
        <v>ДП ЛАДА C.5/5.Сатин</v>
      </c>
      <c r="CA245" s="742" t="s">
        <v>3249</v>
      </c>
      <c r="CB245" s="137"/>
      <c r="CC245" s="138"/>
      <c r="CE245" s="147" t="s">
        <v>3317</v>
      </c>
      <c r="CF245" s="62" t="s">
        <v>739</v>
      </c>
      <c r="CG245" s="139" t="str">
        <f t="shared" si="197"/>
        <v>ДП МОДЕРН.фальц..робоча..ВП</v>
      </c>
      <c r="CY245" s="45"/>
      <c r="CZ245" s="56"/>
      <c r="DA245" s="70"/>
      <c r="DD245" s="250" t="s">
        <v>1928</v>
      </c>
      <c r="DE245" s="166">
        <v>7400</v>
      </c>
      <c r="DF245" s="528">
        <f t="shared" si="194"/>
        <v>7400</v>
      </c>
      <c r="DG245" s="523"/>
      <c r="DH245" s="530">
        <f t="shared" si="195"/>
        <v>7400</v>
      </c>
      <c r="DP245" s="165" t="s">
        <v>1604</v>
      </c>
      <c r="DQ245" s="166">
        <v>0</v>
      </c>
      <c r="DR245" s="522">
        <f t="shared" si="187"/>
        <v>0</v>
      </c>
      <c r="DS245" s="523"/>
      <c r="DT245" s="524">
        <f t="shared" si="188"/>
        <v>0</v>
      </c>
      <c r="DU245" s="166"/>
      <c r="DV245" s="800" t="s">
        <v>580</v>
      </c>
      <c r="DW245" s="727">
        <v>450</v>
      </c>
      <c r="DX245" s="807">
        <f t="shared" si="182"/>
        <v>450</v>
      </c>
      <c r="DY245" s="526"/>
      <c r="DZ245" s="527">
        <f t="shared" si="183"/>
        <v>450</v>
      </c>
      <c r="EG245" s="165"/>
      <c r="EH245" s="738" t="s">
        <v>3571</v>
      </c>
      <c r="EI245" s="166">
        <v>0</v>
      </c>
      <c r="EJ245" s="522">
        <f t="shared" si="184"/>
        <v>0</v>
      </c>
      <c r="EK245" s="523"/>
      <c r="EL245" s="524">
        <f t="shared" si="185"/>
        <v>0</v>
      </c>
    </row>
    <row r="246" spans="12:142">
      <c r="L246" s="765" t="s">
        <v>2940</v>
      </c>
      <c r="M246" s="152" t="s">
        <v>2935</v>
      </c>
      <c r="N246" s="160" t="s">
        <v>2100</v>
      </c>
      <c r="O246" s="422" t="s">
        <v>728</v>
      </c>
      <c r="P246" s="21"/>
      <c r="Q246" s="765" t="s">
        <v>2940</v>
      </c>
      <c r="R246" s="152" t="s">
        <v>162</v>
      </c>
      <c r="S246" s="160" t="s">
        <v>1027</v>
      </c>
      <c r="U246" s="58" t="s">
        <v>2144</v>
      </c>
      <c r="V246" s="98" t="s">
        <v>760</v>
      </c>
      <c r="W246" s="94" t="s">
        <v>2199</v>
      </c>
      <c r="AU246" s="45" t="s">
        <v>549</v>
      </c>
      <c r="AV246" s="47" t="s">
        <v>528</v>
      </c>
      <c r="AW246" s="70" t="str">
        <f t="shared" si="198"/>
        <v>КД Standard.1</v>
      </c>
      <c r="AY246" s="224" t="s">
        <v>1367</v>
      </c>
      <c r="AZ246" s="62" t="s">
        <v>1724</v>
      </c>
      <c r="BA246" s="139" t="str">
        <f t="shared" si="176"/>
        <v>ДП ЛАДА C.5/4.купе.</v>
      </c>
      <c r="BK246" s="143" t="s">
        <v>26</v>
      </c>
      <c r="BL246" s="137"/>
      <c r="BM246" s="138" t="str">
        <f t="shared" si="191"/>
        <v>Планка Verto-FIT Comfort 160мм.</v>
      </c>
      <c r="BS246" s="743" t="s">
        <v>2801</v>
      </c>
      <c r="BT246" s="56" t="s">
        <v>4086</v>
      </c>
      <c r="BU246" s="70" t="str">
        <f t="shared" si="196"/>
        <v>ДП Єва.4/3.Масив</v>
      </c>
      <c r="BW246" s="165" t="s">
        <v>1368</v>
      </c>
      <c r="BX246" s="770" t="s">
        <v>3851</v>
      </c>
      <c r="BY246" s="138" t="str">
        <f t="shared" si="180"/>
        <v>ДП ЛАДА C.5/5.Графіт</v>
      </c>
      <c r="CA246" s="742" t="s">
        <v>3249</v>
      </c>
      <c r="CB246" s="137" t="s">
        <v>4316</v>
      </c>
      <c r="CC246" s="138" t="str">
        <f>CONCATENATE(CA246,".",CB246)</f>
        <v>ДП Ідея-ЛОФТ.фальц.робоча.Magnet цл +3завіс</v>
      </c>
      <c r="CE246" s="146" t="s">
        <v>3318</v>
      </c>
      <c r="CF246" s="137"/>
      <c r="CG246" s="138" t="str">
        <f t="shared" si="197"/>
        <v>ДП МОДЕРН.фальц..неробоча..</v>
      </c>
      <c r="CY246" s="45"/>
      <c r="CZ246" s="56"/>
      <c r="DA246" s="70"/>
      <c r="DD246" s="250" t="s">
        <v>1929</v>
      </c>
      <c r="DE246" s="166">
        <v>7400</v>
      </c>
      <c r="DF246" s="528">
        <f t="shared" si="194"/>
        <v>7400</v>
      </c>
      <c r="DG246" s="523"/>
      <c r="DH246" s="530">
        <f t="shared" si="195"/>
        <v>7400</v>
      </c>
      <c r="DP246" s="738" t="s">
        <v>3903</v>
      </c>
      <c r="DQ246" s="166">
        <v>550</v>
      </c>
      <c r="DR246" s="522">
        <f t="shared" si="187"/>
        <v>550</v>
      </c>
      <c r="DS246" s="523"/>
      <c r="DT246" s="524">
        <f t="shared" si="188"/>
        <v>550</v>
      </c>
      <c r="DU246" s="166"/>
      <c r="DV246" s="647"/>
      <c r="DW246" s="648"/>
      <c r="DX246" s="654"/>
      <c r="DY246" s="655"/>
      <c r="DZ246" s="656"/>
      <c r="EG246" s="165"/>
      <c r="EH246" s="739" t="s">
        <v>3572</v>
      </c>
      <c r="EI246" s="164">
        <v>1830</v>
      </c>
      <c r="EJ246" s="531">
        <f t="shared" si="184"/>
        <v>1830</v>
      </c>
      <c r="EK246" s="526"/>
      <c r="EL246" s="527">
        <f t="shared" si="185"/>
        <v>1830</v>
      </c>
    </row>
    <row r="247" spans="12:142">
      <c r="L247" s="153" t="s">
        <v>597</v>
      </c>
      <c r="M247" s="817" t="s">
        <v>404</v>
      </c>
      <c r="N247" s="100" t="s">
        <v>2089</v>
      </c>
      <c r="O247" s="818" t="s">
        <v>728</v>
      </c>
      <c r="P247" s="21"/>
      <c r="Q247" s="153" t="s">
        <v>597</v>
      </c>
      <c r="R247" s="101" t="s">
        <v>159</v>
      </c>
      <c r="S247" s="100" t="s">
        <v>1024</v>
      </c>
      <c r="U247" s="58" t="s">
        <v>2145</v>
      </c>
      <c r="V247" s="98" t="s">
        <v>761</v>
      </c>
      <c r="W247" s="475" t="s">
        <v>5452</v>
      </c>
      <c r="AU247" s="142" t="s">
        <v>548</v>
      </c>
      <c r="AV247" s="156" t="s">
        <v>469</v>
      </c>
      <c r="AW247" s="135" t="str">
        <f t="shared" si="198"/>
        <v>КД Verto-FIT.A</v>
      </c>
      <c r="AY247" s="234" t="s">
        <v>1368</v>
      </c>
      <c r="AZ247" s="137" t="s">
        <v>1722</v>
      </c>
      <c r="BA247" s="138" t="str">
        <f t="shared" si="176"/>
        <v>ДП ЛАДА C.5/5.фальц.</v>
      </c>
      <c r="BK247" s="143" t="s">
        <v>26</v>
      </c>
      <c r="BL247" s="137" t="s">
        <v>1893</v>
      </c>
      <c r="BM247" s="138" t="str">
        <f t="shared" si="191"/>
        <v>Планка Verto-FIT Comfort 160мм.Uni-Mat</v>
      </c>
      <c r="BS247" s="743" t="s">
        <v>2802</v>
      </c>
      <c r="BT247" s="56" t="s">
        <v>4086</v>
      </c>
      <c r="BU247" s="70" t="str">
        <f t="shared" si="196"/>
        <v>ДП Єва.4/4.Масив</v>
      </c>
      <c r="BW247" s="108" t="s">
        <v>1368</v>
      </c>
      <c r="BX247" s="248" t="s">
        <v>832</v>
      </c>
      <c r="BY247" s="139" t="str">
        <f t="shared" si="180"/>
        <v>ДП ЛАДА C.5/5.Бронза</v>
      </c>
      <c r="CA247" s="424" t="s">
        <v>3249</v>
      </c>
      <c r="CB247" s="62" t="s">
        <v>4319</v>
      </c>
      <c r="CC247" s="139" t="str">
        <f>CONCATENATE(CA247,".",CB247)</f>
        <v>ДП Ідея-ЛОФТ.фальц.робоча.Magnet ст +3завіс</v>
      </c>
      <c r="CE247" s="146" t="s">
        <v>3318</v>
      </c>
      <c r="CF247" s="137" t="s">
        <v>4261</v>
      </c>
      <c r="CG247" s="138" t="str">
        <f t="shared" si="197"/>
        <v>ДП МОДЕРН.фальц..неробоча..ВВ</v>
      </c>
      <c r="CY247" s="45"/>
      <c r="CZ247" s="56"/>
      <c r="DA247" s="70"/>
      <c r="DD247" s="250" t="s">
        <v>1930</v>
      </c>
      <c r="DE247" s="166">
        <v>7400</v>
      </c>
      <c r="DF247" s="528">
        <f t="shared" si="194"/>
        <v>7400</v>
      </c>
      <c r="DG247" s="523"/>
      <c r="DH247" s="530">
        <f t="shared" si="195"/>
        <v>7400</v>
      </c>
      <c r="DP247" s="108" t="s">
        <v>1667</v>
      </c>
      <c r="DQ247" s="164">
        <v>550</v>
      </c>
      <c r="DR247" s="531">
        <f t="shared" si="187"/>
        <v>550</v>
      </c>
      <c r="DS247" s="526"/>
      <c r="DT247" s="527">
        <f t="shared" si="188"/>
        <v>550</v>
      </c>
      <c r="DU247" s="166"/>
      <c r="DV247" s="736" t="s">
        <v>4144</v>
      </c>
      <c r="DW247" s="105">
        <v>0</v>
      </c>
      <c r="DX247" s="403">
        <f t="shared" ref="DX247:DX293" si="199">ROUND(((DW247-(DW247/6))/$DD$3)*$DE$3,2)</f>
        <v>0</v>
      </c>
      <c r="DY247" s="514"/>
      <c r="DZ247" s="511">
        <f t="shared" ref="DZ247:DZ293" si="200">IF(DY247="",DX247,
IF(AND($DW$10&gt;=VLOOKUP(DY247,$DV$5:$DZ$9,2,0),$DW$10&lt;=VLOOKUP(DY247,$DV$5:$DZ$9,3,0)),
(DX247*(1-VLOOKUP(DY247,$DV$5:$DZ$9,4,0))),
DX247))</f>
        <v>0</v>
      </c>
      <c r="EG247" s="165"/>
      <c r="EH247" s="738" t="s">
        <v>5113</v>
      </c>
      <c r="EI247" s="166">
        <v>0</v>
      </c>
      <c r="EJ247" s="522">
        <f>ROUND(((EI247-(EI247/6))/$DD$3)*$DE$3,2)</f>
        <v>0</v>
      </c>
      <c r="EK247" s="523"/>
      <c r="EL247" s="524">
        <f>IF(EK247="",EJ247,
IF(AND($EI$10&gt;=VLOOKUP(EK247,$EH$5:$EL$9,2,0),$EI$10&lt;=VLOOKUP(EK247,$EH$5:$EL$9,3,0)),
(EJ247*(1-VLOOKUP(EK247,$EH$5:$EL$9,4,0))),
EJ247))</f>
        <v>0</v>
      </c>
    </row>
    <row r="248" spans="12:142">
      <c r="L248" s="154" t="s">
        <v>598</v>
      </c>
      <c r="M248" s="21" t="s">
        <v>404</v>
      </c>
      <c r="N248" s="159" t="s">
        <v>2089</v>
      </c>
      <c r="O248" s="819" t="s">
        <v>728</v>
      </c>
      <c r="P248" s="21"/>
      <c r="Q248" s="154" t="s">
        <v>598</v>
      </c>
      <c r="R248" s="151" t="s">
        <v>160</v>
      </c>
      <c r="S248" s="159" t="s">
        <v>1025</v>
      </c>
      <c r="U248" s="815"/>
      <c r="V248" s="816"/>
      <c r="W248" s="808"/>
      <c r="AU248" s="143" t="s">
        <v>548</v>
      </c>
      <c r="AV248" s="157" t="s">
        <v>470</v>
      </c>
      <c r="AW248" s="138" t="str">
        <f t="shared" si="198"/>
        <v>КД Verto-FIT.B</v>
      </c>
      <c r="AY248" s="234" t="s">
        <v>1368</v>
      </c>
      <c r="AZ248" s="137" t="s">
        <v>1723</v>
      </c>
      <c r="BA248" s="138" t="str">
        <f t="shared" si="176"/>
        <v>ДП ЛАДА C.5/5.б/з фальц.</v>
      </c>
      <c r="BK248" s="143" t="s">
        <v>26</v>
      </c>
      <c r="BL248" s="137" t="s">
        <v>557</v>
      </c>
      <c r="BM248" s="138" t="str">
        <f t="shared" si="191"/>
        <v>Планка Verto-FIT Comfort 160мм.Резист</v>
      </c>
      <c r="BS248" s="743" t="s">
        <v>2803</v>
      </c>
      <c r="BT248" s="56" t="s">
        <v>4086</v>
      </c>
      <c r="BU248" s="70" t="str">
        <f t="shared" si="196"/>
        <v>ДП Єва.4/5.Масив</v>
      </c>
      <c r="BW248" s="162" t="s">
        <v>1369</v>
      </c>
      <c r="BX248" s="246" t="s">
        <v>458</v>
      </c>
      <c r="BY248" s="135" t="str">
        <f t="shared" si="180"/>
        <v>ДП ЛАДА C.5/6.Сатин</v>
      </c>
      <c r="CA248" s="746" t="s">
        <v>3255</v>
      </c>
      <c r="CB248" s="137" t="s">
        <v>4106</v>
      </c>
      <c r="CC248" s="138" t="str">
        <f>CONCATENATE(CA248,".",CB248)</f>
        <v>ДП Ідея-ЛОФТ.фальц.неробоча.(ні)</v>
      </c>
      <c r="CE248" s="147" t="s">
        <v>3318</v>
      </c>
      <c r="CF248" s="62" t="s">
        <v>739</v>
      </c>
      <c r="CG248" s="139" t="str">
        <f t="shared" si="197"/>
        <v>ДП МОДЕРН.фальц..неробоча..ВП</v>
      </c>
      <c r="CY248" s="45"/>
      <c r="CZ248" s="56"/>
      <c r="DA248" s="70"/>
      <c r="DD248" s="249" t="s">
        <v>1931</v>
      </c>
      <c r="DE248" s="164">
        <v>7400</v>
      </c>
      <c r="DF248" s="528">
        <f t="shared" si="194"/>
        <v>7400</v>
      </c>
      <c r="DG248" s="526"/>
      <c r="DH248" s="530">
        <f t="shared" si="195"/>
        <v>7400</v>
      </c>
      <c r="DP248" s="165" t="s">
        <v>1605</v>
      </c>
      <c r="DQ248" s="166">
        <v>0</v>
      </c>
      <c r="DR248" s="522">
        <f t="shared" si="187"/>
        <v>0</v>
      </c>
      <c r="DS248" s="523"/>
      <c r="DT248" s="524">
        <f t="shared" si="188"/>
        <v>0</v>
      </c>
      <c r="DU248" s="166"/>
      <c r="DV248" s="737" t="s">
        <v>5796</v>
      </c>
      <c r="DW248" s="163">
        <v>0</v>
      </c>
      <c r="DX248" s="528">
        <f t="shared" si="199"/>
        <v>0</v>
      </c>
      <c r="DY248" s="529"/>
      <c r="DZ248" s="530">
        <f t="shared" si="200"/>
        <v>0</v>
      </c>
      <c r="EG248" s="165"/>
      <c r="EH248" s="739" t="s">
        <v>5114</v>
      </c>
      <c r="EI248" s="164">
        <v>1960</v>
      </c>
      <c r="EJ248" s="531">
        <f>ROUND(((EI248-(EI248/6))/$DD$3)*$DE$3,2)</f>
        <v>1960</v>
      </c>
      <c r="EK248" s="526"/>
      <c r="EL248" s="527">
        <f>IF(EK248="",EJ248,
IF(AND($EI$10&gt;=VLOOKUP(EK248,$EH$5:$EL$9,2,0),$EI$10&lt;=VLOOKUP(EK248,$EH$5:$EL$9,3,0)),
(EJ248*(1-VLOOKUP(EK248,$EH$5:$EL$9,4,0))),
EJ248))</f>
        <v>1960</v>
      </c>
    </row>
    <row r="249" spans="12:142">
      <c r="L249" s="154" t="s">
        <v>599</v>
      </c>
      <c r="M249" s="21" t="s">
        <v>404</v>
      </c>
      <c r="N249" s="159" t="s">
        <v>2089</v>
      </c>
      <c r="O249" s="819" t="s">
        <v>728</v>
      </c>
      <c r="P249" s="21"/>
      <c r="Q249" s="154" t="s">
        <v>599</v>
      </c>
      <c r="R249" s="151" t="s">
        <v>161</v>
      </c>
      <c r="S249" s="159" t="s">
        <v>1026</v>
      </c>
      <c r="U249" s="756" t="s">
        <v>6473</v>
      </c>
      <c r="V249" s="98" t="s">
        <v>1309</v>
      </c>
      <c r="W249" s="698" t="s">
        <v>2200</v>
      </c>
      <c r="AU249" s="143" t="s">
        <v>548</v>
      </c>
      <c r="AV249" s="542" t="s">
        <v>1184</v>
      </c>
      <c r="AW249" s="138" t="str">
        <f>CONCATENATE(AU249,".",AV249)</f>
        <v>КД Verto-FIT.B+</v>
      </c>
      <c r="AY249" s="224" t="s">
        <v>1368</v>
      </c>
      <c r="AZ249" s="62" t="s">
        <v>1724</v>
      </c>
      <c r="BA249" s="139" t="str">
        <f t="shared" si="176"/>
        <v>ДП ЛАДА C.5/5.купе.</v>
      </c>
      <c r="BK249" s="143" t="s">
        <v>26</v>
      </c>
      <c r="BL249" s="137" t="s">
        <v>62</v>
      </c>
      <c r="BM249" s="138" t="str">
        <f t="shared" si="191"/>
        <v>Планка Verto-FIT Comfort 160мм.LINE-3D</v>
      </c>
      <c r="BS249" s="743" t="s">
        <v>2804</v>
      </c>
      <c r="BT249" s="56" t="s">
        <v>4086</v>
      </c>
      <c r="BU249" s="70" t="str">
        <f t="shared" si="196"/>
        <v>ДП Єва.4/6.Масив</v>
      </c>
      <c r="BW249" s="165" t="s">
        <v>1369</v>
      </c>
      <c r="BX249" s="770" t="s">
        <v>3851</v>
      </c>
      <c r="BY249" s="138" t="str">
        <f t="shared" si="180"/>
        <v>ДП ЛАДА C.5/6.Графіт</v>
      </c>
      <c r="CA249" s="742" t="s">
        <v>3255</v>
      </c>
      <c r="CB249" s="137"/>
      <c r="CC249" s="21"/>
      <c r="CE249" s="146" t="s">
        <v>3319</v>
      </c>
      <c r="CF249" s="137"/>
      <c r="CG249" s="138" t="str">
        <f t="shared" si="197"/>
        <v>ДП МОДЕРН.б/з фальц..робоча..</v>
      </c>
      <c r="CY249" s="45"/>
      <c r="CZ249" s="56"/>
      <c r="DA249" s="70"/>
      <c r="DD249" s="250" t="s">
        <v>1435</v>
      </c>
      <c r="DE249" s="166">
        <v>7400</v>
      </c>
      <c r="DF249" s="528">
        <f t="shared" si="194"/>
        <v>7400</v>
      </c>
      <c r="DG249" s="523"/>
      <c r="DH249" s="530">
        <f t="shared" si="195"/>
        <v>7400</v>
      </c>
      <c r="DP249" s="738" t="s">
        <v>3904</v>
      </c>
      <c r="DQ249" s="166">
        <v>550</v>
      </c>
      <c r="DR249" s="522">
        <f t="shared" si="187"/>
        <v>550</v>
      </c>
      <c r="DS249" s="523"/>
      <c r="DT249" s="524">
        <f t="shared" si="188"/>
        <v>550</v>
      </c>
      <c r="DU249" s="166"/>
      <c r="DV249" s="737" t="s">
        <v>5797</v>
      </c>
      <c r="DW249" s="163">
        <v>0</v>
      </c>
      <c r="DX249" s="528">
        <f>ROUND(((DW249-(DW249/6))/$DD$3)*$DE$3,2)</f>
        <v>0</v>
      </c>
      <c r="DY249" s="529"/>
      <c r="DZ249" s="530">
        <f>IF(DY249="",DX249,
IF(AND($DW$10&gt;=VLOOKUP(DY249,$DV$5:$DZ$9,2,0),$DW$10&lt;=VLOOKUP(DY249,$DV$5:$DZ$9,3,0)),
(DX249*(1-VLOOKUP(DY249,$DV$5:$DZ$9,4,0))),
DX249))</f>
        <v>0</v>
      </c>
      <c r="EG249" s="165"/>
      <c r="EH249" s="738" t="s">
        <v>3573</v>
      </c>
      <c r="EI249" s="166">
        <v>0</v>
      </c>
      <c r="EJ249" s="522">
        <f t="shared" si="184"/>
        <v>0</v>
      </c>
      <c r="EK249" s="523"/>
      <c r="EL249" s="524">
        <f t="shared" si="185"/>
        <v>0</v>
      </c>
    </row>
    <row r="250" spans="12:142">
      <c r="L250" s="154" t="s">
        <v>600</v>
      </c>
      <c r="M250" s="21" t="s">
        <v>404</v>
      </c>
      <c r="N250" s="159" t="s">
        <v>2089</v>
      </c>
      <c r="O250" s="819" t="s">
        <v>728</v>
      </c>
      <c r="P250" s="21"/>
      <c r="Q250" s="154" t="s">
        <v>600</v>
      </c>
      <c r="R250" s="151" t="s">
        <v>162</v>
      </c>
      <c r="S250" s="159" t="s">
        <v>1027</v>
      </c>
      <c r="U250" s="756" t="s">
        <v>6491</v>
      </c>
      <c r="V250" s="98" t="s">
        <v>1309</v>
      </c>
      <c r="W250" s="698" t="s">
        <v>2200</v>
      </c>
      <c r="AU250" s="143" t="s">
        <v>548</v>
      </c>
      <c r="AV250" s="157" t="s">
        <v>471</v>
      </c>
      <c r="AW250" s="138" t="str">
        <f t="shared" si="198"/>
        <v>КД Verto-FIT.C</v>
      </c>
      <c r="AY250" s="234" t="s">
        <v>1369</v>
      </c>
      <c r="AZ250" s="137" t="s">
        <v>1722</v>
      </c>
      <c r="BA250" s="138" t="str">
        <f t="shared" si="176"/>
        <v>ДП ЛАДА C.5/6.фальц.</v>
      </c>
      <c r="BK250" s="143" t="s">
        <v>26</v>
      </c>
      <c r="BL250" s="137" t="s">
        <v>5071</v>
      </c>
      <c r="BM250" s="138" t="str">
        <f t="shared" si="191"/>
        <v>Планка Verto-FIT Comfort 160мм.Е-шпон</v>
      </c>
      <c r="BS250" s="426"/>
      <c r="BT250" s="427"/>
      <c r="BU250" s="428"/>
      <c r="BW250" s="108" t="s">
        <v>1369</v>
      </c>
      <c r="BX250" s="248" t="s">
        <v>832</v>
      </c>
      <c r="BY250" s="139" t="str">
        <f t="shared" si="180"/>
        <v>ДП ЛАДА C.5/6.Бронза</v>
      </c>
      <c r="CA250" s="742" t="s">
        <v>3255</v>
      </c>
      <c r="CB250" s="137" t="s">
        <v>4323</v>
      </c>
      <c r="CC250" s="138" t="str">
        <f>CONCATENATE(CA250,".",CB250)</f>
        <v>ДП Ідея-ЛОФТ.фальц.неробоча.Пл Stand +2завіс</v>
      </c>
      <c r="CE250" s="146" t="s">
        <v>3319</v>
      </c>
      <c r="CF250" s="137" t="s">
        <v>4261</v>
      </c>
      <c r="CG250" s="138" t="str">
        <f t="shared" si="197"/>
        <v>ДП МОДЕРН.б/з фальц..робоча..ВВ</v>
      </c>
      <c r="CY250" s="45"/>
      <c r="CZ250" s="56"/>
      <c r="DA250" s="70"/>
      <c r="DD250" s="250" t="s">
        <v>1483</v>
      </c>
      <c r="DE250" s="166">
        <v>7400</v>
      </c>
      <c r="DF250" s="528">
        <f t="shared" si="194"/>
        <v>7400</v>
      </c>
      <c r="DG250" s="523"/>
      <c r="DH250" s="530">
        <f t="shared" si="195"/>
        <v>7400</v>
      </c>
      <c r="DP250" s="108" t="s">
        <v>1666</v>
      </c>
      <c r="DQ250" s="164">
        <v>550</v>
      </c>
      <c r="DR250" s="531">
        <f t="shared" si="187"/>
        <v>550</v>
      </c>
      <c r="DS250" s="526"/>
      <c r="DT250" s="527">
        <f t="shared" si="188"/>
        <v>550</v>
      </c>
      <c r="DU250" s="166"/>
      <c r="DV250" s="738" t="s">
        <v>5798</v>
      </c>
      <c r="DW250" s="166">
        <v>0</v>
      </c>
      <c r="DX250" s="522">
        <f t="shared" si="199"/>
        <v>0</v>
      </c>
      <c r="DY250" s="523"/>
      <c r="DZ250" s="524">
        <f t="shared" si="200"/>
        <v>0</v>
      </c>
      <c r="EG250" s="165"/>
      <c r="EH250" s="739" t="s">
        <v>3574</v>
      </c>
      <c r="EI250" s="164">
        <v>1960</v>
      </c>
      <c r="EJ250" s="531">
        <f t="shared" si="184"/>
        <v>1960</v>
      </c>
      <c r="EK250" s="526"/>
      <c r="EL250" s="527">
        <f t="shared" si="185"/>
        <v>1960</v>
      </c>
    </row>
    <row r="251" spans="12:142">
      <c r="L251" s="154" t="s">
        <v>601</v>
      </c>
      <c r="M251" s="21" t="s">
        <v>404</v>
      </c>
      <c r="N251" s="159" t="s">
        <v>2089</v>
      </c>
      <c r="O251" s="819" t="s">
        <v>728</v>
      </c>
      <c r="P251" s="21"/>
      <c r="Q251" s="154" t="s">
        <v>601</v>
      </c>
      <c r="R251" s="151" t="s">
        <v>163</v>
      </c>
      <c r="S251" s="159" t="s">
        <v>1028</v>
      </c>
      <c r="U251" s="815"/>
      <c r="V251" s="816"/>
      <c r="W251" s="808"/>
      <c r="AU251" s="143" t="s">
        <v>548</v>
      </c>
      <c r="AV251" s="157" t="s">
        <v>472</v>
      </c>
      <c r="AW251" s="138" t="str">
        <f t="shared" si="198"/>
        <v>КД Verto-FIT.D</v>
      </c>
      <c r="AY251" s="234" t="s">
        <v>1369</v>
      </c>
      <c r="AZ251" s="137" t="s">
        <v>1723</v>
      </c>
      <c r="BA251" s="138" t="str">
        <f t="shared" si="176"/>
        <v>ДП ЛАДА C.5/6.б/з фальц.</v>
      </c>
      <c r="BK251" s="144" t="s">
        <v>26</v>
      </c>
      <c r="BL251" s="62" t="s">
        <v>1836</v>
      </c>
      <c r="BM251" s="139" t="str">
        <f t="shared" si="191"/>
        <v>Планка Verto-FIT Comfort 160мм.Лофт</v>
      </c>
      <c r="BS251" s="58" t="s">
        <v>1162</v>
      </c>
      <c r="BT251" s="41" t="s">
        <v>4086</v>
      </c>
      <c r="BU251" s="70" t="str">
        <f t="shared" ref="BU251:BU269" si="201">CONCATENATE(BS251,".",BT251)</f>
        <v>ДП ТРЕНД.5/0.Масив</v>
      </c>
      <c r="BW251" s="432"/>
      <c r="BX251" s="432"/>
      <c r="BY251" s="432"/>
      <c r="CA251" s="742" t="s">
        <v>3255</v>
      </c>
      <c r="CB251" s="137" t="s">
        <v>4325</v>
      </c>
      <c r="CC251" s="138" t="str">
        <f>CONCATENATE(CA251,".",CB251)</f>
        <v>ДП Ідея-ЛОФТ.фальц.неробоча.Пл Stand +3завіс</v>
      </c>
      <c r="CE251" s="147" t="s">
        <v>3319</v>
      </c>
      <c r="CF251" s="62" t="s">
        <v>739</v>
      </c>
      <c r="CG251" s="139" t="str">
        <f t="shared" si="197"/>
        <v>ДП МОДЕРН.б/з фальц..робоча..ВП</v>
      </c>
      <c r="CY251" s="574"/>
      <c r="CZ251" s="561"/>
      <c r="DA251" s="562"/>
      <c r="DD251" s="250" t="s">
        <v>1484</v>
      </c>
      <c r="DE251" s="166">
        <v>7400</v>
      </c>
      <c r="DF251" s="528">
        <f t="shared" si="194"/>
        <v>7400</v>
      </c>
      <c r="DG251" s="523"/>
      <c r="DH251" s="530">
        <f t="shared" si="195"/>
        <v>7400</v>
      </c>
      <c r="DP251" s="165" t="s">
        <v>1606</v>
      </c>
      <c r="DQ251" s="166">
        <v>0</v>
      </c>
      <c r="DR251" s="522">
        <f t="shared" si="187"/>
        <v>0</v>
      </c>
      <c r="DS251" s="523"/>
      <c r="DT251" s="524">
        <f t="shared" si="188"/>
        <v>0</v>
      </c>
      <c r="DU251" s="166"/>
      <c r="DV251" s="738" t="s">
        <v>5799</v>
      </c>
      <c r="DW251" s="163">
        <v>0</v>
      </c>
      <c r="DX251" s="528">
        <f>ROUND(((DW251-(DW251/6))/$DD$3)*$DE$3,2)</f>
        <v>0</v>
      </c>
      <c r="DY251" s="529"/>
      <c r="DZ251" s="530">
        <f>IF(DY251="",DX251,
IF(AND($DW$10&gt;=VLOOKUP(DY251,$DV$5:$DZ$9,2,0),$DW$10&lt;=VLOOKUP(DY251,$DV$5:$DZ$9,3,0)),
(DX251*(1-VLOOKUP(DY251,$DV$5:$DZ$9,4,0))),
DX251))</f>
        <v>0</v>
      </c>
      <c r="EG251" s="165"/>
      <c r="EH251" s="256"/>
      <c r="EI251" s="257"/>
      <c r="EJ251" s="517"/>
      <c r="EK251" s="532"/>
      <c r="EL251" s="259"/>
    </row>
    <row r="252" spans="12:142">
      <c r="L252" s="154" t="s">
        <v>602</v>
      </c>
      <c r="M252" s="21" t="s">
        <v>404</v>
      </c>
      <c r="N252" s="159" t="s">
        <v>2089</v>
      </c>
      <c r="O252" s="819" t="s">
        <v>728</v>
      </c>
      <c r="P252" s="21"/>
      <c r="Q252" s="154" t="s">
        <v>602</v>
      </c>
      <c r="R252" s="151" t="s">
        <v>164</v>
      </c>
      <c r="S252" s="159" t="s">
        <v>1029</v>
      </c>
      <c r="U252" s="49"/>
      <c r="V252" s="98"/>
      <c r="W252" s="94"/>
      <c r="AU252" s="143" t="s">
        <v>548</v>
      </c>
      <c r="AV252" s="157" t="s">
        <v>473</v>
      </c>
      <c r="AW252" s="138" t="str">
        <f t="shared" si="198"/>
        <v>КД Verto-FIT.E</v>
      </c>
      <c r="AY252" s="224" t="s">
        <v>1369</v>
      </c>
      <c r="AZ252" s="62" t="s">
        <v>1724</v>
      </c>
      <c r="BA252" s="139" t="str">
        <f t="shared" si="176"/>
        <v>ДП ЛАДА C.5/6.купе.</v>
      </c>
      <c r="BK252" s="142" t="s">
        <v>1280</v>
      </c>
      <c r="BL252" s="134" t="s">
        <v>4904</v>
      </c>
      <c r="BM252" s="135" t="str">
        <f t="shared" si="191"/>
        <v>Планка Verto-FIT Comfort 200мм.Сімплекс</v>
      </c>
      <c r="BS252" s="58" t="s">
        <v>1163</v>
      </c>
      <c r="BT252" s="41" t="s">
        <v>4086</v>
      </c>
      <c r="BU252" s="70" t="str">
        <f t="shared" si="201"/>
        <v>ДП ТРЕНД.5/1.Масив</v>
      </c>
      <c r="BW252" s="58" t="s">
        <v>1370</v>
      </c>
      <c r="BX252" s="780" t="s">
        <v>4106</v>
      </c>
      <c r="BY252" s="138" t="str">
        <f t="shared" ref="BY252:BY274" si="202">CONCATENATE(BW252,".",BX252)</f>
        <v>ДП ЛАДА D.6/0.(ні)</v>
      </c>
      <c r="CA252" s="742" t="s">
        <v>3255</v>
      </c>
      <c r="CB252" s="137"/>
      <c r="CC252" s="138"/>
      <c r="CE252" s="146" t="s">
        <v>3320</v>
      </c>
      <c r="CF252" s="137"/>
      <c r="CG252" s="138" t="str">
        <f t="shared" si="197"/>
        <v>ДП МОДЕРН.купе..робоча..</v>
      </c>
      <c r="DD252" s="250" t="s">
        <v>1485</v>
      </c>
      <c r="DE252" s="166">
        <v>7400</v>
      </c>
      <c r="DF252" s="528">
        <f t="shared" si="194"/>
        <v>7400</v>
      </c>
      <c r="DG252" s="523"/>
      <c r="DH252" s="530">
        <f t="shared" si="195"/>
        <v>7400</v>
      </c>
      <c r="DP252" s="738" t="s">
        <v>3905</v>
      </c>
      <c r="DQ252" s="166">
        <v>550</v>
      </c>
      <c r="DR252" s="522">
        <f t="shared" si="187"/>
        <v>550</v>
      </c>
      <c r="DS252" s="523"/>
      <c r="DT252" s="524">
        <f t="shared" si="188"/>
        <v>550</v>
      </c>
      <c r="DU252" s="166"/>
      <c r="DV252" s="738" t="s">
        <v>5800</v>
      </c>
      <c r="DW252" s="166">
        <v>0</v>
      </c>
      <c r="DX252" s="522">
        <f t="shared" si="199"/>
        <v>0</v>
      </c>
      <c r="DY252" s="523"/>
      <c r="DZ252" s="524">
        <f t="shared" si="200"/>
        <v>0</v>
      </c>
      <c r="EG252" s="165"/>
      <c r="EH252" s="737" t="s">
        <v>4972</v>
      </c>
      <c r="EI252" s="163">
        <v>0</v>
      </c>
      <c r="EJ252" s="537">
        <f t="shared" ref="EJ252:EJ267" si="203">ROUND(((EI252-(EI252/6))/$DD$3)*$DE$3,2)</f>
        <v>0</v>
      </c>
      <c r="EK252" s="529"/>
      <c r="EL252" s="530">
        <f t="shared" ref="EL252:EL267" si="204">IF(EK252="",EJ252,
IF(AND($EI$10&gt;=VLOOKUP(EK252,$EH$5:$EL$9,2,0),$EI$10&lt;=VLOOKUP(EK252,$EH$5:$EL$9,3,0)),
(EJ252*(1-VLOOKUP(EK252,$EH$5:$EL$9,4,0))),
EJ252))</f>
        <v>0</v>
      </c>
    </row>
    <row r="253" spans="12:142">
      <c r="L253" s="155" t="s">
        <v>660</v>
      </c>
      <c r="M253" s="254" t="s">
        <v>404</v>
      </c>
      <c r="N253" s="160" t="s">
        <v>2089</v>
      </c>
      <c r="O253" s="422" t="s">
        <v>728</v>
      </c>
      <c r="P253" s="21"/>
      <c r="Q253" s="155" t="s">
        <v>660</v>
      </c>
      <c r="R253" s="152" t="s">
        <v>661</v>
      </c>
      <c r="S253" s="160" t="s">
        <v>662</v>
      </c>
      <c r="U253" s="49"/>
      <c r="V253" s="98"/>
      <c r="W253" s="94"/>
      <c r="AU253" s="143" t="s">
        <v>548</v>
      </c>
      <c r="AV253" s="157" t="s">
        <v>474</v>
      </c>
      <c r="AW253" s="138" t="str">
        <f t="shared" si="198"/>
        <v>КД Verto-FIT.F</v>
      </c>
      <c r="AY253" s="432"/>
      <c r="AZ253" s="222"/>
      <c r="BA253" s="223"/>
      <c r="BK253" s="143" t="s">
        <v>1280</v>
      </c>
      <c r="BL253" s="137" t="s">
        <v>409</v>
      </c>
      <c r="BM253" s="138" t="str">
        <f t="shared" si="191"/>
        <v>Планка Verto-FIT Comfort 200мм.Verto-Cell</v>
      </c>
      <c r="BS253" s="58" t="s">
        <v>1164</v>
      </c>
      <c r="BT253" s="41" t="s">
        <v>4086</v>
      </c>
      <c r="BU253" s="70" t="str">
        <f t="shared" si="201"/>
        <v>ДП ТРЕНД.5/2.Масив</v>
      </c>
      <c r="BW253" s="162" t="s">
        <v>1371</v>
      </c>
      <c r="BX253" s="246" t="s">
        <v>458</v>
      </c>
      <c r="BY253" s="135" t="str">
        <f t="shared" si="202"/>
        <v>ДП ЛАДА D.6/1.Сатин</v>
      </c>
      <c r="CA253" s="742" t="s">
        <v>3255</v>
      </c>
      <c r="CB253" s="137" t="s">
        <v>4330</v>
      </c>
      <c r="CC253" s="138" t="str">
        <f>CONCATENATE(CA253,".",CB253)</f>
        <v>ДП Ідея-ЛОФТ.фальц.неробоча.Пл Soft +2завіс</v>
      </c>
      <c r="CE253" s="147" t="s">
        <v>3320</v>
      </c>
      <c r="CF253" s="62" t="s">
        <v>4261</v>
      </c>
      <c r="CG253" s="139" t="str">
        <f t="shared" si="197"/>
        <v>ДП МОДЕРН.купе..робоча..ВВ</v>
      </c>
      <c r="DD253" s="250" t="s">
        <v>1486</v>
      </c>
      <c r="DE253" s="166">
        <v>7400</v>
      </c>
      <c r="DF253" s="528">
        <f t="shared" si="194"/>
        <v>7400</v>
      </c>
      <c r="DG253" s="523"/>
      <c r="DH253" s="530">
        <f t="shared" si="195"/>
        <v>7400</v>
      </c>
      <c r="DP253" s="108" t="s">
        <v>1665</v>
      </c>
      <c r="DQ253" s="164">
        <v>550</v>
      </c>
      <c r="DR253" s="531">
        <f t="shared" si="187"/>
        <v>550</v>
      </c>
      <c r="DS253" s="526"/>
      <c r="DT253" s="527">
        <f t="shared" si="188"/>
        <v>550</v>
      </c>
      <c r="DU253" s="166"/>
      <c r="DV253" s="738" t="s">
        <v>5801</v>
      </c>
      <c r="DW253" s="163">
        <v>0</v>
      </c>
      <c r="DX253" s="528">
        <f>ROUND(((DW253-(DW253/6))/$DD$3)*$DE$3,2)</f>
        <v>0</v>
      </c>
      <c r="DY253" s="529"/>
      <c r="DZ253" s="530">
        <f>IF(DY253="",DX253,
IF(AND($DW$10&gt;=VLOOKUP(DY253,$DV$5:$DZ$9,2,0),$DW$10&lt;=VLOOKUP(DY253,$DV$5:$DZ$9,3,0)),
(DX253*(1-VLOOKUP(DY253,$DV$5:$DZ$9,4,0))),
DX253))</f>
        <v>0</v>
      </c>
      <c r="EG253" s="165"/>
      <c r="EH253" s="739" t="s">
        <v>4973</v>
      </c>
      <c r="EI253" s="164">
        <v>1450</v>
      </c>
      <c r="EJ253" s="531">
        <f t="shared" si="203"/>
        <v>1450</v>
      </c>
      <c r="EK253" s="526"/>
      <c r="EL253" s="527">
        <f t="shared" si="204"/>
        <v>1450</v>
      </c>
    </row>
    <row r="254" spans="12:142">
      <c r="L254" s="763" t="s">
        <v>2959</v>
      </c>
      <c r="M254" s="101" t="s">
        <v>2957</v>
      </c>
      <c r="N254" s="100" t="s">
        <v>2101</v>
      </c>
      <c r="O254" s="818" t="s">
        <v>728</v>
      </c>
      <c r="P254" s="21"/>
      <c r="Q254" s="763" t="s">
        <v>2959</v>
      </c>
      <c r="R254" s="101" t="s">
        <v>159</v>
      </c>
      <c r="S254" s="100" t="s">
        <v>1024</v>
      </c>
      <c r="U254" s="49"/>
      <c r="V254" s="98"/>
      <c r="W254" s="94"/>
      <c r="AU254" s="143" t="s">
        <v>548</v>
      </c>
      <c r="AV254" s="157" t="s">
        <v>475</v>
      </c>
      <c r="AW254" s="138" t="str">
        <f t="shared" si="198"/>
        <v>КД Verto-FIT.G</v>
      </c>
      <c r="AY254" s="234" t="s">
        <v>1370</v>
      </c>
      <c r="AZ254" s="137" t="s">
        <v>1722</v>
      </c>
      <c r="BA254" s="138" t="str">
        <f t="shared" ref="BA254:BA277" si="205">CONCATENATE(AY254,".",AZ254)</f>
        <v>ДП ЛАДА D.6/0.фальц.</v>
      </c>
      <c r="BK254" s="143" t="s">
        <v>1280</v>
      </c>
      <c r="BL254" s="137"/>
      <c r="BM254" s="138" t="str">
        <f t="shared" si="191"/>
        <v>Планка Verto-FIT Comfort 200мм.</v>
      </c>
      <c r="BS254" s="58" t="s">
        <v>1165</v>
      </c>
      <c r="BT254" s="41" t="s">
        <v>4086</v>
      </c>
      <c r="BU254" s="70" t="str">
        <f t="shared" si="201"/>
        <v>ДП ТРЕНД.5/3.Масив</v>
      </c>
      <c r="BW254" s="165" t="s">
        <v>1371</v>
      </c>
      <c r="BX254" s="770" t="s">
        <v>3851</v>
      </c>
      <c r="BY254" s="138" t="str">
        <f t="shared" si="202"/>
        <v>ДП ЛАДА D.6/1.Графіт</v>
      </c>
      <c r="CA254" s="742" t="s">
        <v>3255</v>
      </c>
      <c r="CB254" s="137" t="s">
        <v>4333</v>
      </c>
      <c r="CC254" s="138" t="str">
        <f>CONCATENATE(CA254,".",CB254)</f>
        <v>ДП Ідея-ЛОФТ.фальц.неробоча.Пл Soft +3завіс</v>
      </c>
      <c r="CE254" s="546"/>
      <c r="CF254" s="544"/>
      <c r="CG254" s="545"/>
      <c r="DD254" s="250" t="s">
        <v>1487</v>
      </c>
      <c r="DE254" s="166">
        <v>7400</v>
      </c>
      <c r="DF254" s="528">
        <f t="shared" si="194"/>
        <v>7400</v>
      </c>
      <c r="DG254" s="523"/>
      <c r="DH254" s="530">
        <f t="shared" si="195"/>
        <v>7400</v>
      </c>
      <c r="DP254" s="741" t="s">
        <v>4150</v>
      </c>
      <c r="DQ254" s="164">
        <v>0</v>
      </c>
      <c r="DR254" s="525">
        <f t="shared" si="187"/>
        <v>0</v>
      </c>
      <c r="DS254" s="526"/>
      <c r="DT254" s="527">
        <f t="shared" si="188"/>
        <v>0</v>
      </c>
      <c r="DU254" s="166"/>
      <c r="DV254" s="738" t="s">
        <v>4519</v>
      </c>
      <c r="DW254" s="166">
        <v>550</v>
      </c>
      <c r="DX254" s="522">
        <f t="shared" si="199"/>
        <v>550</v>
      </c>
      <c r="DY254" s="523"/>
      <c r="DZ254" s="524">
        <f t="shared" si="200"/>
        <v>550</v>
      </c>
      <c r="EG254" s="165"/>
      <c r="EH254" s="738" t="s">
        <v>3575</v>
      </c>
      <c r="EI254" s="166">
        <v>0</v>
      </c>
      <c r="EJ254" s="522">
        <f t="shared" si="203"/>
        <v>0</v>
      </c>
      <c r="EK254" s="523"/>
      <c r="EL254" s="524">
        <f t="shared" si="204"/>
        <v>0</v>
      </c>
    </row>
    <row r="255" spans="12:142">
      <c r="L255" s="764" t="s">
        <v>2960</v>
      </c>
      <c r="M255" s="151" t="s">
        <v>2957</v>
      </c>
      <c r="N255" s="159" t="s">
        <v>2101</v>
      </c>
      <c r="O255" s="819" t="s">
        <v>728</v>
      </c>
      <c r="P255" s="21"/>
      <c r="Q255" s="764" t="s">
        <v>2960</v>
      </c>
      <c r="R255" s="151" t="s">
        <v>160</v>
      </c>
      <c r="S255" s="159" t="s">
        <v>1025</v>
      </c>
      <c r="U255" s="565"/>
      <c r="V255" s="579"/>
      <c r="W255" s="554"/>
      <c r="AU255" s="143" t="s">
        <v>548</v>
      </c>
      <c r="AV255" s="157" t="s">
        <v>476</v>
      </c>
      <c r="AW255" s="138" t="str">
        <f t="shared" si="198"/>
        <v>КД Verto-FIT.H</v>
      </c>
      <c r="AY255" s="234" t="s">
        <v>1370</v>
      </c>
      <c r="AZ255" s="137" t="s">
        <v>1723</v>
      </c>
      <c r="BA255" s="138" t="str">
        <f t="shared" si="205"/>
        <v>ДП ЛАДА D.6/0.б/з фальц.</v>
      </c>
      <c r="BK255" s="143" t="s">
        <v>1280</v>
      </c>
      <c r="BL255" s="137" t="s">
        <v>1893</v>
      </c>
      <c r="BM255" s="138" t="str">
        <f t="shared" si="191"/>
        <v>Планка Verto-FIT Comfort 200мм.Uni-Mat</v>
      </c>
      <c r="BS255" s="58" t="s">
        <v>1166</v>
      </c>
      <c r="BT255" s="41" t="s">
        <v>4086</v>
      </c>
      <c r="BU255" s="70" t="str">
        <f t="shared" si="201"/>
        <v>ДП ТРЕНД.5/4.Масив</v>
      </c>
      <c r="BW255" s="108" t="s">
        <v>1371</v>
      </c>
      <c r="BX255" s="248" t="s">
        <v>832</v>
      </c>
      <c r="BY255" s="139" t="str">
        <f t="shared" si="202"/>
        <v>ДП ЛАДА D.6/1.Бронза</v>
      </c>
      <c r="CA255" s="742" t="s">
        <v>3255</v>
      </c>
      <c r="CB255" s="137"/>
      <c r="CC255" s="138"/>
      <c r="CE255" s="742" t="s">
        <v>3321</v>
      </c>
      <c r="CF255" s="137"/>
      <c r="CG255" s="138" t="str">
        <f t="shared" ref="CG255:CG265" si="206">CONCATENATE(CE255,".",CF255)</f>
        <v>ДП ПОЛЛО.фальц..робоча..</v>
      </c>
      <c r="DD255" s="250" t="s">
        <v>1488</v>
      </c>
      <c r="DE255" s="166">
        <v>7400</v>
      </c>
      <c r="DF255" s="528">
        <f t="shared" si="194"/>
        <v>7400</v>
      </c>
      <c r="DG255" s="523"/>
      <c r="DH255" s="530">
        <f t="shared" si="195"/>
        <v>7400</v>
      </c>
      <c r="DP255" s="256"/>
      <c r="DQ255" s="257"/>
      <c r="DR255" s="517"/>
      <c r="DS255" s="532"/>
      <c r="DT255" s="259"/>
      <c r="DU255" s="166"/>
      <c r="DV255" s="738" t="s">
        <v>4520</v>
      </c>
      <c r="DW255" s="166">
        <v>550</v>
      </c>
      <c r="DX255" s="522">
        <f t="shared" si="199"/>
        <v>550</v>
      </c>
      <c r="DY255" s="523"/>
      <c r="DZ255" s="524">
        <f t="shared" si="200"/>
        <v>550</v>
      </c>
      <c r="EG255" s="165"/>
      <c r="EH255" s="739" t="s">
        <v>3576</v>
      </c>
      <c r="EI255" s="164">
        <v>1450</v>
      </c>
      <c r="EJ255" s="531">
        <f t="shared" si="203"/>
        <v>1450</v>
      </c>
      <c r="EK255" s="526"/>
      <c r="EL255" s="527">
        <f t="shared" si="204"/>
        <v>1450</v>
      </c>
    </row>
    <row r="256" spans="12:142">
      <c r="L256" s="764" t="s">
        <v>2961</v>
      </c>
      <c r="M256" s="151" t="s">
        <v>2957</v>
      </c>
      <c r="N256" s="159" t="s">
        <v>2101</v>
      </c>
      <c r="O256" s="819" t="s">
        <v>728</v>
      </c>
      <c r="P256" s="21"/>
      <c r="Q256" s="764" t="s">
        <v>2961</v>
      </c>
      <c r="R256" s="151" t="s">
        <v>161</v>
      </c>
      <c r="S256" s="159" t="s">
        <v>1026</v>
      </c>
      <c r="AU256" s="144" t="s">
        <v>548</v>
      </c>
      <c r="AV256" s="158" t="s">
        <v>477</v>
      </c>
      <c r="AW256" s="139" t="str">
        <f t="shared" si="198"/>
        <v>КД Verto-FIT.I</v>
      </c>
      <c r="AY256" s="224" t="s">
        <v>1370</v>
      </c>
      <c r="AZ256" s="62" t="s">
        <v>1724</v>
      </c>
      <c r="BA256" s="139" t="str">
        <f t="shared" si="205"/>
        <v>ДП ЛАДА D.6/0.купе.</v>
      </c>
      <c r="BK256" s="143" t="s">
        <v>1280</v>
      </c>
      <c r="BL256" s="137" t="s">
        <v>557</v>
      </c>
      <c r="BM256" s="138" t="str">
        <f t="shared" si="191"/>
        <v>Планка Verto-FIT Comfort 200мм.Резист</v>
      </c>
      <c r="BS256" s="58" t="s">
        <v>1167</v>
      </c>
      <c r="BT256" s="41" t="s">
        <v>4086</v>
      </c>
      <c r="BU256" s="70" t="str">
        <f t="shared" si="201"/>
        <v>ДП ТРЕНД.5/5.Масив</v>
      </c>
      <c r="BW256" s="162" t="s">
        <v>1372</v>
      </c>
      <c r="BX256" s="246" t="s">
        <v>458</v>
      </c>
      <c r="BY256" s="135" t="str">
        <f t="shared" si="202"/>
        <v>ДП ЛАДА D.6/2.Сатин</v>
      </c>
      <c r="CA256" s="742" t="s">
        <v>3255</v>
      </c>
      <c r="CB256" s="137" t="s">
        <v>4335</v>
      </c>
      <c r="CC256" s="138" t="str">
        <f>CONCATENATE(CA256,".",CB256)</f>
        <v>ДП Ідея-ЛОФТ.фальц.неробоча.Пл Magnet +2завіс</v>
      </c>
      <c r="CE256" s="742" t="s">
        <v>3321</v>
      </c>
      <c r="CF256" s="137" t="s">
        <v>4261</v>
      </c>
      <c r="CG256" s="138" t="str">
        <f t="shared" si="206"/>
        <v>ДП ПОЛЛО.фальц..робоча..ВВ</v>
      </c>
      <c r="DD256" s="250" t="s">
        <v>1491</v>
      </c>
      <c r="DE256" s="166">
        <v>7730</v>
      </c>
      <c r="DF256" s="528">
        <f t="shared" si="194"/>
        <v>7730</v>
      </c>
      <c r="DG256" s="523"/>
      <c r="DH256" s="530">
        <f t="shared" si="195"/>
        <v>7730</v>
      </c>
      <c r="DP256" s="743" t="s">
        <v>4152</v>
      </c>
      <c r="DQ256" s="105">
        <v>0</v>
      </c>
      <c r="DR256" s="403">
        <f t="shared" ref="DR256:DR301" si="207">ROUND(((DQ256-(DQ256/6))/$DD$3)*$DE$3,2)</f>
        <v>0</v>
      </c>
      <c r="DS256" s="514"/>
      <c r="DT256" s="511">
        <f t="shared" ref="DT256:DT301" si="208">IF(DS256="",DR256,
IF(AND($DQ$10&gt;=VLOOKUP(DS256,$DP$5:$DT$9,2,0),$DQ$10&lt;=VLOOKUP(DS256,$DP$5:$DT$9,3,0)),
(DR256*(1-VLOOKUP(DS256,$DP$5:$DT$9,4,0))),
DR256))</f>
        <v>0</v>
      </c>
      <c r="DU256" s="166"/>
      <c r="DV256" s="738" t="s">
        <v>4521</v>
      </c>
      <c r="DW256" s="166">
        <v>800.00000000000011</v>
      </c>
      <c r="DX256" s="522">
        <f>ROUND(((DW256-(DW256/6))/$DD$3)*$DE$3,2)</f>
        <v>800</v>
      </c>
      <c r="DY256" s="523"/>
      <c r="DZ256" s="524">
        <f>IF(DY256="",DX256,
IF(AND($DW$10&gt;=VLOOKUP(DY256,$DV$5:$DZ$9,2,0),$DW$10&lt;=VLOOKUP(DY256,$DV$5:$DZ$9,3,0)),
(DX256*(1-VLOOKUP(DY256,$DV$5:$DZ$9,4,0))),
DX256))</f>
        <v>800</v>
      </c>
      <c r="EG256" s="165"/>
      <c r="EH256" s="738" t="s">
        <v>3577</v>
      </c>
      <c r="EI256" s="166">
        <v>0</v>
      </c>
      <c r="EJ256" s="522">
        <f>ROUND(((EI256-(EI256/6))/$DD$3)*$DE$3,2)</f>
        <v>0</v>
      </c>
      <c r="EK256" s="523"/>
      <c r="EL256" s="524">
        <f>IF(EK256="",EJ256,
IF(AND($EI$10&gt;=VLOOKUP(EK256,$EH$5:$EL$9,2,0),$EI$10&lt;=VLOOKUP(EK256,$EH$5:$EL$9,3,0)),
(EJ256*(1-VLOOKUP(EK256,$EH$5:$EL$9,4,0))),
EJ256))</f>
        <v>0</v>
      </c>
    </row>
    <row r="257" spans="12:142">
      <c r="L257" s="764" t="s">
        <v>2962</v>
      </c>
      <c r="M257" s="151" t="s">
        <v>2957</v>
      </c>
      <c r="N257" s="159" t="s">
        <v>2101</v>
      </c>
      <c r="O257" s="819" t="s">
        <v>728</v>
      </c>
      <c r="P257" s="21"/>
      <c r="Q257" s="764" t="s">
        <v>2962</v>
      </c>
      <c r="R257" s="151" t="s">
        <v>162</v>
      </c>
      <c r="S257" s="159" t="s">
        <v>1027</v>
      </c>
      <c r="AU257" s="142" t="s">
        <v>352</v>
      </c>
      <c r="AV257" s="156" t="s">
        <v>469</v>
      </c>
      <c r="AW257" s="135" t="str">
        <f t="shared" ref="AW257:AW266" si="209">CONCATENATE(AU257,".",AV257)</f>
        <v>КД Verto-FIT Plus.A</v>
      </c>
      <c r="AY257" s="234" t="s">
        <v>1371</v>
      </c>
      <c r="AZ257" s="137" t="s">
        <v>1722</v>
      </c>
      <c r="BA257" s="138" t="str">
        <f t="shared" si="205"/>
        <v>ДП ЛАДА D.6/1.фальц.</v>
      </c>
      <c r="BK257" s="143" t="s">
        <v>1280</v>
      </c>
      <c r="BL257" s="137" t="s">
        <v>62</v>
      </c>
      <c r="BM257" s="138" t="str">
        <f t="shared" si="191"/>
        <v>Планка Verto-FIT Comfort 200мм.LINE-3D</v>
      </c>
      <c r="BS257" s="58" t="s">
        <v>1168</v>
      </c>
      <c r="BT257" s="41" t="s">
        <v>4086</v>
      </c>
      <c r="BU257" s="70" t="str">
        <f t="shared" si="201"/>
        <v>ДП ТРЕНД.5А/1.Масив</v>
      </c>
      <c r="BW257" s="165" t="s">
        <v>1372</v>
      </c>
      <c r="BX257" s="770" t="s">
        <v>3851</v>
      </c>
      <c r="BY257" s="138" t="str">
        <f t="shared" si="202"/>
        <v>ДП ЛАДА D.6/2.Графіт</v>
      </c>
      <c r="CA257" s="742" t="s">
        <v>3255</v>
      </c>
      <c r="CB257" s="62" t="s">
        <v>4336</v>
      </c>
      <c r="CC257" s="139" t="str">
        <f>CONCATENATE(CA257,".",CB257)</f>
        <v>ДП Ідея-ЛОФТ.фальц.неробоча.Пл Magnet +3завіс</v>
      </c>
      <c r="CE257" s="424" t="s">
        <v>3321</v>
      </c>
      <c r="CF257" s="62" t="s">
        <v>739</v>
      </c>
      <c r="CG257" s="139" t="str">
        <f t="shared" si="206"/>
        <v>ДП ПОЛЛО.фальц..робоча..ВП</v>
      </c>
      <c r="DD257" s="250" t="s">
        <v>1492</v>
      </c>
      <c r="DE257" s="166">
        <v>7730</v>
      </c>
      <c r="DF257" s="528">
        <f t="shared" si="194"/>
        <v>7730</v>
      </c>
      <c r="DG257" s="523"/>
      <c r="DH257" s="530">
        <f t="shared" si="195"/>
        <v>7730</v>
      </c>
      <c r="DP257" s="162" t="s">
        <v>1609</v>
      </c>
      <c r="DQ257" s="163">
        <v>0</v>
      </c>
      <c r="DR257" s="528">
        <f t="shared" si="207"/>
        <v>0</v>
      </c>
      <c r="DS257" s="529"/>
      <c r="DT257" s="530">
        <f t="shared" si="208"/>
        <v>0</v>
      </c>
      <c r="DU257" s="166"/>
      <c r="DV257" s="739" t="s">
        <v>4522</v>
      </c>
      <c r="DW257" s="164">
        <v>800.00000000000011</v>
      </c>
      <c r="DX257" s="525">
        <f>ROUND(((DW257-(DW257/6))/$DD$3)*$DE$3,2)</f>
        <v>800</v>
      </c>
      <c r="DY257" s="526"/>
      <c r="DZ257" s="527">
        <f>IF(DY257="",DX257,
IF(AND($DW$10&gt;=VLOOKUP(DY257,$DV$5:$DZ$9,2,0),$DW$10&lt;=VLOOKUP(DY257,$DV$5:$DZ$9,3,0)),
(DX257*(1-VLOOKUP(DY257,$DV$5:$DZ$9,4,0))),
DX257))</f>
        <v>800</v>
      </c>
      <c r="EG257" s="165"/>
      <c r="EH257" s="739" t="s">
        <v>3578</v>
      </c>
      <c r="EI257" s="164">
        <v>1450</v>
      </c>
      <c r="EJ257" s="531">
        <f>ROUND(((EI257-(EI257/6))/$DD$3)*$DE$3,2)</f>
        <v>1450</v>
      </c>
      <c r="EK257" s="526"/>
      <c r="EL257" s="527">
        <f>IF(EK257="",EJ257,
IF(AND($EI$10&gt;=VLOOKUP(EK257,$EH$5:$EL$9,2,0),$EI$10&lt;=VLOOKUP(EK257,$EH$5:$EL$9,3,0)),
(EJ257*(1-VLOOKUP(EK257,$EH$5:$EL$9,4,0))),
EJ257))</f>
        <v>1450</v>
      </c>
    </row>
    <row r="258" spans="12:142">
      <c r="L258" s="764" t="s">
        <v>2963</v>
      </c>
      <c r="M258" s="151" t="s">
        <v>2957</v>
      </c>
      <c r="N258" s="159" t="s">
        <v>2101</v>
      </c>
      <c r="O258" s="819" t="s">
        <v>728</v>
      </c>
      <c r="P258" s="21"/>
      <c r="Q258" s="764" t="s">
        <v>2963</v>
      </c>
      <c r="R258" s="151" t="s">
        <v>163</v>
      </c>
      <c r="S258" s="159" t="s">
        <v>1028</v>
      </c>
      <c r="AU258" s="143" t="s">
        <v>352</v>
      </c>
      <c r="AV258" s="157" t="s">
        <v>470</v>
      </c>
      <c r="AW258" s="138" t="str">
        <f t="shared" si="209"/>
        <v>КД Verto-FIT Plus.B</v>
      </c>
      <c r="AY258" s="234" t="s">
        <v>1371</v>
      </c>
      <c r="AZ258" s="137" t="s">
        <v>1723</v>
      </c>
      <c r="BA258" s="138" t="str">
        <f t="shared" si="205"/>
        <v>ДП ЛАДА D.6/1.б/з фальц.</v>
      </c>
      <c r="BK258" s="143" t="s">
        <v>1280</v>
      </c>
      <c r="BL258" s="137" t="s">
        <v>5071</v>
      </c>
      <c r="BM258" s="138" t="str">
        <f t="shared" si="191"/>
        <v>Планка Verto-FIT Comfort 200мм.Е-шпон</v>
      </c>
      <c r="BS258" s="58" t="s">
        <v>1169</v>
      </c>
      <c r="BT258" s="41" t="s">
        <v>4086</v>
      </c>
      <c r="BU258" s="70" t="str">
        <f t="shared" si="201"/>
        <v>ДП ТРЕНД.5А/2.Масив</v>
      </c>
      <c r="BW258" s="108" t="s">
        <v>1372</v>
      </c>
      <c r="BX258" s="248" t="s">
        <v>832</v>
      </c>
      <c r="BY258" s="139" t="str">
        <f t="shared" si="202"/>
        <v>ДП ЛАДА D.6/2.Бронза</v>
      </c>
      <c r="CA258" s="145" t="s">
        <v>3256</v>
      </c>
      <c r="CB258" s="137" t="s">
        <v>4106</v>
      </c>
      <c r="CC258" s="238" t="str">
        <f>CONCATENATE(CA258,".",CB258)</f>
        <v>ДП Ідея-ЛОФТ.б/з фальц.робоча.(ні)</v>
      </c>
      <c r="CE258" s="742" t="s">
        <v>3322</v>
      </c>
      <c r="CF258" s="137"/>
      <c r="CG258" s="138" t="str">
        <f t="shared" si="206"/>
        <v>ДП ПОЛЛО.фальц..неробоча..</v>
      </c>
      <c r="DD258" s="250" t="s">
        <v>1493</v>
      </c>
      <c r="DE258" s="166">
        <v>7730</v>
      </c>
      <c r="DF258" s="528">
        <f t="shared" si="194"/>
        <v>7730</v>
      </c>
      <c r="DG258" s="523"/>
      <c r="DH258" s="530">
        <f t="shared" si="195"/>
        <v>7730</v>
      </c>
      <c r="DP258" s="738" t="s">
        <v>3906</v>
      </c>
      <c r="DQ258" s="166">
        <v>550</v>
      </c>
      <c r="DR258" s="522">
        <f t="shared" si="207"/>
        <v>550</v>
      </c>
      <c r="DS258" s="523"/>
      <c r="DT258" s="524">
        <f t="shared" si="208"/>
        <v>550</v>
      </c>
      <c r="DU258" s="166"/>
      <c r="DV258" s="738" t="s">
        <v>6255</v>
      </c>
      <c r="DW258" s="166">
        <v>1</v>
      </c>
      <c r="DX258" s="522">
        <f t="shared" si="199"/>
        <v>1</v>
      </c>
      <c r="DY258" s="523"/>
      <c r="DZ258" s="524">
        <f t="shared" si="200"/>
        <v>1</v>
      </c>
      <c r="EG258" s="165"/>
      <c r="EH258" s="738" t="s">
        <v>3579</v>
      </c>
      <c r="EI258" s="166">
        <v>0</v>
      </c>
      <c r="EJ258" s="522">
        <f>ROUND(((EI258-(EI258/6))/$DD$3)*$DE$3,2)</f>
        <v>0</v>
      </c>
      <c r="EK258" s="523"/>
      <c r="EL258" s="524">
        <f>IF(EK258="",EJ258,
IF(AND($EI$10&gt;=VLOOKUP(EK258,$EH$5:$EL$9,2,0),$EI$10&lt;=VLOOKUP(EK258,$EH$5:$EL$9,3,0)),
(EJ258*(1-VLOOKUP(EK258,$EH$5:$EL$9,4,0))),
EJ258))</f>
        <v>0</v>
      </c>
    </row>
    <row r="259" spans="12:142">
      <c r="L259" s="764" t="s">
        <v>2964</v>
      </c>
      <c r="M259" s="151" t="s">
        <v>2957</v>
      </c>
      <c r="N259" s="159" t="s">
        <v>2101</v>
      </c>
      <c r="O259" s="819" t="s">
        <v>728</v>
      </c>
      <c r="P259" s="21"/>
      <c r="Q259" s="764" t="s">
        <v>2964</v>
      </c>
      <c r="R259" s="151" t="s">
        <v>164</v>
      </c>
      <c r="S259" s="159" t="s">
        <v>1029</v>
      </c>
      <c r="AU259" s="143" t="s">
        <v>352</v>
      </c>
      <c r="AV259" s="542" t="s">
        <v>1184</v>
      </c>
      <c r="AW259" s="138" t="str">
        <f>CONCATENATE(AU259,".",AV259)</f>
        <v>КД Verto-FIT Plus.B+</v>
      </c>
      <c r="AY259" s="224" t="s">
        <v>1371</v>
      </c>
      <c r="AZ259" s="62" t="s">
        <v>1724</v>
      </c>
      <c r="BA259" s="139" t="str">
        <f t="shared" si="205"/>
        <v>ДП ЛАДА D.6/1.купе.</v>
      </c>
      <c r="BK259" s="144" t="s">
        <v>1280</v>
      </c>
      <c r="BL259" s="62" t="s">
        <v>1836</v>
      </c>
      <c r="BM259" s="139" t="str">
        <f t="shared" si="191"/>
        <v>Планка Verto-FIT Comfort 200мм.Лофт</v>
      </c>
      <c r="BS259" s="58" t="s">
        <v>1170</v>
      </c>
      <c r="BT259" s="41" t="s">
        <v>4086</v>
      </c>
      <c r="BU259" s="70" t="str">
        <f t="shared" si="201"/>
        <v>ДП ТРЕНД.5А/3.Масив</v>
      </c>
      <c r="BW259" s="162" t="s">
        <v>1373</v>
      </c>
      <c r="BX259" s="246" t="s">
        <v>458</v>
      </c>
      <c r="BY259" s="135" t="str">
        <f t="shared" si="202"/>
        <v>ДП ЛАДА D.6/3.Сатин</v>
      </c>
      <c r="CA259" s="146" t="s">
        <v>3256</v>
      </c>
      <c r="CB259" s="97"/>
      <c r="CC259" s="97"/>
      <c r="CE259" s="742" t="s">
        <v>3322</v>
      </c>
      <c r="CF259" s="137" t="s">
        <v>4261</v>
      </c>
      <c r="CG259" s="138" t="str">
        <f t="shared" si="206"/>
        <v>ДП ПОЛЛО.фальц..неробоча..ВВ</v>
      </c>
      <c r="DD259" s="250" t="s">
        <v>1494</v>
      </c>
      <c r="DE259" s="166">
        <v>7730</v>
      </c>
      <c r="DF259" s="528">
        <f t="shared" si="194"/>
        <v>7730</v>
      </c>
      <c r="DG259" s="523"/>
      <c r="DH259" s="530">
        <f t="shared" si="195"/>
        <v>7730</v>
      </c>
      <c r="DP259" s="108" t="s">
        <v>1662</v>
      </c>
      <c r="DQ259" s="164">
        <v>550</v>
      </c>
      <c r="DR259" s="531">
        <f t="shared" si="207"/>
        <v>550</v>
      </c>
      <c r="DS259" s="526"/>
      <c r="DT259" s="527">
        <f t="shared" si="208"/>
        <v>550</v>
      </c>
      <c r="DU259" s="166"/>
      <c r="DV259" s="739" t="s">
        <v>6256</v>
      </c>
      <c r="DW259" s="164">
        <v>1</v>
      </c>
      <c r="DX259" s="525">
        <f t="shared" si="199"/>
        <v>1</v>
      </c>
      <c r="DY259" s="526"/>
      <c r="DZ259" s="527">
        <f t="shared" si="200"/>
        <v>1</v>
      </c>
      <c r="EG259" s="165"/>
      <c r="EH259" s="739" t="s">
        <v>3580</v>
      </c>
      <c r="EI259" s="164">
        <v>1660</v>
      </c>
      <c r="EJ259" s="531">
        <f>ROUND(((EI259-(EI259/6))/$DD$3)*$DE$3,2)</f>
        <v>1660</v>
      </c>
      <c r="EK259" s="526"/>
      <c r="EL259" s="527">
        <f>IF(EK259="",EJ259,
IF(AND($EI$10&gt;=VLOOKUP(EK259,$EH$5:$EL$9,2,0),$EI$10&lt;=VLOOKUP(EK259,$EH$5:$EL$9,3,0)),
(EJ259*(1-VLOOKUP(EK259,$EH$5:$EL$9,4,0))),
EJ259))</f>
        <v>1660</v>
      </c>
    </row>
    <row r="260" spans="12:142">
      <c r="L260" s="765" t="s">
        <v>2965</v>
      </c>
      <c r="M260" s="152" t="s">
        <v>2957</v>
      </c>
      <c r="N260" s="160" t="s">
        <v>2101</v>
      </c>
      <c r="O260" s="422" t="s">
        <v>728</v>
      </c>
      <c r="P260" s="21"/>
      <c r="Q260" s="765" t="s">
        <v>2965</v>
      </c>
      <c r="R260" s="152" t="s">
        <v>661</v>
      </c>
      <c r="S260" s="160" t="s">
        <v>662</v>
      </c>
      <c r="AU260" s="143" t="s">
        <v>352</v>
      </c>
      <c r="AV260" s="157" t="s">
        <v>471</v>
      </c>
      <c r="AW260" s="138" t="str">
        <f t="shared" si="209"/>
        <v>КД Verto-FIT Plus.C</v>
      </c>
      <c r="AY260" s="234" t="s">
        <v>1372</v>
      </c>
      <c r="AZ260" s="137" t="s">
        <v>1722</v>
      </c>
      <c r="BA260" s="138" t="str">
        <f t="shared" si="205"/>
        <v>ДП ЛАДА D.6/2.фальц.</v>
      </c>
      <c r="BK260" s="426"/>
      <c r="BL260" s="427"/>
      <c r="BM260" s="428"/>
      <c r="BS260" s="58" t="s">
        <v>1171</v>
      </c>
      <c r="BT260" s="41" t="s">
        <v>4086</v>
      </c>
      <c r="BU260" s="70" t="str">
        <f t="shared" si="201"/>
        <v>ДП ТРЕНД.5Б/3.Масив</v>
      </c>
      <c r="BW260" s="165" t="s">
        <v>1373</v>
      </c>
      <c r="BX260" s="770" t="s">
        <v>3851</v>
      </c>
      <c r="BY260" s="138" t="str">
        <f t="shared" si="202"/>
        <v>ДП ЛАДА D.6/3.Графіт</v>
      </c>
      <c r="CA260" s="146" t="s">
        <v>3256</v>
      </c>
      <c r="CB260" s="478" t="s">
        <v>4337</v>
      </c>
      <c r="CC260" s="239" t="str">
        <f>CONCATENATE(CA260,".",CB260)</f>
        <v>ДП Ідея-ЛОФТ.б/з фальц.робоча.Magnet цл б/з завіс.</v>
      </c>
      <c r="CE260" s="424" t="s">
        <v>3322</v>
      </c>
      <c r="CF260" s="62" t="s">
        <v>739</v>
      </c>
      <c r="CG260" s="139" t="str">
        <f t="shared" si="206"/>
        <v>ДП ПОЛЛО.фальц..неробоча..ВП</v>
      </c>
      <c r="DD260" s="250" t="s">
        <v>1495</v>
      </c>
      <c r="DE260" s="166">
        <v>7730</v>
      </c>
      <c r="DF260" s="528">
        <f t="shared" si="194"/>
        <v>7730</v>
      </c>
      <c r="DG260" s="523"/>
      <c r="DH260" s="530">
        <f t="shared" si="195"/>
        <v>7730</v>
      </c>
      <c r="DP260" s="165" t="s">
        <v>1610</v>
      </c>
      <c r="DQ260" s="166">
        <v>0</v>
      </c>
      <c r="DR260" s="522">
        <f t="shared" si="207"/>
        <v>0</v>
      </c>
      <c r="DS260" s="523"/>
      <c r="DT260" s="524">
        <f t="shared" si="208"/>
        <v>0</v>
      </c>
      <c r="DU260" s="166"/>
      <c r="DV260" s="737" t="s">
        <v>5802</v>
      </c>
      <c r="DW260" s="163">
        <v>80</v>
      </c>
      <c r="DX260" s="528">
        <f t="shared" si="199"/>
        <v>80</v>
      </c>
      <c r="DY260" s="529"/>
      <c r="DZ260" s="530">
        <f t="shared" si="200"/>
        <v>80</v>
      </c>
      <c r="EG260" s="165"/>
      <c r="EH260" s="738" t="s">
        <v>3581</v>
      </c>
      <c r="EI260" s="166">
        <v>0</v>
      </c>
      <c r="EJ260" s="522">
        <f t="shared" si="203"/>
        <v>0</v>
      </c>
      <c r="EK260" s="523"/>
      <c r="EL260" s="524">
        <f t="shared" si="204"/>
        <v>0</v>
      </c>
    </row>
    <row r="261" spans="12:142">
      <c r="L261" s="153" t="s">
        <v>603</v>
      </c>
      <c r="M261" s="817" t="s">
        <v>405</v>
      </c>
      <c r="N261" s="100" t="s">
        <v>2090</v>
      </c>
      <c r="O261" s="818" t="s">
        <v>728</v>
      </c>
      <c r="P261" s="21"/>
      <c r="Q261" s="153" t="s">
        <v>603</v>
      </c>
      <c r="R261" s="101" t="s">
        <v>159</v>
      </c>
      <c r="S261" s="100" t="s">
        <v>1024</v>
      </c>
      <c r="AU261" s="143" t="s">
        <v>352</v>
      </c>
      <c r="AV261" s="157" t="s">
        <v>472</v>
      </c>
      <c r="AW261" s="138" t="str">
        <f t="shared" si="209"/>
        <v>КД Verto-FIT Plus.D</v>
      </c>
      <c r="AY261" s="234" t="s">
        <v>1372</v>
      </c>
      <c r="AZ261" s="137" t="s">
        <v>1723</v>
      </c>
      <c r="BA261" s="138" t="str">
        <f t="shared" si="205"/>
        <v>ДП ЛАДА D.6/2.б/з фальц.</v>
      </c>
      <c r="BK261" s="751" t="s">
        <v>5934</v>
      </c>
      <c r="BL261" s="134" t="s">
        <v>4904</v>
      </c>
      <c r="BM261" s="135" t="str">
        <f t="shared" ref="BM261:BM292" si="210">CONCATENATE(BK261,".",BL261)</f>
        <v>Лиштва пряма 60мм.Сімплекс</v>
      </c>
      <c r="BS261" s="426"/>
      <c r="BT261" s="427"/>
      <c r="BU261" s="428"/>
      <c r="BW261" s="108" t="s">
        <v>1373</v>
      </c>
      <c r="BX261" s="248" t="s">
        <v>832</v>
      </c>
      <c r="BY261" s="139" t="str">
        <f t="shared" si="202"/>
        <v>ДП ЛАДА D.6/3.Бронза</v>
      </c>
      <c r="CA261" s="146" t="s">
        <v>3256</v>
      </c>
      <c r="CB261" s="478" t="s">
        <v>4339</v>
      </c>
      <c r="CC261" s="239" t="str">
        <f>CONCATENATE(CA261,".",CB261)</f>
        <v>ДП Ідея-ЛОФТ.б/з фальц.робоча.Magnet ст б/з завіс.</v>
      </c>
      <c r="CE261" s="146" t="s">
        <v>3323</v>
      </c>
      <c r="CF261" s="137"/>
      <c r="CG261" s="138" t="str">
        <f t="shared" si="206"/>
        <v>ДП ПОЛЛО.б/з фальц..робоча..</v>
      </c>
      <c r="DD261" s="249" t="s">
        <v>1496</v>
      </c>
      <c r="DE261" s="164">
        <v>7730</v>
      </c>
      <c r="DF261" s="528">
        <f t="shared" si="194"/>
        <v>7730</v>
      </c>
      <c r="DG261" s="526"/>
      <c r="DH261" s="530">
        <f t="shared" si="195"/>
        <v>7730</v>
      </c>
      <c r="DP261" s="738" t="s">
        <v>3907</v>
      </c>
      <c r="DQ261" s="166">
        <v>550</v>
      </c>
      <c r="DR261" s="522">
        <f t="shared" si="207"/>
        <v>550</v>
      </c>
      <c r="DS261" s="523"/>
      <c r="DT261" s="524">
        <f t="shared" si="208"/>
        <v>550</v>
      </c>
      <c r="DU261" s="166"/>
      <c r="DV261" s="737" t="s">
        <v>5803</v>
      </c>
      <c r="DW261" s="163">
        <v>80</v>
      </c>
      <c r="DX261" s="528">
        <f>ROUND(((DW261-(DW261/6))/$DD$3)*$DE$3,2)</f>
        <v>80</v>
      </c>
      <c r="DY261" s="529"/>
      <c r="DZ261" s="530">
        <f>IF(DY261="",DX261,
IF(AND($DW$10&gt;=VLOOKUP(DY261,$DV$5:$DZ$9,2,0),$DW$10&lt;=VLOOKUP(DY261,$DV$5:$DZ$9,3,0)),
(DX261*(1-VLOOKUP(DY261,$DV$5:$DZ$9,4,0))),
DX261))</f>
        <v>80</v>
      </c>
      <c r="EG261" s="165"/>
      <c r="EH261" s="739" t="s">
        <v>3582</v>
      </c>
      <c r="EI261" s="164">
        <v>1750</v>
      </c>
      <c r="EJ261" s="531">
        <f t="shared" si="203"/>
        <v>1750</v>
      </c>
      <c r="EK261" s="526"/>
      <c r="EL261" s="527">
        <f t="shared" si="204"/>
        <v>1750</v>
      </c>
    </row>
    <row r="262" spans="12:142">
      <c r="L262" s="154" t="s">
        <v>604</v>
      </c>
      <c r="M262" s="21" t="s">
        <v>405</v>
      </c>
      <c r="N262" s="159" t="s">
        <v>2090</v>
      </c>
      <c r="O262" s="819" t="s">
        <v>728</v>
      </c>
      <c r="P262" s="21"/>
      <c r="Q262" s="154" t="s">
        <v>604</v>
      </c>
      <c r="R262" s="151" t="s">
        <v>160</v>
      </c>
      <c r="S262" s="159" t="s">
        <v>1025</v>
      </c>
      <c r="AU262" s="143" t="s">
        <v>352</v>
      </c>
      <c r="AV262" s="157" t="s">
        <v>473</v>
      </c>
      <c r="AW262" s="138" t="str">
        <f t="shared" si="209"/>
        <v>КД Verto-FIT Plus.E</v>
      </c>
      <c r="AY262" s="224" t="s">
        <v>1372</v>
      </c>
      <c r="AZ262" s="62" t="s">
        <v>1724</v>
      </c>
      <c r="BA262" s="139" t="str">
        <f t="shared" si="205"/>
        <v>ДП ЛАДА D.6/2.купе.</v>
      </c>
      <c r="BK262" s="752" t="s">
        <v>5934</v>
      </c>
      <c r="BL262" s="137" t="s">
        <v>409</v>
      </c>
      <c r="BM262" s="138" t="str">
        <f t="shared" si="210"/>
        <v>Лиштва пряма 60мм.Verto-Cell</v>
      </c>
      <c r="BS262" s="58" t="s">
        <v>1178</v>
      </c>
      <c r="BT262" s="41" t="s">
        <v>4086</v>
      </c>
      <c r="BU262" s="70" t="str">
        <f t="shared" si="201"/>
        <v>ДП МОДЕРН.1/0.Масив</v>
      </c>
      <c r="BW262" s="162" t="s">
        <v>1374</v>
      </c>
      <c r="BX262" s="246" t="s">
        <v>458</v>
      </c>
      <c r="BY262" s="135" t="str">
        <f t="shared" si="202"/>
        <v>ДП ЛАДА D.6/4.Сатин</v>
      </c>
      <c r="CA262" s="146" t="s">
        <v>3256</v>
      </c>
      <c r="CB262" s="97"/>
      <c r="CC262" s="97"/>
      <c r="CE262" s="146" t="s">
        <v>3323</v>
      </c>
      <c r="CF262" s="137" t="s">
        <v>4261</v>
      </c>
      <c r="CG262" s="138" t="str">
        <f t="shared" si="206"/>
        <v>ДП ПОЛЛО.б/з фальц..робоча..ВВ</v>
      </c>
      <c r="DD262" s="250" t="s">
        <v>1530</v>
      </c>
      <c r="DE262" s="166">
        <v>8050</v>
      </c>
      <c r="DF262" s="528">
        <f t="shared" si="194"/>
        <v>8050</v>
      </c>
      <c r="DG262" s="523"/>
      <c r="DH262" s="530">
        <f t="shared" si="195"/>
        <v>8050</v>
      </c>
      <c r="DP262" s="108" t="s">
        <v>1661</v>
      </c>
      <c r="DQ262" s="164">
        <v>550</v>
      </c>
      <c r="DR262" s="531">
        <f t="shared" si="207"/>
        <v>550</v>
      </c>
      <c r="DS262" s="526"/>
      <c r="DT262" s="527">
        <f t="shared" si="208"/>
        <v>550</v>
      </c>
      <c r="DU262" s="166"/>
      <c r="DV262" s="738" t="s">
        <v>5804</v>
      </c>
      <c r="DW262" s="166">
        <v>80</v>
      </c>
      <c r="DX262" s="522">
        <f t="shared" si="199"/>
        <v>80</v>
      </c>
      <c r="DY262" s="523"/>
      <c r="DZ262" s="524">
        <f t="shared" si="200"/>
        <v>80</v>
      </c>
      <c r="EG262" s="165"/>
      <c r="EH262" s="738" t="s">
        <v>3583</v>
      </c>
      <c r="EI262" s="166">
        <v>0</v>
      </c>
      <c r="EJ262" s="522">
        <f t="shared" si="203"/>
        <v>0</v>
      </c>
      <c r="EK262" s="523"/>
      <c r="EL262" s="524">
        <f t="shared" si="204"/>
        <v>0</v>
      </c>
    </row>
    <row r="263" spans="12:142">
      <c r="L263" s="154" t="s">
        <v>605</v>
      </c>
      <c r="M263" s="21" t="s">
        <v>405</v>
      </c>
      <c r="N263" s="159" t="s">
        <v>2090</v>
      </c>
      <c r="O263" s="819" t="s">
        <v>728</v>
      </c>
      <c r="P263" s="21"/>
      <c r="Q263" s="154" t="s">
        <v>605</v>
      </c>
      <c r="R263" s="151" t="s">
        <v>161</v>
      </c>
      <c r="S263" s="159" t="s">
        <v>1026</v>
      </c>
      <c r="AU263" s="143" t="s">
        <v>352</v>
      </c>
      <c r="AV263" s="157" t="s">
        <v>474</v>
      </c>
      <c r="AW263" s="138" t="str">
        <f t="shared" si="209"/>
        <v>КД Verto-FIT Plus.F</v>
      </c>
      <c r="AY263" s="234" t="s">
        <v>1373</v>
      </c>
      <c r="AZ263" s="137" t="s">
        <v>1722</v>
      </c>
      <c r="BA263" s="138" t="str">
        <f t="shared" si="205"/>
        <v>ДП ЛАДА D.6/3.фальц.</v>
      </c>
      <c r="BK263" s="752" t="s">
        <v>5934</v>
      </c>
      <c r="BL263" s="137"/>
      <c r="BM263" s="138" t="str">
        <f t="shared" si="210"/>
        <v>Лиштва пряма 60мм.</v>
      </c>
      <c r="BS263" s="58" t="s">
        <v>1179</v>
      </c>
      <c r="BT263" s="41" t="s">
        <v>4086</v>
      </c>
      <c r="BU263" s="70" t="str">
        <f t="shared" si="201"/>
        <v>ДП МОДЕРН.1/1.Масив</v>
      </c>
      <c r="BW263" s="165" t="s">
        <v>1374</v>
      </c>
      <c r="BX263" s="770" t="s">
        <v>3851</v>
      </c>
      <c r="BY263" s="138" t="str">
        <f t="shared" si="202"/>
        <v>ДП ЛАДА D.6/4.Графіт</v>
      </c>
      <c r="CA263" s="146" t="s">
        <v>3256</v>
      </c>
      <c r="CB263" s="478" t="s">
        <v>4343</v>
      </c>
      <c r="CC263" s="239" t="str">
        <f>CONCATENATE(CA263,".",CB263)</f>
        <v>ДП Ідея-ЛОФТ.б/з фальц.робоча.Magnet цл +2завіс 3D</v>
      </c>
      <c r="CE263" s="147" t="s">
        <v>3323</v>
      </c>
      <c r="CF263" s="62" t="s">
        <v>739</v>
      </c>
      <c r="CG263" s="139" t="str">
        <f t="shared" si="206"/>
        <v>ДП ПОЛЛО.б/з фальц..робоча..ВП</v>
      </c>
      <c r="DD263" s="250" t="s">
        <v>1531</v>
      </c>
      <c r="DE263" s="166">
        <v>8050</v>
      </c>
      <c r="DF263" s="528">
        <f t="shared" si="194"/>
        <v>8050</v>
      </c>
      <c r="DG263" s="523"/>
      <c r="DH263" s="530">
        <f t="shared" si="195"/>
        <v>8050</v>
      </c>
      <c r="DP263" s="165" t="s">
        <v>1611</v>
      </c>
      <c r="DQ263" s="166">
        <v>0</v>
      </c>
      <c r="DR263" s="522">
        <f t="shared" si="207"/>
        <v>0</v>
      </c>
      <c r="DS263" s="523"/>
      <c r="DT263" s="524">
        <f t="shared" si="208"/>
        <v>0</v>
      </c>
      <c r="DU263" s="166"/>
      <c r="DV263" s="738" t="s">
        <v>5805</v>
      </c>
      <c r="DW263" s="163">
        <v>80</v>
      </c>
      <c r="DX263" s="528">
        <f>ROUND(((DW263-(DW263/6))/$DD$3)*$DE$3,2)</f>
        <v>80</v>
      </c>
      <c r="DY263" s="529"/>
      <c r="DZ263" s="530">
        <f>IF(DY263="",DX263,
IF(AND($DW$10&gt;=VLOOKUP(DY263,$DV$5:$DZ$9,2,0),$DW$10&lt;=VLOOKUP(DY263,$DV$5:$DZ$9,3,0)),
(DX263*(1-VLOOKUP(DY263,$DV$5:$DZ$9,4,0))),
DX263))</f>
        <v>80</v>
      </c>
      <c r="EG263" s="165"/>
      <c r="EH263" s="739" t="s">
        <v>3584</v>
      </c>
      <c r="EI263" s="164">
        <v>1860</v>
      </c>
      <c r="EJ263" s="531">
        <f t="shared" si="203"/>
        <v>1860</v>
      </c>
      <c r="EK263" s="526"/>
      <c r="EL263" s="527">
        <f t="shared" si="204"/>
        <v>1860</v>
      </c>
    </row>
    <row r="264" spans="12:142">
      <c r="L264" s="154" t="s">
        <v>606</v>
      </c>
      <c r="M264" s="21" t="s">
        <v>405</v>
      </c>
      <c r="N264" s="159" t="s">
        <v>2090</v>
      </c>
      <c r="O264" s="819" t="s">
        <v>728</v>
      </c>
      <c r="P264" s="21"/>
      <c r="Q264" s="154" t="s">
        <v>606</v>
      </c>
      <c r="R264" s="151" t="s">
        <v>162</v>
      </c>
      <c r="S264" s="159" t="s">
        <v>1027</v>
      </c>
      <c r="AU264" s="143" t="s">
        <v>352</v>
      </c>
      <c r="AV264" s="157" t="s">
        <v>475</v>
      </c>
      <c r="AW264" s="138" t="str">
        <f t="shared" si="209"/>
        <v>КД Verto-FIT Plus.G</v>
      </c>
      <c r="AY264" s="234" t="s">
        <v>1373</v>
      </c>
      <c r="AZ264" s="137" t="s">
        <v>1723</v>
      </c>
      <c r="BA264" s="138" t="str">
        <f t="shared" si="205"/>
        <v>ДП ЛАДА D.6/3.б/з фальц.</v>
      </c>
      <c r="BK264" s="752" t="s">
        <v>5934</v>
      </c>
      <c r="BL264" s="137" t="s">
        <v>1893</v>
      </c>
      <c r="BM264" s="138" t="str">
        <f t="shared" si="210"/>
        <v>Лиштва пряма 60мм.Uni-Mat</v>
      </c>
      <c r="BS264" s="58" t="s">
        <v>1172</v>
      </c>
      <c r="BT264" s="41" t="s">
        <v>4086</v>
      </c>
      <c r="BU264" s="70" t="str">
        <f t="shared" si="201"/>
        <v>ДП МОДЕРН.3/0.Масив</v>
      </c>
      <c r="BW264" s="108" t="s">
        <v>1374</v>
      </c>
      <c r="BX264" s="248" t="s">
        <v>832</v>
      </c>
      <c r="BY264" s="139" t="str">
        <f t="shared" si="202"/>
        <v>ДП ЛАДА D.6/4.Бронза</v>
      </c>
      <c r="CA264" s="146" t="s">
        <v>3256</v>
      </c>
      <c r="CB264" s="478" t="s">
        <v>4347</v>
      </c>
      <c r="CC264" s="239" t="str">
        <f>CONCATENATE(CA264,".",CB264)</f>
        <v>ДП Ідея-ЛОФТ.б/з фальц.робоча.Magnet ст +2завіс 3D</v>
      </c>
      <c r="CE264" s="742" t="s">
        <v>3324</v>
      </c>
      <c r="CF264" s="137"/>
      <c r="CG264" s="138" t="str">
        <f t="shared" si="206"/>
        <v>ДП ПОЛЛО.купе..робоча..</v>
      </c>
      <c r="DD264" s="250" t="s">
        <v>1532</v>
      </c>
      <c r="DE264" s="166">
        <v>8050</v>
      </c>
      <c r="DF264" s="528">
        <f t="shared" si="194"/>
        <v>8050</v>
      </c>
      <c r="DG264" s="523"/>
      <c r="DH264" s="530">
        <f t="shared" si="195"/>
        <v>8050</v>
      </c>
      <c r="DP264" s="738" t="s">
        <v>3908</v>
      </c>
      <c r="DQ264" s="166">
        <v>550</v>
      </c>
      <c r="DR264" s="522">
        <f t="shared" si="207"/>
        <v>550</v>
      </c>
      <c r="DS264" s="523"/>
      <c r="DT264" s="524">
        <f t="shared" si="208"/>
        <v>550</v>
      </c>
      <c r="DU264" s="166"/>
      <c r="DV264" s="738" t="s">
        <v>5806</v>
      </c>
      <c r="DW264" s="166">
        <v>80</v>
      </c>
      <c r="DX264" s="522">
        <f t="shared" si="199"/>
        <v>80</v>
      </c>
      <c r="DY264" s="523"/>
      <c r="DZ264" s="524">
        <f t="shared" si="200"/>
        <v>80</v>
      </c>
      <c r="EG264" s="165"/>
      <c r="EH264" s="738" t="s">
        <v>5115</v>
      </c>
      <c r="EI264" s="166">
        <v>0</v>
      </c>
      <c r="EJ264" s="522">
        <f>ROUND(((EI264-(EI264/6))/$DD$3)*$DE$3,2)</f>
        <v>0</v>
      </c>
      <c r="EK264" s="523"/>
      <c r="EL264" s="524">
        <f>IF(EK264="",EJ264,
IF(AND($EI$10&gt;=VLOOKUP(EK264,$EH$5:$EL$9,2,0),$EI$10&lt;=VLOOKUP(EK264,$EH$5:$EL$9,3,0)),
(EJ264*(1-VLOOKUP(EK264,$EH$5:$EL$9,4,0))),
EJ264))</f>
        <v>0</v>
      </c>
    </row>
    <row r="265" spans="12:142">
      <c r="L265" s="155" t="s">
        <v>607</v>
      </c>
      <c r="M265" s="254" t="s">
        <v>405</v>
      </c>
      <c r="N265" s="160" t="s">
        <v>2090</v>
      </c>
      <c r="O265" s="422" t="s">
        <v>728</v>
      </c>
      <c r="P265" s="21"/>
      <c r="Q265" s="155" t="s">
        <v>607</v>
      </c>
      <c r="R265" s="152" t="s">
        <v>163</v>
      </c>
      <c r="S265" s="160" t="s">
        <v>1028</v>
      </c>
      <c r="AU265" s="143" t="s">
        <v>352</v>
      </c>
      <c r="AV265" s="157" t="s">
        <v>476</v>
      </c>
      <c r="AW265" s="138" t="str">
        <f t="shared" si="209"/>
        <v>КД Verto-FIT Plus.H</v>
      </c>
      <c r="AY265" s="224" t="s">
        <v>1373</v>
      </c>
      <c r="AZ265" s="62" t="s">
        <v>1724</v>
      </c>
      <c r="BA265" s="139" t="str">
        <f t="shared" si="205"/>
        <v>ДП ЛАДА D.6/3.купе.</v>
      </c>
      <c r="BK265" s="752" t="s">
        <v>5934</v>
      </c>
      <c r="BL265" s="137" t="s">
        <v>557</v>
      </c>
      <c r="BM265" s="138" t="str">
        <f t="shared" si="210"/>
        <v>Лиштва пряма 60мм.Резист</v>
      </c>
      <c r="BS265" s="58" t="s">
        <v>1173</v>
      </c>
      <c r="BT265" s="56" t="s">
        <v>4086</v>
      </c>
      <c r="BU265" s="70" t="str">
        <f t="shared" si="201"/>
        <v>ДП МОДЕРН.3/1.Масив</v>
      </c>
      <c r="BW265" s="162" t="s">
        <v>1375</v>
      </c>
      <c r="BX265" s="246" t="s">
        <v>458</v>
      </c>
      <c r="BY265" s="135" t="str">
        <f t="shared" si="202"/>
        <v>ДП ЛАДА D.7/0.Сатин</v>
      </c>
      <c r="CA265" s="146" t="s">
        <v>3256</v>
      </c>
      <c r="CB265" s="97"/>
      <c r="CC265" s="97"/>
      <c r="CE265" s="424" t="s">
        <v>3324</v>
      </c>
      <c r="CF265" s="62" t="s">
        <v>4261</v>
      </c>
      <c r="CG265" s="139" t="str">
        <f t="shared" si="206"/>
        <v>ДП ПОЛЛО.купе..робоча..ВВ</v>
      </c>
      <c r="DD265" s="250" t="s">
        <v>1533</v>
      </c>
      <c r="DE265" s="166">
        <v>8050</v>
      </c>
      <c r="DF265" s="528">
        <f t="shared" si="194"/>
        <v>8050</v>
      </c>
      <c r="DG265" s="523"/>
      <c r="DH265" s="530">
        <f t="shared" si="195"/>
        <v>8050</v>
      </c>
      <c r="DP265" s="108" t="s">
        <v>1660</v>
      </c>
      <c r="DQ265" s="164">
        <v>550</v>
      </c>
      <c r="DR265" s="531">
        <f t="shared" si="207"/>
        <v>550</v>
      </c>
      <c r="DS265" s="526"/>
      <c r="DT265" s="527">
        <f t="shared" si="208"/>
        <v>550</v>
      </c>
      <c r="DU265" s="166"/>
      <c r="DV265" s="738" t="s">
        <v>5807</v>
      </c>
      <c r="DW265" s="163">
        <v>80</v>
      </c>
      <c r="DX265" s="528">
        <f>ROUND(((DW265-(DW265/6))/$DD$3)*$DE$3,2)</f>
        <v>80</v>
      </c>
      <c r="DY265" s="529"/>
      <c r="DZ265" s="530">
        <f>IF(DY265="",DX265,
IF(AND($DW$10&gt;=VLOOKUP(DY265,$DV$5:$DZ$9,2,0),$DW$10&lt;=VLOOKUP(DY265,$DV$5:$DZ$9,3,0)),
(DX265*(1-VLOOKUP(DY265,$DV$5:$DZ$9,4,0))),
DX265))</f>
        <v>80</v>
      </c>
      <c r="EG265" s="165"/>
      <c r="EH265" s="739" t="s">
        <v>5116</v>
      </c>
      <c r="EI265" s="164">
        <v>2010</v>
      </c>
      <c r="EJ265" s="531">
        <f>ROUND(((EI265-(EI265/6))/$DD$3)*$DE$3,2)</f>
        <v>2010</v>
      </c>
      <c r="EK265" s="526"/>
      <c r="EL265" s="527">
        <f>IF(EK265="",EJ265,
IF(AND($EI$10&gt;=VLOOKUP(EK265,$EH$5:$EL$9,2,0),$EI$10&lt;=VLOOKUP(EK265,$EH$5:$EL$9,3,0)),
(EJ265*(1-VLOOKUP(EK265,$EH$5:$EL$9,4,0))),
EJ265))</f>
        <v>2010</v>
      </c>
    </row>
    <row r="266" spans="12:142">
      <c r="L266" s="144"/>
      <c r="M266" s="48"/>
      <c r="N266" s="94"/>
      <c r="O266" s="423"/>
      <c r="Q266" s="144"/>
      <c r="R266" s="98"/>
      <c r="S266" s="94"/>
      <c r="AU266" s="144" t="s">
        <v>352</v>
      </c>
      <c r="AV266" s="158" t="s">
        <v>477</v>
      </c>
      <c r="AW266" s="139" t="str">
        <f t="shared" si="209"/>
        <v>КД Verto-FIT Plus.I</v>
      </c>
      <c r="AY266" s="234" t="s">
        <v>1374</v>
      </c>
      <c r="AZ266" s="137" t="s">
        <v>1722</v>
      </c>
      <c r="BA266" s="138" t="str">
        <f t="shared" si="205"/>
        <v>ДП ЛАДА D.6/4.фальц.</v>
      </c>
      <c r="BK266" s="752" t="s">
        <v>5934</v>
      </c>
      <c r="BL266" s="137" t="s">
        <v>62</v>
      </c>
      <c r="BM266" s="138" t="str">
        <f t="shared" si="210"/>
        <v>Лиштва пряма 60мм.LINE-3D</v>
      </c>
      <c r="BS266" s="58" t="s">
        <v>1174</v>
      </c>
      <c r="BT266" s="56" t="s">
        <v>4086</v>
      </c>
      <c r="BU266" s="70" t="str">
        <f t="shared" si="201"/>
        <v>ДП МОДЕРН.3/2.Масив</v>
      </c>
      <c r="BW266" s="165" t="s">
        <v>1375</v>
      </c>
      <c r="BX266" s="770" t="s">
        <v>3851</v>
      </c>
      <c r="BY266" s="138" t="str">
        <f t="shared" si="202"/>
        <v>ДП ЛАДА D.7/0.Графіт</v>
      </c>
      <c r="CA266" s="146" t="s">
        <v>3256</v>
      </c>
      <c r="CB266" s="478" t="s">
        <v>4349</v>
      </c>
      <c r="CC266" s="239" t="str">
        <f>CONCATENATE(CA266,".",CB266)</f>
        <v>ДП Ідея-ЛОФТ.б/з фальц.робоча.Magnet цл +3завіс 3D</v>
      </c>
      <c r="CE266" s="479"/>
      <c r="CF266" s="427"/>
      <c r="CG266" s="428"/>
      <c r="DD266" s="250" t="s">
        <v>1534</v>
      </c>
      <c r="DE266" s="166">
        <v>8050</v>
      </c>
      <c r="DF266" s="528">
        <f t="shared" si="194"/>
        <v>8050</v>
      </c>
      <c r="DG266" s="523"/>
      <c r="DH266" s="530">
        <f t="shared" si="195"/>
        <v>8050</v>
      </c>
      <c r="DP266" s="165" t="s">
        <v>1612</v>
      </c>
      <c r="DQ266" s="166">
        <v>0</v>
      </c>
      <c r="DR266" s="522">
        <f t="shared" si="207"/>
        <v>0</v>
      </c>
      <c r="DS266" s="523"/>
      <c r="DT266" s="524">
        <f t="shared" si="208"/>
        <v>0</v>
      </c>
      <c r="DU266" s="166"/>
      <c r="DV266" s="738" t="s">
        <v>4523</v>
      </c>
      <c r="DW266" s="166">
        <v>550</v>
      </c>
      <c r="DX266" s="522">
        <f t="shared" si="199"/>
        <v>550</v>
      </c>
      <c r="DY266" s="523"/>
      <c r="DZ266" s="524">
        <f t="shared" si="200"/>
        <v>550</v>
      </c>
      <c r="EG266" s="165"/>
      <c r="EH266" s="738" t="s">
        <v>3585</v>
      </c>
      <c r="EI266" s="166">
        <v>0</v>
      </c>
      <c r="EJ266" s="522">
        <f t="shared" si="203"/>
        <v>0</v>
      </c>
      <c r="EK266" s="523"/>
      <c r="EL266" s="524">
        <f t="shared" si="204"/>
        <v>0</v>
      </c>
    </row>
    <row r="267" spans="12:142">
      <c r="L267" s="809"/>
      <c r="M267" s="810"/>
      <c r="N267" s="810"/>
      <c r="O267" s="812"/>
      <c r="P267" s="808"/>
      <c r="Q267" s="809"/>
      <c r="R267" s="811"/>
      <c r="S267" s="810"/>
      <c r="AU267" s="142" t="s">
        <v>1042</v>
      </c>
      <c r="AV267" s="156" t="s">
        <v>469</v>
      </c>
      <c r="AW267" s="135" t="str">
        <f t="shared" ref="AW267:AW276" si="211">CONCATENATE(AU267,".",AV267)</f>
        <v>КД Verto-FIT Comfort.A</v>
      </c>
      <c r="AY267" s="234" t="s">
        <v>1374</v>
      </c>
      <c r="AZ267" s="137" t="s">
        <v>1723</v>
      </c>
      <c r="BA267" s="138" t="str">
        <f t="shared" si="205"/>
        <v>ДП ЛАДА D.6/4.б/з фальц.</v>
      </c>
      <c r="BK267" s="752" t="s">
        <v>5934</v>
      </c>
      <c r="BL267" s="137" t="s">
        <v>5071</v>
      </c>
      <c r="BM267" s="138" t="str">
        <f t="shared" si="210"/>
        <v>Лиштва пряма 60мм.Е-шпон</v>
      </c>
      <c r="BS267" s="58" t="s">
        <v>1175</v>
      </c>
      <c r="BT267" s="56" t="s">
        <v>4086</v>
      </c>
      <c r="BU267" s="70" t="str">
        <f t="shared" si="201"/>
        <v>ДП МОДЕРН.3/3.Масив</v>
      </c>
      <c r="BW267" s="108" t="s">
        <v>1375</v>
      </c>
      <c r="BX267" s="248" t="s">
        <v>832</v>
      </c>
      <c r="BY267" s="139" t="str">
        <f t="shared" si="202"/>
        <v>ДП ЛАДА D.7/0.Бронза</v>
      </c>
      <c r="CA267" s="147" t="s">
        <v>3256</v>
      </c>
      <c r="CB267" s="590" t="s">
        <v>4350</v>
      </c>
      <c r="CC267" s="240" t="str">
        <f>CONCATENATE(CA267,".",CB267)</f>
        <v>ДП Ідея-ЛОФТ.б/з фальц.робоча.Magnet ст +3завіс 3D</v>
      </c>
      <c r="CE267" s="86" t="s">
        <v>3325</v>
      </c>
      <c r="CF267" s="56"/>
      <c r="CG267" s="70" t="str">
        <f>CONCATENATE(CE267,".",CF267)</f>
        <v>ДП Лінея.фальц,.робоча..</v>
      </c>
      <c r="DD267" s="250" t="s">
        <v>1535</v>
      </c>
      <c r="DE267" s="166">
        <v>8050</v>
      </c>
      <c r="DF267" s="528">
        <f t="shared" si="194"/>
        <v>8050</v>
      </c>
      <c r="DG267" s="523"/>
      <c r="DH267" s="530">
        <f t="shared" si="195"/>
        <v>8050</v>
      </c>
      <c r="DP267" s="738" t="s">
        <v>3909</v>
      </c>
      <c r="DQ267" s="166">
        <v>550</v>
      </c>
      <c r="DR267" s="522">
        <f t="shared" si="207"/>
        <v>550</v>
      </c>
      <c r="DS267" s="523"/>
      <c r="DT267" s="524">
        <f t="shared" si="208"/>
        <v>550</v>
      </c>
      <c r="DU267" s="166"/>
      <c r="DV267" s="738" t="s">
        <v>4524</v>
      </c>
      <c r="DW267" s="166">
        <v>550</v>
      </c>
      <c r="DX267" s="522">
        <f t="shared" si="199"/>
        <v>550</v>
      </c>
      <c r="DY267" s="523"/>
      <c r="DZ267" s="524">
        <f t="shared" si="200"/>
        <v>550</v>
      </c>
      <c r="EG267" s="165"/>
      <c r="EH267" s="739" t="s">
        <v>3586</v>
      </c>
      <c r="EI267" s="164">
        <v>2010</v>
      </c>
      <c r="EJ267" s="531">
        <f t="shared" si="203"/>
        <v>2010</v>
      </c>
      <c r="EK267" s="526"/>
      <c r="EL267" s="527">
        <f t="shared" si="204"/>
        <v>2010</v>
      </c>
    </row>
    <row r="268" spans="12:142">
      <c r="L268" s="144"/>
      <c r="M268" s="48"/>
      <c r="N268" s="94"/>
      <c r="O268" s="423"/>
      <c r="Q268" s="144"/>
      <c r="R268" s="98"/>
      <c r="S268" s="94"/>
      <c r="AU268" s="143" t="s">
        <v>1042</v>
      </c>
      <c r="AV268" s="157" t="s">
        <v>470</v>
      </c>
      <c r="AW268" s="138" t="str">
        <f t="shared" si="211"/>
        <v>КД Verto-FIT Comfort.B</v>
      </c>
      <c r="AY268" s="224" t="s">
        <v>1374</v>
      </c>
      <c r="AZ268" s="62" t="s">
        <v>1724</v>
      </c>
      <c r="BA268" s="139" t="str">
        <f t="shared" si="205"/>
        <v>ДП ЛАДА D.6/4.купе.</v>
      </c>
      <c r="BK268" s="750" t="s">
        <v>5934</v>
      </c>
      <c r="BL268" s="62" t="s">
        <v>1836</v>
      </c>
      <c r="BM268" s="139" t="str">
        <f t="shared" si="210"/>
        <v>Лиштва пряма 60мм.Лофт</v>
      </c>
      <c r="BS268" s="58" t="s">
        <v>1176</v>
      </c>
      <c r="BT268" s="56" t="s">
        <v>4086</v>
      </c>
      <c r="BU268" s="70" t="str">
        <f t="shared" si="201"/>
        <v>ДП МОДЕРН.3А/1.Масив</v>
      </c>
      <c r="BW268" s="108" t="s">
        <v>1375</v>
      </c>
      <c r="BX268" s="248" t="s">
        <v>6046</v>
      </c>
      <c r="BY268" s="139" t="str">
        <f>CONCATENATE(BW268,".",BX268)</f>
        <v>ДП ЛАДА D.7/0.Лакобель</v>
      </c>
      <c r="CA268" s="746" t="s">
        <v>3257</v>
      </c>
      <c r="CB268" s="134" t="s">
        <v>4106</v>
      </c>
      <c r="CC268" s="135" t="str">
        <f>CONCATENATE(CA268,".",CB268)</f>
        <v>ДП Ідея-ЛОФТ.купе.робоча.(ні)</v>
      </c>
      <c r="CE268" s="86" t="s">
        <v>3326</v>
      </c>
      <c r="CF268" s="56"/>
      <c r="CG268" s="70" t="str">
        <f>CONCATENATE(CE268,".",CF268)</f>
        <v>ДП Лінея.фальц.робоча.</v>
      </c>
      <c r="DD268" s="250" t="s">
        <v>1536</v>
      </c>
      <c r="DE268" s="166">
        <v>8050</v>
      </c>
      <c r="DF268" s="528">
        <f t="shared" si="194"/>
        <v>8050</v>
      </c>
      <c r="DG268" s="523"/>
      <c r="DH268" s="530">
        <f t="shared" si="195"/>
        <v>8050</v>
      </c>
      <c r="DP268" s="108" t="s">
        <v>1659</v>
      </c>
      <c r="DQ268" s="164">
        <v>550</v>
      </c>
      <c r="DR268" s="531">
        <f t="shared" si="207"/>
        <v>550</v>
      </c>
      <c r="DS268" s="526"/>
      <c r="DT268" s="527">
        <f t="shared" si="208"/>
        <v>550</v>
      </c>
      <c r="DU268" s="166"/>
      <c r="DV268" s="738" t="s">
        <v>4525</v>
      </c>
      <c r="DW268" s="166">
        <v>800</v>
      </c>
      <c r="DX268" s="522">
        <f>ROUND(((DW268-(DW268/6))/$DD$3)*$DE$3,2)</f>
        <v>800</v>
      </c>
      <c r="DY268" s="523"/>
      <c r="DZ268" s="524">
        <f>IF(DY268="",DX268,
IF(AND($DW$10&gt;=VLOOKUP(DY268,$DV$5:$DZ$9,2,0),$DW$10&lt;=VLOOKUP(DY268,$DV$5:$DZ$9,3,0)),
(DX268*(1-VLOOKUP(DY268,$DV$5:$DZ$9,4,0))),
DX268))</f>
        <v>800</v>
      </c>
      <c r="EG268" s="165"/>
      <c r="EH268" s="256"/>
      <c r="EI268" s="257"/>
      <c r="EJ268" s="517"/>
      <c r="EK268" s="532"/>
      <c r="EL268" s="259"/>
    </row>
    <row r="269" spans="12:142">
      <c r="L269" s="763" t="s">
        <v>3014</v>
      </c>
      <c r="M269" s="101" t="s">
        <v>3009</v>
      </c>
      <c r="N269" s="766" t="s">
        <v>3015</v>
      </c>
      <c r="O269" s="818" t="s">
        <v>728</v>
      </c>
      <c r="P269" s="21"/>
      <c r="Q269" s="763" t="s">
        <v>3014</v>
      </c>
      <c r="R269" s="101" t="s">
        <v>537</v>
      </c>
      <c r="S269" s="100" t="s">
        <v>1012</v>
      </c>
      <c r="AU269" s="143" t="s">
        <v>1042</v>
      </c>
      <c r="AV269" s="542" t="s">
        <v>1184</v>
      </c>
      <c r="AW269" s="138" t="str">
        <f>CONCATENATE(AU269,".",AV269)</f>
        <v>КД Verto-FIT Comfort.B+</v>
      </c>
      <c r="AY269" s="234" t="s">
        <v>1375</v>
      </c>
      <c r="AZ269" s="137" t="s">
        <v>1722</v>
      </c>
      <c r="BA269" s="138" t="str">
        <f t="shared" si="205"/>
        <v>ДП ЛАДА D.7/0.фальц.</v>
      </c>
      <c r="BK269" s="751" t="s">
        <v>5935</v>
      </c>
      <c r="BL269" s="134" t="s">
        <v>4904</v>
      </c>
      <c r="BM269" s="135" t="str">
        <f t="shared" si="210"/>
        <v>Лиштва пряма 80мм.Сімплекс</v>
      </c>
      <c r="BS269" s="58" t="s">
        <v>1177</v>
      </c>
      <c r="BT269" s="56" t="s">
        <v>4086</v>
      </c>
      <c r="BU269" s="70" t="str">
        <f t="shared" si="201"/>
        <v>ДП МОДЕРН.3А/2.Масив</v>
      </c>
      <c r="BW269" s="162" t="s">
        <v>1376</v>
      </c>
      <c r="BX269" s="246" t="s">
        <v>458</v>
      </c>
      <c r="BY269" s="135" t="str">
        <f t="shared" si="202"/>
        <v>ДП ЛАДА D.7/1.Сатин</v>
      </c>
      <c r="CA269" s="742" t="s">
        <v>3257</v>
      </c>
      <c r="CB269" s="21"/>
      <c r="CC269" s="21"/>
      <c r="CE269" s="86" t="s">
        <v>3327</v>
      </c>
      <c r="CF269" s="56"/>
      <c r="CG269" s="70" t="str">
        <f>CONCATENATE(CE269,".",CF269)</f>
        <v>ДП Лінея.фальц,.неробоча,.</v>
      </c>
      <c r="DD269" s="250" t="s">
        <v>1539</v>
      </c>
      <c r="DE269" s="166">
        <v>8340</v>
      </c>
      <c r="DF269" s="528">
        <f t="shared" si="194"/>
        <v>8340</v>
      </c>
      <c r="DG269" s="523"/>
      <c r="DH269" s="530">
        <f t="shared" si="195"/>
        <v>8340</v>
      </c>
      <c r="DP269" s="165" t="s">
        <v>1613</v>
      </c>
      <c r="DQ269" s="166">
        <v>0</v>
      </c>
      <c r="DR269" s="522">
        <f t="shared" si="207"/>
        <v>0</v>
      </c>
      <c r="DS269" s="523"/>
      <c r="DT269" s="524">
        <f t="shared" si="208"/>
        <v>0</v>
      </c>
      <c r="DU269" s="166"/>
      <c r="DV269" s="739" t="s">
        <v>4526</v>
      </c>
      <c r="DW269" s="164">
        <v>800</v>
      </c>
      <c r="DX269" s="525">
        <f>ROUND(((DW269-(DW269/6))/$DD$3)*$DE$3,2)</f>
        <v>800</v>
      </c>
      <c r="DY269" s="526"/>
      <c r="DZ269" s="527">
        <f>IF(DY269="",DX269,
IF(AND($DW$10&gt;=VLOOKUP(DY269,$DV$5:$DZ$9,2,0),$DW$10&lt;=VLOOKUP(DY269,$DV$5:$DZ$9,3,0)),
(DX269*(1-VLOOKUP(DY269,$DV$5:$DZ$9,4,0))),
DX269))</f>
        <v>800</v>
      </c>
      <c r="EG269" s="165"/>
      <c r="EH269" s="737" t="s">
        <v>4974</v>
      </c>
      <c r="EI269" s="163">
        <v>0</v>
      </c>
      <c r="EJ269" s="537">
        <f t="shared" ref="EJ269:EJ287" si="212">ROUND(((EI269-(EI269/6))/$DD$3)*$DE$3,2)</f>
        <v>0</v>
      </c>
      <c r="EK269" s="529"/>
      <c r="EL269" s="530">
        <f t="shared" ref="EL269:EL299" si="213">IF(EK269="",EJ269,
IF(AND($EI$10&gt;=VLOOKUP(EK269,$EH$5:$EL$9,2,0),$EI$10&lt;=VLOOKUP(EK269,$EH$5:$EL$9,3,0)),
(EJ269*(1-VLOOKUP(EK269,$EH$5:$EL$9,4,0))),
EJ269))</f>
        <v>0</v>
      </c>
    </row>
    <row r="270" spans="12:142">
      <c r="L270" s="765" t="s">
        <v>3016</v>
      </c>
      <c r="M270" s="152" t="s">
        <v>3009</v>
      </c>
      <c r="N270" s="599" t="s">
        <v>3015</v>
      </c>
      <c r="O270" s="422" t="s">
        <v>728</v>
      </c>
      <c r="P270" s="21"/>
      <c r="Q270" s="765" t="s">
        <v>3016</v>
      </c>
      <c r="R270" s="152" t="s">
        <v>538</v>
      </c>
      <c r="S270" s="160" t="s">
        <v>1013</v>
      </c>
      <c r="AU270" s="143" t="s">
        <v>1042</v>
      </c>
      <c r="AV270" s="157" t="s">
        <v>471</v>
      </c>
      <c r="AW270" s="138" t="str">
        <f t="shared" si="211"/>
        <v>КД Verto-FIT Comfort.C</v>
      </c>
      <c r="AY270" s="234" t="s">
        <v>1375</v>
      </c>
      <c r="AZ270" s="137" t="s">
        <v>1723</v>
      </c>
      <c r="BA270" s="138" t="str">
        <f t="shared" si="205"/>
        <v>ДП ЛАДА D.7/0.б/з фальц.</v>
      </c>
      <c r="BK270" s="752" t="s">
        <v>5935</v>
      </c>
      <c r="BL270" s="137" t="s">
        <v>409</v>
      </c>
      <c r="BM270" s="138" t="str">
        <f t="shared" si="210"/>
        <v>Лиштва пряма 80мм.Verto-Cell</v>
      </c>
      <c r="BS270" s="426"/>
      <c r="BT270" s="427"/>
      <c r="BU270" s="428"/>
      <c r="BW270" s="165" t="s">
        <v>1376</v>
      </c>
      <c r="BX270" s="770" t="s">
        <v>3851</v>
      </c>
      <c r="BY270" s="138" t="str">
        <f t="shared" si="202"/>
        <v>ДП ЛАДА D.7/1.Графіт</v>
      </c>
      <c r="CA270" s="742" t="s">
        <v>3257</v>
      </c>
      <c r="CB270" s="137" t="s">
        <v>462</v>
      </c>
      <c r="CC270" s="138" t="str">
        <f>CONCATENATE(CA270,".",CB270)</f>
        <v>ДП Ідея-ЛОФТ.купе.робоча.Ручка-Захват</v>
      </c>
      <c r="CE270" s="86" t="s">
        <v>3328</v>
      </c>
      <c r="CF270" s="56"/>
      <c r="CG270" s="70" t="str">
        <f>CONCATENATE(CE270,".",CF270)</f>
        <v>ДП Лінея.фальц.неробоча.</v>
      </c>
      <c r="DD270" s="250" t="s">
        <v>1540</v>
      </c>
      <c r="DE270" s="166">
        <v>8340</v>
      </c>
      <c r="DF270" s="528">
        <f t="shared" si="194"/>
        <v>8340</v>
      </c>
      <c r="DG270" s="523"/>
      <c r="DH270" s="530">
        <f t="shared" si="195"/>
        <v>8340</v>
      </c>
      <c r="DP270" s="738" t="s">
        <v>3910</v>
      </c>
      <c r="DQ270" s="166">
        <v>550</v>
      </c>
      <c r="DR270" s="522">
        <f t="shared" si="207"/>
        <v>550</v>
      </c>
      <c r="DS270" s="523"/>
      <c r="DT270" s="524">
        <f t="shared" si="208"/>
        <v>550</v>
      </c>
      <c r="DU270" s="166"/>
      <c r="DV270" s="738" t="s">
        <v>6257</v>
      </c>
      <c r="DW270" s="166">
        <v>1</v>
      </c>
      <c r="DX270" s="522">
        <f t="shared" si="199"/>
        <v>1</v>
      </c>
      <c r="DY270" s="523"/>
      <c r="DZ270" s="524">
        <f t="shared" si="200"/>
        <v>1</v>
      </c>
      <c r="EG270" s="165"/>
      <c r="EH270" s="739" t="s">
        <v>4975</v>
      </c>
      <c r="EI270" s="164">
        <v>1460</v>
      </c>
      <c r="EJ270" s="531">
        <f t="shared" si="212"/>
        <v>1460</v>
      </c>
      <c r="EK270" s="526"/>
      <c r="EL270" s="527">
        <f t="shared" si="213"/>
        <v>1460</v>
      </c>
    </row>
    <row r="271" spans="12:142">
      <c r="L271" s="752" t="s">
        <v>3017</v>
      </c>
      <c r="M271" s="101" t="s">
        <v>3018</v>
      </c>
      <c r="N271" s="766" t="s">
        <v>3019</v>
      </c>
      <c r="O271" s="818" t="s">
        <v>728</v>
      </c>
      <c r="P271" s="21"/>
      <c r="Q271" s="752" t="s">
        <v>3017</v>
      </c>
      <c r="R271" s="101" t="s">
        <v>1697</v>
      </c>
      <c r="S271" s="100" t="s">
        <v>1708</v>
      </c>
      <c r="AU271" s="143" t="s">
        <v>1042</v>
      </c>
      <c r="AV271" s="157" t="s">
        <v>472</v>
      </c>
      <c r="AW271" s="138" t="str">
        <f t="shared" si="211"/>
        <v>КД Verto-FIT Comfort.D</v>
      </c>
      <c r="AY271" s="224" t="s">
        <v>1375</v>
      </c>
      <c r="AZ271" s="62" t="s">
        <v>1724</v>
      </c>
      <c r="BA271" s="139" t="str">
        <f t="shared" si="205"/>
        <v>ДП ЛАДА D.7/0.купе.</v>
      </c>
      <c r="BK271" s="752" t="s">
        <v>5935</v>
      </c>
      <c r="BL271" s="137"/>
      <c r="BM271" s="138" t="str">
        <f t="shared" si="210"/>
        <v>Лиштва пряма 80мм.</v>
      </c>
      <c r="BS271" s="49" t="s">
        <v>664</v>
      </c>
      <c r="BT271" s="41" t="s">
        <v>4086</v>
      </c>
      <c r="BU271" s="70" t="str">
        <f t="shared" ref="BU271:BU277" si="214">CONCATENATE(BS271,".",BT271)</f>
        <v>ДП ПОЛЛО.3/0.Масив</v>
      </c>
      <c r="BW271" s="108" t="s">
        <v>1376</v>
      </c>
      <c r="BX271" s="248" t="s">
        <v>832</v>
      </c>
      <c r="BY271" s="139" t="str">
        <f t="shared" si="202"/>
        <v>ДП ЛАДА D.7/1.Бронза</v>
      </c>
      <c r="CA271" s="742" t="s">
        <v>3257</v>
      </c>
      <c r="CB271" s="137" t="s">
        <v>684</v>
      </c>
      <c r="CC271" s="138" t="str">
        <f>CONCATENATE(CA271,".",CB271)</f>
        <v>ДП Ідея-ЛОФТ.купе.робоча.Ручка-Замок</v>
      </c>
      <c r="CE271" s="479"/>
      <c r="CF271" s="427"/>
      <c r="CG271" s="428"/>
      <c r="DD271" s="250" t="s">
        <v>1541</v>
      </c>
      <c r="DE271" s="166">
        <v>8340</v>
      </c>
      <c r="DF271" s="528">
        <f t="shared" si="194"/>
        <v>8340</v>
      </c>
      <c r="DG271" s="523"/>
      <c r="DH271" s="530">
        <f t="shared" si="195"/>
        <v>8340</v>
      </c>
      <c r="DP271" s="108" t="s">
        <v>1658</v>
      </c>
      <c r="DQ271" s="164">
        <v>550</v>
      </c>
      <c r="DR271" s="531">
        <f t="shared" si="207"/>
        <v>550</v>
      </c>
      <c r="DS271" s="526"/>
      <c r="DT271" s="527">
        <f t="shared" si="208"/>
        <v>550</v>
      </c>
      <c r="DU271" s="166"/>
      <c r="DV271" s="739" t="s">
        <v>6258</v>
      </c>
      <c r="DW271" s="164">
        <v>1</v>
      </c>
      <c r="DX271" s="525">
        <f t="shared" si="199"/>
        <v>1</v>
      </c>
      <c r="DY271" s="526"/>
      <c r="DZ271" s="527">
        <f t="shared" si="200"/>
        <v>1</v>
      </c>
      <c r="EG271" s="165"/>
      <c r="EH271" s="738" t="s">
        <v>3587</v>
      </c>
      <c r="EI271" s="166">
        <v>0</v>
      </c>
      <c r="EJ271" s="522">
        <f t="shared" si="212"/>
        <v>0</v>
      </c>
      <c r="EK271" s="523"/>
      <c r="EL271" s="524">
        <f t="shared" si="213"/>
        <v>0</v>
      </c>
    </row>
    <row r="272" spans="12:142">
      <c r="L272" s="752" t="s">
        <v>3020</v>
      </c>
      <c r="M272" s="151" t="s">
        <v>3018</v>
      </c>
      <c r="N272" s="435" t="s">
        <v>3019</v>
      </c>
      <c r="O272" s="819" t="s">
        <v>728</v>
      </c>
      <c r="P272" s="21"/>
      <c r="Q272" s="752" t="s">
        <v>3020</v>
      </c>
      <c r="R272" s="151" t="s">
        <v>1698</v>
      </c>
      <c r="S272" s="159" t="s">
        <v>1709</v>
      </c>
      <c r="AU272" s="143" t="s">
        <v>1042</v>
      </c>
      <c r="AV272" s="157" t="s">
        <v>473</v>
      </c>
      <c r="AW272" s="138" t="str">
        <f t="shared" si="211"/>
        <v>КД Verto-FIT Comfort.E</v>
      </c>
      <c r="AY272" s="234" t="s">
        <v>1376</v>
      </c>
      <c r="AZ272" s="137" t="s">
        <v>1722</v>
      </c>
      <c r="BA272" s="138" t="str">
        <f t="shared" si="205"/>
        <v>ДП ЛАДА D.7/1.фальц.</v>
      </c>
      <c r="BK272" s="752" t="s">
        <v>5935</v>
      </c>
      <c r="BL272" s="137" t="s">
        <v>1893</v>
      </c>
      <c r="BM272" s="138" t="str">
        <f t="shared" si="210"/>
        <v>Лиштва пряма 80мм.Uni-Mat</v>
      </c>
      <c r="BS272" s="49" t="s">
        <v>665</v>
      </c>
      <c r="BT272" s="41" t="s">
        <v>4086</v>
      </c>
      <c r="BU272" s="70" t="str">
        <f t="shared" si="214"/>
        <v>ДП ПОЛЛО.3/2.Масив</v>
      </c>
      <c r="BW272" s="162" t="s">
        <v>1377</v>
      </c>
      <c r="BX272" s="246" t="s">
        <v>458</v>
      </c>
      <c r="BY272" s="135" t="str">
        <f t="shared" si="202"/>
        <v>ДП ЛАДА D.7/2.Сатин</v>
      </c>
      <c r="CA272" s="432"/>
      <c r="CB272" s="222"/>
      <c r="CC272" s="223"/>
      <c r="CE272" s="86" t="s">
        <v>3329</v>
      </c>
      <c r="CF272" s="56"/>
      <c r="CG272" s="70" t="str">
        <f>CONCATENATE(CE272,".",CF272)</f>
        <v>ДП ЛАЙН.фальц,.робоча..</v>
      </c>
      <c r="DD272" s="250" t="s">
        <v>1542</v>
      </c>
      <c r="DE272" s="166">
        <v>8340</v>
      </c>
      <c r="DF272" s="528">
        <f t="shared" si="194"/>
        <v>8340</v>
      </c>
      <c r="DG272" s="523"/>
      <c r="DH272" s="530">
        <f t="shared" si="195"/>
        <v>8340</v>
      </c>
      <c r="DP272" s="165" t="s">
        <v>1614</v>
      </c>
      <c r="DQ272" s="166">
        <v>0</v>
      </c>
      <c r="DR272" s="522">
        <f t="shared" si="207"/>
        <v>0</v>
      </c>
      <c r="DS272" s="523"/>
      <c r="DT272" s="524">
        <f t="shared" si="208"/>
        <v>0</v>
      </c>
      <c r="DU272" s="166"/>
      <c r="DV272" s="737" t="s">
        <v>4527</v>
      </c>
      <c r="DW272" s="163">
        <v>0</v>
      </c>
      <c r="DX272" s="528">
        <f t="shared" si="199"/>
        <v>0</v>
      </c>
      <c r="DY272" s="529"/>
      <c r="DZ272" s="530">
        <f t="shared" si="200"/>
        <v>0</v>
      </c>
      <c r="EG272" s="165"/>
      <c r="EH272" s="739" t="s">
        <v>3588</v>
      </c>
      <c r="EI272" s="164">
        <v>1460</v>
      </c>
      <c r="EJ272" s="531">
        <f t="shared" si="212"/>
        <v>1460</v>
      </c>
      <c r="EK272" s="526"/>
      <c r="EL272" s="527">
        <f t="shared" si="213"/>
        <v>1460</v>
      </c>
    </row>
    <row r="273" spans="12:142">
      <c r="L273" s="752" t="s">
        <v>3021</v>
      </c>
      <c r="M273" s="151" t="s">
        <v>3018</v>
      </c>
      <c r="N273" s="435" t="s">
        <v>3019</v>
      </c>
      <c r="O273" s="819" t="s">
        <v>728</v>
      </c>
      <c r="P273" s="21"/>
      <c r="Q273" s="752" t="s">
        <v>3021</v>
      </c>
      <c r="R273" s="151" t="s">
        <v>1699</v>
      </c>
      <c r="S273" s="159" t="s">
        <v>1710</v>
      </c>
      <c r="AU273" s="143" t="s">
        <v>1042</v>
      </c>
      <c r="AV273" s="157" t="s">
        <v>474</v>
      </c>
      <c r="AW273" s="138" t="str">
        <f t="shared" si="211"/>
        <v>КД Verto-FIT Comfort.F</v>
      </c>
      <c r="AY273" s="234" t="s">
        <v>1376</v>
      </c>
      <c r="AZ273" s="137" t="s">
        <v>1723</v>
      </c>
      <c r="BA273" s="138" t="str">
        <f t="shared" si="205"/>
        <v>ДП ЛАДА D.7/1.б/з фальц.</v>
      </c>
      <c r="BK273" s="752" t="s">
        <v>5935</v>
      </c>
      <c r="BL273" s="137" t="s">
        <v>557</v>
      </c>
      <c r="BM273" s="138" t="str">
        <f t="shared" si="210"/>
        <v>Лиштва пряма 80мм.Резист</v>
      </c>
      <c r="BS273" s="49" t="s">
        <v>666</v>
      </c>
      <c r="BT273" s="41" t="s">
        <v>4086</v>
      </c>
      <c r="BU273" s="70" t="str">
        <f t="shared" si="214"/>
        <v>ДП ПОЛЛО.3/4.Масив</v>
      </c>
      <c r="BW273" s="165" t="s">
        <v>1377</v>
      </c>
      <c r="BX273" s="770" t="s">
        <v>3851</v>
      </c>
      <c r="BY273" s="138" t="str">
        <f t="shared" si="202"/>
        <v>ДП ЛАДА D.7/2.Графіт</v>
      </c>
      <c r="CA273" s="146" t="s">
        <v>3259</v>
      </c>
      <c r="CB273" s="137" t="s">
        <v>4106</v>
      </c>
      <c r="CC273" s="138" t="str">
        <f>CONCATENATE(CA273,".",CB273)</f>
        <v>ДП ЛАДА A.фальц,.робоча..(ні)</v>
      </c>
      <c r="CE273" s="86" t="s">
        <v>3330</v>
      </c>
      <c r="CF273" s="56"/>
      <c r="CG273" s="70" t="str">
        <f>CONCATENATE(CE273,".",CF273)</f>
        <v>ДП ЛАЙН.фальц,.неробоча,.</v>
      </c>
      <c r="DD273" s="250" t="s">
        <v>1543</v>
      </c>
      <c r="DE273" s="166">
        <v>8340</v>
      </c>
      <c r="DF273" s="528">
        <f t="shared" si="194"/>
        <v>8340</v>
      </c>
      <c r="DG273" s="523"/>
      <c r="DH273" s="530">
        <f t="shared" si="195"/>
        <v>8340</v>
      </c>
      <c r="DP273" s="738" t="s">
        <v>3911</v>
      </c>
      <c r="DQ273" s="166">
        <v>550</v>
      </c>
      <c r="DR273" s="522">
        <f t="shared" si="207"/>
        <v>550</v>
      </c>
      <c r="DS273" s="523"/>
      <c r="DT273" s="524">
        <f t="shared" si="208"/>
        <v>550</v>
      </c>
      <c r="DU273" s="166"/>
      <c r="DV273" s="738" t="s">
        <v>4528</v>
      </c>
      <c r="DW273" s="166">
        <v>0</v>
      </c>
      <c r="DX273" s="522">
        <f t="shared" si="199"/>
        <v>0</v>
      </c>
      <c r="DY273" s="523"/>
      <c r="DZ273" s="524">
        <f t="shared" si="200"/>
        <v>0</v>
      </c>
      <c r="EG273" s="165"/>
      <c r="EH273" s="738" t="s">
        <v>3589</v>
      </c>
      <c r="EI273" s="166">
        <v>0</v>
      </c>
      <c r="EJ273" s="522">
        <f>ROUND(((EI273-(EI273/6))/$DD$3)*$DE$3,2)</f>
        <v>0</v>
      </c>
      <c r="EK273" s="523"/>
      <c r="EL273" s="524">
        <f>IF(EK273="",EJ273,
IF(AND($EI$10&gt;=VLOOKUP(EK273,$EH$5:$EL$9,2,0),$EI$10&lt;=VLOOKUP(EK273,$EH$5:$EL$9,3,0)),
(EJ273*(1-VLOOKUP(EK273,$EH$5:$EL$9,4,0))),
EJ273))</f>
        <v>0</v>
      </c>
    </row>
    <row r="274" spans="12:142">
      <c r="L274" s="752" t="s">
        <v>3022</v>
      </c>
      <c r="M274" s="151" t="s">
        <v>3018</v>
      </c>
      <c r="N274" s="435" t="s">
        <v>3019</v>
      </c>
      <c r="O274" s="819" t="s">
        <v>728</v>
      </c>
      <c r="P274" s="21"/>
      <c r="Q274" s="752" t="s">
        <v>3022</v>
      </c>
      <c r="R274" s="151" t="s">
        <v>1700</v>
      </c>
      <c r="S274" s="159" t="s">
        <v>1711</v>
      </c>
      <c r="AU274" s="143" t="s">
        <v>1042</v>
      </c>
      <c r="AV274" s="157" t="s">
        <v>475</v>
      </c>
      <c r="AW274" s="138" t="str">
        <f t="shared" si="211"/>
        <v>КД Verto-FIT Comfort.G</v>
      </c>
      <c r="AY274" s="224" t="s">
        <v>1376</v>
      </c>
      <c r="AZ274" s="62" t="s">
        <v>1724</v>
      </c>
      <c r="BA274" s="139" t="str">
        <f t="shared" si="205"/>
        <v>ДП ЛАДА D.7/1.купе.</v>
      </c>
      <c r="BK274" s="752" t="s">
        <v>5935</v>
      </c>
      <c r="BL274" s="137" t="s">
        <v>62</v>
      </c>
      <c r="BM274" s="138" t="str">
        <f t="shared" si="210"/>
        <v>Лиштва пряма 80мм.LINE-3D</v>
      </c>
      <c r="BS274" s="49" t="s">
        <v>667</v>
      </c>
      <c r="BT274" s="41" t="s">
        <v>4086</v>
      </c>
      <c r="BU274" s="70" t="str">
        <f t="shared" si="214"/>
        <v>ДП ПОЛЛО.3/6.Масив</v>
      </c>
      <c r="BW274" s="108" t="s">
        <v>1377</v>
      </c>
      <c r="BX274" s="248" t="s">
        <v>832</v>
      </c>
      <c r="BY274" s="139" t="str">
        <f t="shared" si="202"/>
        <v>ДП ЛАДА D.7/2.Бронза</v>
      </c>
      <c r="CA274" s="146" t="s">
        <v>3259</v>
      </c>
      <c r="CB274" s="21"/>
      <c r="CC274" s="21"/>
      <c r="CE274" s="479"/>
      <c r="CF274" s="427"/>
      <c r="CG274" s="428"/>
      <c r="DD274" s="249" t="s">
        <v>1544</v>
      </c>
      <c r="DE274" s="164">
        <v>8340</v>
      </c>
      <c r="DF274" s="528">
        <f t="shared" si="194"/>
        <v>8340</v>
      </c>
      <c r="DG274" s="526"/>
      <c r="DH274" s="530">
        <f t="shared" si="195"/>
        <v>8340</v>
      </c>
      <c r="DP274" s="108" t="s">
        <v>1657</v>
      </c>
      <c r="DQ274" s="164">
        <v>550</v>
      </c>
      <c r="DR274" s="531">
        <f t="shared" si="207"/>
        <v>550</v>
      </c>
      <c r="DS274" s="526"/>
      <c r="DT274" s="527">
        <f t="shared" si="208"/>
        <v>550</v>
      </c>
      <c r="DU274" s="166"/>
      <c r="DV274" s="739" t="s">
        <v>4529</v>
      </c>
      <c r="DW274" s="164">
        <v>0</v>
      </c>
      <c r="DX274" s="531">
        <f>ROUND(((DW274-(DW274/6))/$DD$3)*$DE$3,2)</f>
        <v>0</v>
      </c>
      <c r="DY274" s="526"/>
      <c r="DZ274" s="527">
        <f>IF(DY274="",DX274,
IF(AND($DW$10&gt;=VLOOKUP(DY274,$DV$5:$DZ$9,2,0),$DW$10&lt;=VLOOKUP(DY274,$DV$5:$DZ$9,3,0)),
(DX274*(1-VLOOKUP(DY274,$DV$5:$DZ$9,4,0))),
DX274))</f>
        <v>0</v>
      </c>
      <c r="EG274" s="165"/>
      <c r="EH274" s="739" t="s">
        <v>3590</v>
      </c>
      <c r="EI274" s="164">
        <v>1460</v>
      </c>
      <c r="EJ274" s="531">
        <f>ROUND(((EI274-(EI274/6))/$DD$3)*$DE$3,2)</f>
        <v>1460</v>
      </c>
      <c r="EK274" s="526"/>
      <c r="EL274" s="527">
        <f>IF(EK274="",EJ274,
IF(AND($EI$10&gt;=VLOOKUP(EK274,$EH$5:$EL$9,2,0),$EI$10&lt;=VLOOKUP(EK274,$EH$5:$EL$9,3,0)),
(EJ274*(1-VLOOKUP(EK274,$EH$5:$EL$9,4,0))),
EJ274))</f>
        <v>1460</v>
      </c>
    </row>
    <row r="275" spans="12:142">
      <c r="L275" s="752" t="s">
        <v>3023</v>
      </c>
      <c r="M275" s="151" t="s">
        <v>3018</v>
      </c>
      <c r="N275" s="435" t="s">
        <v>3019</v>
      </c>
      <c r="O275" s="819" t="s">
        <v>728</v>
      </c>
      <c r="P275" s="21"/>
      <c r="Q275" s="752" t="s">
        <v>3023</v>
      </c>
      <c r="R275" s="151" t="s">
        <v>1701</v>
      </c>
      <c r="S275" s="159" t="s">
        <v>1712</v>
      </c>
      <c r="AU275" s="143" t="s">
        <v>1042</v>
      </c>
      <c r="AV275" s="157" t="s">
        <v>476</v>
      </c>
      <c r="AW275" s="138" t="str">
        <f t="shared" si="211"/>
        <v>КД Verto-FIT Comfort.H</v>
      </c>
      <c r="AY275" s="234" t="s">
        <v>1377</v>
      </c>
      <c r="AZ275" s="137" t="s">
        <v>1722</v>
      </c>
      <c r="BA275" s="138" t="str">
        <f t="shared" si="205"/>
        <v>ДП ЛАДА D.7/2.фальц.</v>
      </c>
      <c r="BK275" s="752" t="s">
        <v>5935</v>
      </c>
      <c r="BL275" s="137" t="s">
        <v>5071</v>
      </c>
      <c r="BM275" s="138" t="str">
        <f t="shared" si="210"/>
        <v>Лиштва пряма 80мм.Е-шпон</v>
      </c>
      <c r="BS275" s="49" t="s">
        <v>670</v>
      </c>
      <c r="BT275" s="41" t="s">
        <v>4086</v>
      </c>
      <c r="BU275" s="70" t="str">
        <f t="shared" si="214"/>
        <v>ДП ПОЛЛО.3А/3.Масив</v>
      </c>
      <c r="BW275" s="432"/>
      <c r="BX275" s="432"/>
      <c r="BY275" s="432"/>
      <c r="CA275" s="146" t="s">
        <v>3259</v>
      </c>
      <c r="CB275" s="783" t="s">
        <v>5754</v>
      </c>
      <c r="CC275" s="138" t="str">
        <f t="shared" ref="CC275:CC280" si="215">CONCATENATE(CA275,".",CB275)</f>
        <v>ДП ЛАДА A.фальц,.робоча..Stand цл Лів +3завіс</v>
      </c>
      <c r="CE275" s="86" t="s">
        <v>3331</v>
      </c>
      <c r="CF275" s="56"/>
      <c r="CG275" s="70" t="str">
        <f>CONCATENATE(CE275,".",CF275)</f>
        <v>ДП Елегант.фальц.робоча.</v>
      </c>
      <c r="DD275" s="740" t="s">
        <v>5117</v>
      </c>
      <c r="DE275" s="166">
        <v>8470</v>
      </c>
      <c r="DF275" s="528">
        <f t="shared" si="194"/>
        <v>8470</v>
      </c>
      <c r="DG275" s="523"/>
      <c r="DH275" s="530">
        <f t="shared" si="195"/>
        <v>8470</v>
      </c>
      <c r="DP275" s="165" t="s">
        <v>1615</v>
      </c>
      <c r="DQ275" s="166">
        <v>0</v>
      </c>
      <c r="DR275" s="522">
        <f t="shared" si="207"/>
        <v>0</v>
      </c>
      <c r="DS275" s="523"/>
      <c r="DT275" s="524">
        <f t="shared" si="208"/>
        <v>0</v>
      </c>
      <c r="DU275" s="166"/>
      <c r="DV275" s="739" t="s">
        <v>6259</v>
      </c>
      <c r="DW275" s="164">
        <v>0</v>
      </c>
      <c r="DX275" s="531">
        <f t="shared" si="199"/>
        <v>0</v>
      </c>
      <c r="DY275" s="526"/>
      <c r="DZ275" s="527">
        <f t="shared" si="200"/>
        <v>0</v>
      </c>
      <c r="EG275" s="165"/>
      <c r="EH275" s="738" t="s">
        <v>3591</v>
      </c>
      <c r="EI275" s="166">
        <v>0</v>
      </c>
      <c r="EJ275" s="522">
        <f>ROUND(((EI275-(EI275/6))/$DD$3)*$DE$3,2)</f>
        <v>0</v>
      </c>
      <c r="EK275" s="523"/>
      <c r="EL275" s="524">
        <f>IF(EK275="",EJ275,
IF(AND($EI$10&gt;=VLOOKUP(EK275,$EH$5:$EL$9,2,0),$EI$10&lt;=VLOOKUP(EK275,$EH$5:$EL$9,3,0)),
(EJ275*(1-VLOOKUP(EK275,$EH$5:$EL$9,4,0))),
EJ275))</f>
        <v>0</v>
      </c>
    </row>
    <row r="276" spans="12:142">
      <c r="L276" s="752" t="s">
        <v>3024</v>
      </c>
      <c r="M276" s="151" t="s">
        <v>3018</v>
      </c>
      <c r="N276" s="435" t="s">
        <v>3019</v>
      </c>
      <c r="O276" s="819" t="s">
        <v>728</v>
      </c>
      <c r="P276" s="21"/>
      <c r="Q276" s="752" t="s">
        <v>3024</v>
      </c>
      <c r="R276" s="151" t="s">
        <v>1702</v>
      </c>
      <c r="S276" s="159" t="s">
        <v>1713</v>
      </c>
      <c r="AU276" s="144" t="s">
        <v>1042</v>
      </c>
      <c r="AV276" s="158" t="s">
        <v>477</v>
      </c>
      <c r="AW276" s="139" t="str">
        <f t="shared" si="211"/>
        <v>КД Verto-FIT Comfort.I</v>
      </c>
      <c r="AY276" s="234" t="s">
        <v>1377</v>
      </c>
      <c r="AZ276" s="137" t="s">
        <v>1723</v>
      </c>
      <c r="BA276" s="138" t="str">
        <f t="shared" si="205"/>
        <v>ДП ЛАДА D.7/2.б/з фальц.</v>
      </c>
      <c r="BK276" s="750" t="s">
        <v>5935</v>
      </c>
      <c r="BL276" s="62" t="s">
        <v>1836</v>
      </c>
      <c r="BM276" s="139" t="str">
        <f t="shared" si="210"/>
        <v>Лиштва пряма 80мм.Лофт</v>
      </c>
      <c r="BS276" s="49" t="s">
        <v>673</v>
      </c>
      <c r="BT276" s="41" t="s">
        <v>4086</v>
      </c>
      <c r="BU276" s="70" t="str">
        <f t="shared" si="214"/>
        <v>ДП ПОЛЛО.3А/5.Масив</v>
      </c>
      <c r="BW276" s="251" t="s">
        <v>2499</v>
      </c>
      <c r="BX276" s="770" t="s">
        <v>4106</v>
      </c>
      <c r="BY276" s="138" t="str">
        <f t="shared" ref="BY276:BY281" si="216">CONCATENATE(BW276,".",BX276)</f>
        <v>ДП Ніка.1/0.(ні)</v>
      </c>
      <c r="CA276" s="146" t="s">
        <v>3259</v>
      </c>
      <c r="CB276" s="783" t="s">
        <v>5755</v>
      </c>
      <c r="CC276" s="138" t="str">
        <f t="shared" si="215"/>
        <v>ДП ЛАДА A.фальц,.робоча..Stand цл Пр +3завіс</v>
      </c>
      <c r="CE276" s="86" t="s">
        <v>3332</v>
      </c>
      <c r="CF276" s="56"/>
      <c r="CG276" s="70" t="str">
        <f>CONCATENATE(CE276,".",CF276)</f>
        <v>ДП Елегант.фальц.неробоча.</v>
      </c>
      <c r="DD276" s="740" t="s">
        <v>5118</v>
      </c>
      <c r="DE276" s="166">
        <v>8470</v>
      </c>
      <c r="DF276" s="528">
        <f t="shared" si="194"/>
        <v>8470</v>
      </c>
      <c r="DG276" s="523"/>
      <c r="DH276" s="530">
        <f t="shared" si="195"/>
        <v>8470</v>
      </c>
      <c r="DP276" s="738" t="s">
        <v>3912</v>
      </c>
      <c r="DQ276" s="166">
        <v>550</v>
      </c>
      <c r="DR276" s="522">
        <f t="shared" si="207"/>
        <v>550</v>
      </c>
      <c r="DS276" s="523"/>
      <c r="DT276" s="524">
        <f t="shared" si="208"/>
        <v>550</v>
      </c>
      <c r="DU276" s="166"/>
      <c r="DV276" s="738" t="s">
        <v>4530</v>
      </c>
      <c r="DW276" s="166">
        <v>80</v>
      </c>
      <c r="DX276" s="522">
        <f t="shared" si="199"/>
        <v>80</v>
      </c>
      <c r="DY276" s="523"/>
      <c r="DZ276" s="524">
        <f t="shared" si="200"/>
        <v>80</v>
      </c>
      <c r="EG276" s="165"/>
      <c r="EH276" s="739" t="s">
        <v>3592</v>
      </c>
      <c r="EI276" s="164">
        <v>1700</v>
      </c>
      <c r="EJ276" s="531">
        <f>ROUND(((EI276-(EI276/6))/$DD$3)*$DE$3,2)</f>
        <v>1700</v>
      </c>
      <c r="EK276" s="526"/>
      <c r="EL276" s="527">
        <f>IF(EK276="",EJ276,
IF(AND($EI$10&gt;=VLOOKUP(EK276,$EH$5:$EL$9,2,0),$EI$10&lt;=VLOOKUP(EK276,$EH$5:$EL$9,3,0)),
(EJ276*(1-VLOOKUP(EK276,$EH$5:$EL$9,4,0))),
EJ276))</f>
        <v>1700</v>
      </c>
    </row>
    <row r="277" spans="12:142">
      <c r="L277" s="752" t="s">
        <v>3025</v>
      </c>
      <c r="M277" s="151" t="s">
        <v>3018</v>
      </c>
      <c r="N277" s="435" t="s">
        <v>3019</v>
      </c>
      <c r="O277" s="819" t="s">
        <v>728</v>
      </c>
      <c r="P277" s="21"/>
      <c r="Q277" s="752" t="s">
        <v>3025</v>
      </c>
      <c r="R277" s="151" t="s">
        <v>1703</v>
      </c>
      <c r="S277" s="159" t="s">
        <v>1714</v>
      </c>
      <c r="AU277" s="45" t="s">
        <v>550</v>
      </c>
      <c r="AV277" s="47" t="s">
        <v>528</v>
      </c>
      <c r="AW277" s="70" t="str">
        <f t="shared" si="198"/>
        <v>РС Verto-SLIDE.1</v>
      </c>
      <c r="AY277" s="224" t="s">
        <v>1377</v>
      </c>
      <c r="AZ277" s="62" t="s">
        <v>1724</v>
      </c>
      <c r="BA277" s="139" t="str">
        <f t="shared" si="205"/>
        <v>ДП ЛАДА D.7/2.купе.</v>
      </c>
      <c r="BK277" s="142" t="s">
        <v>2137</v>
      </c>
      <c r="BL277" s="134" t="s">
        <v>4904</v>
      </c>
      <c r="BM277" s="135" t="str">
        <f t="shared" si="210"/>
        <v>Планка добірна 60мм.Сімплекс</v>
      </c>
      <c r="BS277" s="49" t="s">
        <v>676</v>
      </c>
      <c r="BT277" s="41" t="s">
        <v>4086</v>
      </c>
      <c r="BU277" s="70" t="str">
        <f t="shared" si="214"/>
        <v>ДП ПОЛЛО.4/3.Масив</v>
      </c>
      <c r="BW277" s="251" t="s">
        <v>2500</v>
      </c>
      <c r="BX277" s="246" t="s">
        <v>458</v>
      </c>
      <c r="BY277" s="135" t="str">
        <f t="shared" si="216"/>
        <v>ДП Ніка.1/1.Сатин</v>
      </c>
      <c r="CA277" s="146" t="s">
        <v>3259</v>
      </c>
      <c r="CB277" s="783" t="s">
        <v>5756</v>
      </c>
      <c r="CC277" s="138" t="str">
        <f t="shared" si="215"/>
        <v>ДП ЛАДА A.фальц,.робоча..Stand кл Лів +3завіс</v>
      </c>
      <c r="CE277" s="479"/>
      <c r="CF277" s="427"/>
      <c r="CG277" s="428"/>
      <c r="DD277" s="740" t="s">
        <v>5119</v>
      </c>
      <c r="DE277" s="166">
        <v>8470</v>
      </c>
      <c r="DF277" s="528">
        <f t="shared" si="194"/>
        <v>8470</v>
      </c>
      <c r="DG277" s="523"/>
      <c r="DH277" s="530">
        <f t="shared" si="195"/>
        <v>8470</v>
      </c>
      <c r="DP277" s="108" t="s">
        <v>1656</v>
      </c>
      <c r="DQ277" s="164">
        <v>550</v>
      </c>
      <c r="DR277" s="531">
        <f t="shared" si="207"/>
        <v>550</v>
      </c>
      <c r="DS277" s="526"/>
      <c r="DT277" s="527">
        <f t="shared" si="208"/>
        <v>550</v>
      </c>
      <c r="DU277" s="166"/>
      <c r="DV277" s="738" t="s">
        <v>4531</v>
      </c>
      <c r="DW277" s="166">
        <v>80</v>
      </c>
      <c r="DX277" s="522">
        <f t="shared" si="199"/>
        <v>80</v>
      </c>
      <c r="DY277" s="523"/>
      <c r="DZ277" s="524">
        <f t="shared" si="200"/>
        <v>80</v>
      </c>
      <c r="EG277" s="165"/>
      <c r="EH277" s="738" t="s">
        <v>3593</v>
      </c>
      <c r="EI277" s="166">
        <v>0</v>
      </c>
      <c r="EJ277" s="522">
        <f t="shared" si="212"/>
        <v>0</v>
      </c>
      <c r="EK277" s="523"/>
      <c r="EL277" s="524">
        <f t="shared" si="213"/>
        <v>0</v>
      </c>
    </row>
    <row r="278" spans="12:142">
      <c r="L278" s="752" t="s">
        <v>3026</v>
      </c>
      <c r="M278" s="151" t="s">
        <v>3018</v>
      </c>
      <c r="N278" s="435" t="s">
        <v>3019</v>
      </c>
      <c r="O278" s="819" t="s">
        <v>728</v>
      </c>
      <c r="P278" s="21"/>
      <c r="Q278" s="752" t="s">
        <v>3026</v>
      </c>
      <c r="R278" s="151" t="s">
        <v>1704</v>
      </c>
      <c r="S278" s="159" t="s">
        <v>1715</v>
      </c>
      <c r="AU278" s="45" t="s">
        <v>553</v>
      </c>
      <c r="AV278" s="47" t="s">
        <v>528</v>
      </c>
      <c r="AW278" s="70" t="str">
        <f t="shared" si="198"/>
        <v>ФР Standard.1</v>
      </c>
      <c r="AY278" s="432"/>
      <c r="AZ278" s="222"/>
      <c r="BA278" s="223"/>
      <c r="BK278" s="143" t="s">
        <v>2137</v>
      </c>
      <c r="BL278" s="137" t="s">
        <v>409</v>
      </c>
      <c r="BM278" s="138" t="str">
        <f t="shared" si="210"/>
        <v>Планка добірна 60мм.Verto-Cell</v>
      </c>
      <c r="BS278" s="426"/>
      <c r="BT278" s="427"/>
      <c r="BU278" s="428"/>
      <c r="BW278" s="250" t="s">
        <v>2500</v>
      </c>
      <c r="BX278" s="770" t="s">
        <v>3851</v>
      </c>
      <c r="BY278" s="138" t="str">
        <f t="shared" si="216"/>
        <v>ДП Ніка.1/1.Графіт</v>
      </c>
      <c r="CA278" s="146" t="s">
        <v>3259</v>
      </c>
      <c r="CB278" s="783" t="s">
        <v>5757</v>
      </c>
      <c r="CC278" s="138" t="str">
        <f t="shared" si="215"/>
        <v>ДП ЛАДА A.фальц,.робоча..Stand кл Пр +3завіс</v>
      </c>
      <c r="CE278" s="742" t="s">
        <v>4085</v>
      </c>
      <c r="CF278" s="62"/>
      <c r="CG278" s="138" t="str">
        <f>CONCATENATE(CE278,".",CF278)</f>
        <v>ДП ГЛАСФОРД.Скло.робоча..</v>
      </c>
      <c r="DD278" s="740" t="s">
        <v>5120</v>
      </c>
      <c r="DE278" s="166">
        <v>8470</v>
      </c>
      <c r="DF278" s="528">
        <f t="shared" si="194"/>
        <v>8470</v>
      </c>
      <c r="DG278" s="523"/>
      <c r="DH278" s="530">
        <f t="shared" si="195"/>
        <v>8470</v>
      </c>
      <c r="DP278" s="165" t="s">
        <v>1616</v>
      </c>
      <c r="DQ278" s="166">
        <v>0</v>
      </c>
      <c r="DR278" s="522">
        <f t="shared" si="207"/>
        <v>0</v>
      </c>
      <c r="DS278" s="523"/>
      <c r="DT278" s="524">
        <f t="shared" si="208"/>
        <v>0</v>
      </c>
      <c r="DU278" s="166"/>
      <c r="DV278" s="739" t="s">
        <v>4532</v>
      </c>
      <c r="DW278" s="164">
        <v>80</v>
      </c>
      <c r="DX278" s="531">
        <f>ROUND(((DW278-(DW278/6))/$DD$3)*$DE$3,2)</f>
        <v>80</v>
      </c>
      <c r="DY278" s="526"/>
      <c r="DZ278" s="527">
        <f>IF(DY278="",DX278,
IF(AND($DW$10&gt;=VLOOKUP(DY278,$DV$5:$DZ$9,2,0),$DW$10&lt;=VLOOKUP(DY278,$DV$5:$DZ$9,3,0)),
(DX278*(1-VLOOKUP(DY278,$DV$5:$DZ$9,4,0))),
DX278))</f>
        <v>80</v>
      </c>
      <c r="EG278" s="165"/>
      <c r="EH278" s="739" t="s">
        <v>3594</v>
      </c>
      <c r="EI278" s="164">
        <v>1800</v>
      </c>
      <c r="EJ278" s="531">
        <f t="shared" si="212"/>
        <v>1800</v>
      </c>
      <c r="EK278" s="526"/>
      <c r="EL278" s="527">
        <f t="shared" si="213"/>
        <v>1800</v>
      </c>
    </row>
    <row r="279" spans="12:142">
      <c r="L279" s="752" t="s">
        <v>3027</v>
      </c>
      <c r="M279" s="151" t="s">
        <v>3018</v>
      </c>
      <c r="N279" s="435" t="s">
        <v>3019</v>
      </c>
      <c r="O279" s="819" t="s">
        <v>728</v>
      </c>
      <c r="P279" s="21"/>
      <c r="Q279" s="752" t="s">
        <v>3027</v>
      </c>
      <c r="R279" s="151" t="s">
        <v>1705</v>
      </c>
      <c r="S279" s="159" t="s">
        <v>1716</v>
      </c>
      <c r="AU279" s="142" t="s">
        <v>554</v>
      </c>
      <c r="AV279" s="156" t="s">
        <v>469</v>
      </c>
      <c r="AW279" s="135" t="str">
        <f t="shared" si="198"/>
        <v>ФР Verto-FIT.A</v>
      </c>
      <c r="AY279" s="250" t="s">
        <v>2499</v>
      </c>
      <c r="AZ279" s="137" t="s">
        <v>1722</v>
      </c>
      <c r="BA279" s="138" t="str">
        <f t="shared" ref="BA279:BA317" si="217">CONCATENATE(AY279,".",AZ279)</f>
        <v>ДП Ніка.1/0.фальц.</v>
      </c>
      <c r="BK279" s="143" t="s">
        <v>2137</v>
      </c>
      <c r="BL279" s="137"/>
      <c r="BM279" s="138" t="str">
        <f t="shared" si="210"/>
        <v>Планка добірна 60мм.</v>
      </c>
      <c r="BS279" s="746" t="s">
        <v>2938</v>
      </c>
      <c r="BT279" s="101" t="s">
        <v>4066</v>
      </c>
      <c r="BU279" s="135" t="str">
        <f>CONCATENATE(BS279,".",BT279)</f>
        <v>ДП Лінея.1.Сотове</v>
      </c>
      <c r="BW279" s="249" t="s">
        <v>2500</v>
      </c>
      <c r="BX279" s="248" t="s">
        <v>832</v>
      </c>
      <c r="BY279" s="139" t="str">
        <f t="shared" si="216"/>
        <v>ДП Ніка.1/1.Бронза</v>
      </c>
      <c r="CA279" s="146" t="s">
        <v>3259</v>
      </c>
      <c r="CB279" s="783" t="s">
        <v>5758</v>
      </c>
      <c r="CC279" s="138" t="str">
        <f t="shared" si="215"/>
        <v>ДП ЛАДА A.фальц,.робоча..Stand ст Лів +3завіс</v>
      </c>
      <c r="CE279" s="228"/>
      <c r="CF279" s="222"/>
      <c r="CG279" s="223"/>
      <c r="DD279" s="740" t="s">
        <v>5121</v>
      </c>
      <c r="DE279" s="166">
        <v>8470</v>
      </c>
      <c r="DF279" s="528">
        <f t="shared" si="194"/>
        <v>8470</v>
      </c>
      <c r="DG279" s="523"/>
      <c r="DH279" s="530">
        <f t="shared" si="195"/>
        <v>8470</v>
      </c>
      <c r="DP279" s="738" t="s">
        <v>3913</v>
      </c>
      <c r="DQ279" s="166">
        <v>550</v>
      </c>
      <c r="DR279" s="522">
        <f t="shared" si="207"/>
        <v>550</v>
      </c>
      <c r="DS279" s="523"/>
      <c r="DT279" s="524">
        <f t="shared" si="208"/>
        <v>550</v>
      </c>
      <c r="DU279" s="166"/>
      <c r="DV279" s="739" t="s">
        <v>6260</v>
      </c>
      <c r="DW279" s="164">
        <v>80</v>
      </c>
      <c r="DX279" s="531">
        <f t="shared" si="199"/>
        <v>80</v>
      </c>
      <c r="DY279" s="526"/>
      <c r="DZ279" s="527">
        <f t="shared" si="200"/>
        <v>80</v>
      </c>
      <c r="EG279" s="165"/>
      <c r="EH279" s="738" t="s">
        <v>3595</v>
      </c>
      <c r="EI279" s="166">
        <v>0</v>
      </c>
      <c r="EJ279" s="522">
        <f t="shared" si="212"/>
        <v>0</v>
      </c>
      <c r="EK279" s="523"/>
      <c r="EL279" s="524">
        <f t="shared" si="213"/>
        <v>0</v>
      </c>
    </row>
    <row r="280" spans="12:142">
      <c r="L280" s="752" t="s">
        <v>3028</v>
      </c>
      <c r="M280" s="151" t="s">
        <v>3018</v>
      </c>
      <c r="N280" s="435" t="s">
        <v>3019</v>
      </c>
      <c r="O280" s="819" t="s">
        <v>728</v>
      </c>
      <c r="P280" s="21"/>
      <c r="Q280" s="752" t="s">
        <v>3028</v>
      </c>
      <c r="R280" s="151" t="s">
        <v>1706</v>
      </c>
      <c r="S280" s="159" t="s">
        <v>1717</v>
      </c>
      <c r="AU280" s="143" t="s">
        <v>554</v>
      </c>
      <c r="AV280" s="157" t="s">
        <v>470</v>
      </c>
      <c r="AW280" s="138" t="str">
        <f t="shared" si="198"/>
        <v>ФР Verto-FIT.B</v>
      </c>
      <c r="AY280" s="250" t="s">
        <v>2499</v>
      </c>
      <c r="AZ280" s="137" t="s">
        <v>1723</v>
      </c>
      <c r="BA280" s="138" t="str">
        <f t="shared" si="217"/>
        <v>ДП Ніка.1/0.б/з фальц.</v>
      </c>
      <c r="BK280" s="143" t="s">
        <v>2137</v>
      </c>
      <c r="BL280" s="137" t="s">
        <v>1893</v>
      </c>
      <c r="BM280" s="138" t="str">
        <f t="shared" si="210"/>
        <v>Планка добірна 60мм.Uni-Mat</v>
      </c>
      <c r="BS280" s="424" t="s">
        <v>2938</v>
      </c>
      <c r="BT280" s="254" t="s">
        <v>316</v>
      </c>
      <c r="BU280" s="139" t="str">
        <f>CONCATENATE(BS280,".",BT280)</f>
        <v>ДП Лінея.1.ДСП тр.</v>
      </c>
      <c r="BW280" s="249" t="s">
        <v>2500</v>
      </c>
      <c r="BX280" s="248" t="s">
        <v>832</v>
      </c>
      <c r="BY280" s="139" t="str">
        <f t="shared" si="216"/>
        <v>ДП Ніка.1/1.Бронза</v>
      </c>
      <c r="CA280" s="146" t="s">
        <v>3259</v>
      </c>
      <c r="CB280" s="783" t="s">
        <v>5759</v>
      </c>
      <c r="CC280" s="138" t="str">
        <f t="shared" si="215"/>
        <v>ДП ЛАДА A.фальц,.робоча..Stand ст Пр +3завіс</v>
      </c>
      <c r="CE280" s="742" t="s">
        <v>3333</v>
      </c>
      <c r="CF280" s="62"/>
      <c r="CG280" s="138" t="str">
        <f>CONCATENATE(CE280,".",CF280)</f>
        <v>ДП Добір.фальц...неробоча...</v>
      </c>
      <c r="DD280" s="740" t="s">
        <v>5122</v>
      </c>
      <c r="DE280" s="166">
        <v>8470</v>
      </c>
      <c r="DF280" s="528">
        <f t="shared" si="194"/>
        <v>8470</v>
      </c>
      <c r="DG280" s="523"/>
      <c r="DH280" s="530">
        <f t="shared" si="195"/>
        <v>8470</v>
      </c>
      <c r="DP280" s="108" t="s">
        <v>1655</v>
      </c>
      <c r="DQ280" s="164">
        <v>550</v>
      </c>
      <c r="DR280" s="531">
        <f t="shared" si="207"/>
        <v>550</v>
      </c>
      <c r="DS280" s="526"/>
      <c r="DT280" s="527">
        <f t="shared" si="208"/>
        <v>550</v>
      </c>
      <c r="DU280" s="166"/>
      <c r="DV280" s="738" t="s">
        <v>4533</v>
      </c>
      <c r="DW280" s="166">
        <v>800.00000000000011</v>
      </c>
      <c r="DX280" s="522">
        <f t="shared" ref="DX280:DX285" si="218">ROUND(((DW280-(DW280/6))/$DD$3)*$DE$3,2)</f>
        <v>800</v>
      </c>
      <c r="DY280" s="523"/>
      <c r="DZ280" s="524">
        <f t="shared" ref="DZ280:DZ285" si="219">IF(DY280="",DX280,
IF(AND($DW$10&gt;=VLOOKUP(DY280,$DV$5:$DZ$9,2,0),$DW$10&lt;=VLOOKUP(DY280,$DV$5:$DZ$9,3,0)),
(DX280*(1-VLOOKUP(DY280,$DV$5:$DZ$9,4,0))),
DX280))</f>
        <v>800</v>
      </c>
      <c r="EG280" s="165"/>
      <c r="EH280" s="739" t="s">
        <v>3596</v>
      </c>
      <c r="EI280" s="164">
        <v>1920</v>
      </c>
      <c r="EJ280" s="531">
        <f t="shared" si="212"/>
        <v>1920</v>
      </c>
      <c r="EK280" s="526"/>
      <c r="EL280" s="527">
        <f t="shared" si="213"/>
        <v>1920</v>
      </c>
    </row>
    <row r="281" spans="12:142">
      <c r="L281" s="750" t="s">
        <v>3029</v>
      </c>
      <c r="M281" s="152" t="s">
        <v>3018</v>
      </c>
      <c r="N281" s="599" t="s">
        <v>3019</v>
      </c>
      <c r="O281" s="422" t="s">
        <v>728</v>
      </c>
      <c r="P281" s="21"/>
      <c r="Q281" s="750" t="s">
        <v>3029</v>
      </c>
      <c r="R281" s="152" t="s">
        <v>1707</v>
      </c>
      <c r="S281" s="160" t="s">
        <v>1718</v>
      </c>
      <c r="AU281" s="143" t="s">
        <v>554</v>
      </c>
      <c r="AV281" s="542" t="s">
        <v>1184</v>
      </c>
      <c r="AW281" s="138" t="str">
        <f>CONCATENATE(AU281,".",AV281)</f>
        <v>ФР Verto-FIT.B+</v>
      </c>
      <c r="AY281" s="249" t="s">
        <v>2499</v>
      </c>
      <c r="AZ281" s="62" t="s">
        <v>1724</v>
      </c>
      <c r="BA281" s="139" t="str">
        <f t="shared" si="217"/>
        <v>ДП Ніка.1/0.купе.</v>
      </c>
      <c r="BK281" s="143" t="s">
        <v>2137</v>
      </c>
      <c r="BL281" s="137" t="s">
        <v>557</v>
      </c>
      <c r="BM281" s="138" t="str">
        <f t="shared" si="210"/>
        <v>Планка добірна 60мм.Резист</v>
      </c>
      <c r="BS281" s="746" t="s">
        <v>2939</v>
      </c>
      <c r="BT281" s="101" t="s">
        <v>4066</v>
      </c>
      <c r="BU281" s="135" t="str">
        <f>CONCATENATE(BS281,".",BT281)</f>
        <v>ДП Лінея.3.Сотове</v>
      </c>
      <c r="BW281" s="249" t="s">
        <v>2500</v>
      </c>
      <c r="BX281" s="248" t="s">
        <v>6046</v>
      </c>
      <c r="BY281" s="139" t="str">
        <f t="shared" si="216"/>
        <v>ДП Ніка.1/1.Лакобель</v>
      </c>
      <c r="CA281" s="146" t="s">
        <v>3259</v>
      </c>
      <c r="CC281" s="138"/>
      <c r="CE281" s="228"/>
      <c r="CF281" s="222"/>
      <c r="CG281" s="223"/>
      <c r="DD281" s="740" t="s">
        <v>5123</v>
      </c>
      <c r="DE281" s="166">
        <v>8470</v>
      </c>
      <c r="DF281" s="528">
        <f t="shared" si="194"/>
        <v>8470</v>
      </c>
      <c r="DG281" s="523"/>
      <c r="DH281" s="530">
        <f t="shared" si="195"/>
        <v>8470</v>
      </c>
      <c r="DP281" s="165" t="s">
        <v>1617</v>
      </c>
      <c r="DQ281" s="166">
        <v>0</v>
      </c>
      <c r="DR281" s="522">
        <f t="shared" si="207"/>
        <v>0</v>
      </c>
      <c r="DS281" s="523"/>
      <c r="DT281" s="524">
        <f t="shared" si="208"/>
        <v>0</v>
      </c>
      <c r="DU281" s="166"/>
      <c r="DV281" s="738" t="s">
        <v>4534</v>
      </c>
      <c r="DW281" s="166">
        <v>800.00000000000011</v>
      </c>
      <c r="DX281" s="522">
        <f t="shared" si="218"/>
        <v>800</v>
      </c>
      <c r="DY281" s="523"/>
      <c r="DZ281" s="524">
        <f t="shared" si="219"/>
        <v>800</v>
      </c>
      <c r="EG281" s="165"/>
      <c r="EH281" s="738" t="s">
        <v>5124</v>
      </c>
      <c r="EI281" s="166">
        <v>0</v>
      </c>
      <c r="EJ281" s="522">
        <f>ROUND(((EI281-(EI281/6))/$DD$3)*$DE$3,2)</f>
        <v>0</v>
      </c>
      <c r="EK281" s="523"/>
      <c r="EL281" s="524">
        <f>IF(EK281="",EJ281,
IF(AND($EI$10&gt;=VLOOKUP(EK281,$EH$5:$EL$9,2,0),$EI$10&lt;=VLOOKUP(EK281,$EH$5:$EL$9,3,0)),
(EJ281*(1-VLOOKUP(EK281,$EH$5:$EL$9,4,0))),
EJ281))</f>
        <v>0</v>
      </c>
    </row>
    <row r="282" spans="12:142">
      <c r="L282" s="49"/>
      <c r="M282" s="48"/>
      <c r="N282" s="94"/>
      <c r="O282" s="423"/>
      <c r="P282" s="21"/>
      <c r="Q282" s="49"/>
      <c r="R282" s="98"/>
      <c r="S282" s="94"/>
      <c r="AU282" s="143" t="s">
        <v>554</v>
      </c>
      <c r="AV282" s="157" t="s">
        <v>471</v>
      </c>
      <c r="AW282" s="138" t="str">
        <f t="shared" si="198"/>
        <v>ФР Verto-FIT.C</v>
      </c>
      <c r="AY282" s="250" t="s">
        <v>2500</v>
      </c>
      <c r="AZ282" s="137" t="s">
        <v>1722</v>
      </c>
      <c r="BA282" s="138" t="str">
        <f t="shared" si="217"/>
        <v>ДП Ніка.1/1.фальц.</v>
      </c>
      <c r="BK282" s="143" t="s">
        <v>2137</v>
      </c>
      <c r="BL282" s="137" t="s">
        <v>62</v>
      </c>
      <c r="BM282" s="138" t="str">
        <f t="shared" si="210"/>
        <v>Планка добірна 60мм.LINE-3D</v>
      </c>
      <c r="BS282" s="424" t="s">
        <v>2939</v>
      </c>
      <c r="BT282" s="254" t="s">
        <v>316</v>
      </c>
      <c r="BU282" s="139" t="str">
        <f>CONCATENATE(BS282,".",BT282)</f>
        <v>ДП Лінея.3.ДСП тр.</v>
      </c>
      <c r="BW282" s="251" t="s">
        <v>2501</v>
      </c>
      <c r="BX282" s="246" t="s">
        <v>458</v>
      </c>
      <c r="BY282" s="135" t="str">
        <f t="shared" ref="BY282:BY324" si="220">CONCATENATE(BW282,".",BX282)</f>
        <v>ДП Ніка.1/2.Сатин</v>
      </c>
      <c r="CA282" s="146" t="s">
        <v>3259</v>
      </c>
      <c r="CB282" s="137" t="s">
        <v>4304</v>
      </c>
      <c r="CC282" s="138" t="str">
        <f>CONCATENATE(CA282,".",CB282)</f>
        <v>ДП ЛАДА A.фальц,.робоча..Soft цл +3завіс</v>
      </c>
      <c r="CE282" s="742" t="s">
        <v>3334</v>
      </c>
      <c r="CF282" s="62"/>
      <c r="CG282" s="138" t="str">
        <f>CONCATENATE(CE282,".",CF282)</f>
        <v>ДП Добір-ЛАДА.фальц...неробоча...</v>
      </c>
      <c r="DD282" s="740" t="s">
        <v>5125</v>
      </c>
      <c r="DE282" s="166">
        <v>8850</v>
      </c>
      <c r="DF282" s="528">
        <f t="shared" si="194"/>
        <v>8850</v>
      </c>
      <c r="DG282" s="523"/>
      <c r="DH282" s="530">
        <f t="shared" si="195"/>
        <v>8850</v>
      </c>
      <c r="DP282" s="738" t="s">
        <v>3914</v>
      </c>
      <c r="DQ282" s="166">
        <v>550</v>
      </c>
      <c r="DR282" s="522">
        <f t="shared" si="207"/>
        <v>550</v>
      </c>
      <c r="DS282" s="523"/>
      <c r="DT282" s="524">
        <f t="shared" si="208"/>
        <v>550</v>
      </c>
      <c r="DU282" s="166"/>
      <c r="DV282" s="738" t="s">
        <v>4535</v>
      </c>
      <c r="DW282" s="166">
        <v>800.00000000000011</v>
      </c>
      <c r="DX282" s="522">
        <f t="shared" si="218"/>
        <v>800</v>
      </c>
      <c r="DY282" s="523"/>
      <c r="DZ282" s="524">
        <f t="shared" si="219"/>
        <v>800</v>
      </c>
      <c r="EG282" s="165"/>
      <c r="EH282" s="739" t="s">
        <v>5126</v>
      </c>
      <c r="EI282" s="164">
        <v>2060</v>
      </c>
      <c r="EJ282" s="531">
        <f>ROUND(((EI282-(EI282/6))/$DD$3)*$DE$3,2)</f>
        <v>2060</v>
      </c>
      <c r="EK282" s="526"/>
      <c r="EL282" s="527">
        <f>IF(EK282="",EJ282,
IF(AND($EI$10&gt;=VLOOKUP(EK282,$EH$5:$EL$9,2,0),$EI$10&lt;=VLOOKUP(EK282,$EH$5:$EL$9,3,0)),
(EJ282*(1-VLOOKUP(EK282,$EH$5:$EL$9,4,0))),
EJ282))</f>
        <v>2060</v>
      </c>
    </row>
    <row r="283" spans="12:142">
      <c r="L283" s="552"/>
      <c r="M283" s="553"/>
      <c r="N283" s="553"/>
      <c r="O283" s="553"/>
      <c r="P283" s="553"/>
      <c r="Q283" s="553"/>
      <c r="R283" s="553"/>
      <c r="S283" s="553"/>
      <c r="AU283" s="143" t="s">
        <v>554</v>
      </c>
      <c r="AV283" s="157" t="s">
        <v>472</v>
      </c>
      <c r="AW283" s="138" t="str">
        <f t="shared" si="198"/>
        <v>ФР Verto-FIT.D</v>
      </c>
      <c r="AY283" s="250" t="s">
        <v>2500</v>
      </c>
      <c r="AZ283" s="137" t="s">
        <v>1723</v>
      </c>
      <c r="BA283" s="138" t="str">
        <f t="shared" si="217"/>
        <v>ДП Ніка.1/1.б/з фальц.</v>
      </c>
      <c r="BK283" s="143" t="s">
        <v>2137</v>
      </c>
      <c r="BL283" s="137" t="s">
        <v>5071</v>
      </c>
      <c r="BM283" s="138" t="str">
        <f t="shared" si="210"/>
        <v>Планка добірна 60мм.Е-шпон</v>
      </c>
      <c r="BS283" s="86" t="s">
        <v>2940</v>
      </c>
      <c r="BT283" s="41" t="s">
        <v>4086</v>
      </c>
      <c r="BU283" s="70" t="str">
        <f>CONCATENATE(BS283,".",BT283)</f>
        <v>ДП Лінея.4.Масив</v>
      </c>
      <c r="BW283" s="250" t="s">
        <v>2501</v>
      </c>
      <c r="BX283" s="770" t="s">
        <v>3851</v>
      </c>
      <c r="BY283" s="138" t="str">
        <f t="shared" si="220"/>
        <v>ДП Ніка.1/2.Графіт</v>
      </c>
      <c r="CA283" s="146" t="s">
        <v>3259</v>
      </c>
      <c r="CB283" s="137" t="s">
        <v>4307</v>
      </c>
      <c r="CC283" s="138" t="str">
        <f>CONCATENATE(CA283,".",CB283)</f>
        <v>ДП ЛАДА A.фальц,.робоча..Soft ст +3завіс</v>
      </c>
      <c r="CE283" s="228"/>
      <c r="CF283" s="222"/>
      <c r="CG283" s="223"/>
      <c r="DD283" s="740" t="s">
        <v>5127</v>
      </c>
      <c r="DE283" s="166">
        <v>8850</v>
      </c>
      <c r="DF283" s="528">
        <f t="shared" si="194"/>
        <v>8850</v>
      </c>
      <c r="DG283" s="523"/>
      <c r="DH283" s="530">
        <f t="shared" si="195"/>
        <v>8850</v>
      </c>
      <c r="DP283" s="108" t="s">
        <v>1654</v>
      </c>
      <c r="DQ283" s="164">
        <v>550</v>
      </c>
      <c r="DR283" s="531">
        <f t="shared" si="207"/>
        <v>550</v>
      </c>
      <c r="DS283" s="526"/>
      <c r="DT283" s="527">
        <f t="shared" si="208"/>
        <v>550</v>
      </c>
      <c r="DU283" s="166"/>
      <c r="DV283" s="738" t="s">
        <v>4536</v>
      </c>
      <c r="DW283" s="166">
        <v>800.00000000000011</v>
      </c>
      <c r="DX283" s="522">
        <f t="shared" si="218"/>
        <v>800</v>
      </c>
      <c r="DY283" s="523"/>
      <c r="DZ283" s="524">
        <f t="shared" si="219"/>
        <v>800</v>
      </c>
      <c r="EG283" s="165"/>
      <c r="EH283" s="738" t="s">
        <v>3597</v>
      </c>
      <c r="EI283" s="166">
        <v>0</v>
      </c>
      <c r="EJ283" s="522">
        <f t="shared" si="212"/>
        <v>0</v>
      </c>
      <c r="EK283" s="523"/>
      <c r="EL283" s="524">
        <f t="shared" si="213"/>
        <v>0</v>
      </c>
    </row>
    <row r="284" spans="12:142">
      <c r="L284" s="49"/>
      <c r="M284" s="48"/>
      <c r="N284" s="94"/>
      <c r="O284" s="423"/>
      <c r="P284" s="21"/>
      <c r="Q284" s="49"/>
      <c r="R284" s="98"/>
      <c r="S284" s="94"/>
      <c r="AU284" s="143" t="s">
        <v>554</v>
      </c>
      <c r="AV284" s="157" t="s">
        <v>473</v>
      </c>
      <c r="AW284" s="138" t="str">
        <f t="shared" si="198"/>
        <v>ФР Verto-FIT.E</v>
      </c>
      <c r="AY284" s="249" t="s">
        <v>2500</v>
      </c>
      <c r="AZ284" s="62" t="s">
        <v>1724</v>
      </c>
      <c r="BA284" s="139" t="str">
        <f t="shared" si="217"/>
        <v>ДП Ніка.1/1.купе.</v>
      </c>
      <c r="BK284" s="144" t="s">
        <v>2137</v>
      </c>
      <c r="BL284" s="62" t="s">
        <v>1836</v>
      </c>
      <c r="BM284" s="139" t="str">
        <f t="shared" si="210"/>
        <v>Планка добірна 60мм.Лофт</v>
      </c>
      <c r="BS284" s="426"/>
      <c r="BT284" s="427"/>
      <c r="BU284" s="428"/>
      <c r="BW284" s="249" t="s">
        <v>2501</v>
      </c>
      <c r="BX284" s="248" t="s">
        <v>832</v>
      </c>
      <c r="BY284" s="139" t="str">
        <f t="shared" si="220"/>
        <v>ДП Ніка.1/2.Бронза</v>
      </c>
      <c r="CA284" s="146" t="s">
        <v>3259</v>
      </c>
      <c r="CB284" s="21"/>
      <c r="CC284" s="21"/>
      <c r="CE284" s="48"/>
      <c r="CF284" s="48"/>
      <c r="CG284" s="70"/>
      <c r="DD284" s="740" t="s">
        <v>5128</v>
      </c>
      <c r="DE284" s="166">
        <v>8850</v>
      </c>
      <c r="DF284" s="528">
        <f t="shared" si="194"/>
        <v>8850</v>
      </c>
      <c r="DG284" s="523"/>
      <c r="DH284" s="530">
        <f t="shared" si="195"/>
        <v>8850</v>
      </c>
      <c r="DP284" s="165" t="s">
        <v>1618</v>
      </c>
      <c r="DQ284" s="166">
        <v>0</v>
      </c>
      <c r="DR284" s="522">
        <f t="shared" si="207"/>
        <v>0</v>
      </c>
      <c r="DS284" s="523"/>
      <c r="DT284" s="524">
        <f t="shared" si="208"/>
        <v>0</v>
      </c>
      <c r="DU284" s="166"/>
      <c r="DV284" s="738" t="s">
        <v>4537</v>
      </c>
      <c r="DW284" s="166">
        <v>800.00000000000011</v>
      </c>
      <c r="DX284" s="522">
        <f t="shared" si="218"/>
        <v>800</v>
      </c>
      <c r="DY284" s="523"/>
      <c r="DZ284" s="524">
        <f t="shared" si="219"/>
        <v>800</v>
      </c>
      <c r="EG284" s="165"/>
      <c r="EH284" s="739" t="s">
        <v>3598</v>
      </c>
      <c r="EI284" s="164">
        <v>2060</v>
      </c>
      <c r="EJ284" s="531">
        <f t="shared" si="212"/>
        <v>2060</v>
      </c>
      <c r="EK284" s="526"/>
      <c r="EL284" s="527">
        <f t="shared" si="213"/>
        <v>2060</v>
      </c>
    </row>
    <row r="285" spans="12:142">
      <c r="L285" s="153" t="s">
        <v>902</v>
      </c>
      <c r="M285" s="817" t="s">
        <v>903</v>
      </c>
      <c r="N285" s="100" t="s">
        <v>2102</v>
      </c>
      <c r="O285" s="818" t="s">
        <v>729</v>
      </c>
      <c r="P285" s="21"/>
      <c r="Q285" s="153" t="s">
        <v>902</v>
      </c>
      <c r="R285" s="101" t="s">
        <v>159</v>
      </c>
      <c r="S285" s="100" t="s">
        <v>1024</v>
      </c>
      <c r="AU285" s="143" t="s">
        <v>554</v>
      </c>
      <c r="AV285" s="157" t="s">
        <v>474</v>
      </c>
      <c r="AW285" s="138" t="str">
        <f t="shared" si="198"/>
        <v>ФР Verto-FIT.F</v>
      </c>
      <c r="AY285" s="250" t="s">
        <v>2501</v>
      </c>
      <c r="AZ285" s="137" t="s">
        <v>1722</v>
      </c>
      <c r="BA285" s="138" t="str">
        <f t="shared" si="217"/>
        <v>ДП Ніка.1/2.фальц.</v>
      </c>
      <c r="BK285" s="142" t="s">
        <v>2138</v>
      </c>
      <c r="BL285" s="134" t="s">
        <v>4904</v>
      </c>
      <c r="BM285" s="135" t="str">
        <f t="shared" si="210"/>
        <v>Планка добірна 110мм.Сімплекс</v>
      </c>
      <c r="BS285" s="133" t="s">
        <v>597</v>
      </c>
      <c r="BT285" s="101" t="s">
        <v>4066</v>
      </c>
      <c r="BU285" s="135" t="str">
        <f t="shared" ref="BU285:BU298" si="221">CONCATENATE(BS285,".",BT285)</f>
        <v>ДП ЛАЙН.1.Сотове</v>
      </c>
      <c r="BW285" s="249" t="s">
        <v>2501</v>
      </c>
      <c r="BX285" s="248" t="s">
        <v>6046</v>
      </c>
      <c r="BY285" s="139" t="str">
        <f>CONCATENATE(BW285,".",BX285)</f>
        <v>ДП Ніка.1/2.Лакобель</v>
      </c>
      <c r="CA285" s="146" t="s">
        <v>3259</v>
      </c>
      <c r="CB285" s="137" t="s">
        <v>4316</v>
      </c>
      <c r="CC285" s="138" t="str">
        <f>CONCATENATE(CA285,".",CB285)</f>
        <v>ДП ЛАДА A.фальц,.робоча..Magnet цл +3завіс</v>
      </c>
      <c r="CE285" s="48"/>
      <c r="CF285" s="48"/>
      <c r="CG285" s="70"/>
      <c r="DD285" s="740" t="s">
        <v>5129</v>
      </c>
      <c r="DE285" s="166">
        <v>8850</v>
      </c>
      <c r="DF285" s="528">
        <f t="shared" si="194"/>
        <v>8850</v>
      </c>
      <c r="DG285" s="523"/>
      <c r="DH285" s="530">
        <f t="shared" si="195"/>
        <v>8850</v>
      </c>
      <c r="DP285" s="738" t="s">
        <v>3915</v>
      </c>
      <c r="DQ285" s="166">
        <v>550</v>
      </c>
      <c r="DR285" s="522">
        <f t="shared" si="207"/>
        <v>550</v>
      </c>
      <c r="DS285" s="523"/>
      <c r="DT285" s="524">
        <f t="shared" si="208"/>
        <v>550</v>
      </c>
      <c r="DU285" s="166"/>
      <c r="DV285" s="739" t="s">
        <v>4538</v>
      </c>
      <c r="DW285" s="164">
        <v>800.00000000000011</v>
      </c>
      <c r="DX285" s="525">
        <f t="shared" si="218"/>
        <v>800</v>
      </c>
      <c r="DY285" s="526"/>
      <c r="DZ285" s="527">
        <f t="shared" si="219"/>
        <v>800</v>
      </c>
      <c r="EG285" s="165"/>
      <c r="EH285" s="256"/>
      <c r="EI285" s="257"/>
      <c r="EJ285" s="517"/>
      <c r="EK285" s="532"/>
      <c r="EL285" s="259"/>
    </row>
    <row r="286" spans="12:142">
      <c r="L286" s="155" t="s">
        <v>295</v>
      </c>
      <c r="M286" s="254" t="s">
        <v>762</v>
      </c>
      <c r="N286" s="160" t="s">
        <v>2133</v>
      </c>
      <c r="O286" s="422" t="s">
        <v>729</v>
      </c>
      <c r="P286" s="21"/>
      <c r="Q286" s="155" t="s">
        <v>295</v>
      </c>
      <c r="R286" s="152" t="s">
        <v>159</v>
      </c>
      <c r="S286" s="160" t="s">
        <v>1024</v>
      </c>
      <c r="AU286" s="143" t="s">
        <v>554</v>
      </c>
      <c r="AV286" s="157" t="s">
        <v>475</v>
      </c>
      <c r="AW286" s="138" t="str">
        <f t="shared" si="198"/>
        <v>ФР Verto-FIT.G</v>
      </c>
      <c r="AY286" s="250" t="s">
        <v>2501</v>
      </c>
      <c r="AZ286" s="137" t="s">
        <v>1723</v>
      </c>
      <c r="BA286" s="138" t="str">
        <f t="shared" si="217"/>
        <v>ДП Ніка.1/2.б/з фальц.</v>
      </c>
      <c r="BK286" s="143" t="s">
        <v>2138</v>
      </c>
      <c r="BL286" s="137" t="s">
        <v>409</v>
      </c>
      <c r="BM286" s="138" t="str">
        <f t="shared" si="210"/>
        <v>Планка добірна 110мм.Verto-Cell</v>
      </c>
      <c r="BS286" s="44" t="s">
        <v>597</v>
      </c>
      <c r="BT286" s="254" t="s">
        <v>316</v>
      </c>
      <c r="BU286" s="139" t="str">
        <f t="shared" si="221"/>
        <v>ДП ЛАЙН.1.ДСП тр.</v>
      </c>
      <c r="BW286" s="251" t="s">
        <v>2502</v>
      </c>
      <c r="BX286" s="246" t="s">
        <v>458</v>
      </c>
      <c r="BY286" s="135" t="str">
        <f t="shared" si="220"/>
        <v>ДП Ніка.1/3.Сатин</v>
      </c>
      <c r="CA286" s="147" t="s">
        <v>3259</v>
      </c>
      <c r="CB286" s="62" t="s">
        <v>4319</v>
      </c>
      <c r="CC286" s="139" t="str">
        <f>CONCATENATE(CA286,".",CB286)</f>
        <v>ДП ЛАДА A.фальц,.робоча..Magnet ст +3завіс</v>
      </c>
      <c r="CE286" s="48"/>
      <c r="CF286" s="48"/>
      <c r="CG286" s="70"/>
      <c r="DD286" s="740" t="s">
        <v>5130</v>
      </c>
      <c r="DE286" s="166">
        <v>8850</v>
      </c>
      <c r="DF286" s="528">
        <f t="shared" si="194"/>
        <v>8850</v>
      </c>
      <c r="DG286" s="523"/>
      <c r="DH286" s="530">
        <f t="shared" si="195"/>
        <v>8850</v>
      </c>
      <c r="DP286" s="108" t="s">
        <v>1653</v>
      </c>
      <c r="DQ286" s="164">
        <v>550</v>
      </c>
      <c r="DR286" s="531">
        <f t="shared" si="207"/>
        <v>550</v>
      </c>
      <c r="DS286" s="526"/>
      <c r="DT286" s="527">
        <f t="shared" si="208"/>
        <v>550</v>
      </c>
      <c r="DU286" s="166"/>
      <c r="DV286" s="738" t="s">
        <v>6261</v>
      </c>
      <c r="DW286" s="166">
        <v>1</v>
      </c>
      <c r="DX286" s="522">
        <f t="shared" si="199"/>
        <v>1</v>
      </c>
      <c r="DY286" s="523"/>
      <c r="DZ286" s="524">
        <f t="shared" si="200"/>
        <v>1</v>
      </c>
      <c r="EG286" s="165"/>
      <c r="EH286" s="737" t="s">
        <v>4976</v>
      </c>
      <c r="EI286" s="163">
        <v>0</v>
      </c>
      <c r="EJ286" s="537">
        <f t="shared" si="212"/>
        <v>0</v>
      </c>
      <c r="EK286" s="529"/>
      <c r="EL286" s="530">
        <f t="shared" si="213"/>
        <v>0</v>
      </c>
    </row>
    <row r="287" spans="12:142">
      <c r="L287" s="153" t="s">
        <v>296</v>
      </c>
      <c r="M287" s="817" t="s">
        <v>763</v>
      </c>
      <c r="N287" s="100" t="s">
        <v>2103</v>
      </c>
      <c r="O287" s="818" t="s">
        <v>729</v>
      </c>
      <c r="P287" s="21"/>
      <c r="Q287" s="153" t="s">
        <v>296</v>
      </c>
      <c r="R287" s="101" t="s">
        <v>469</v>
      </c>
      <c r="S287" s="100" t="s">
        <v>76</v>
      </c>
      <c r="AU287" s="143" t="s">
        <v>554</v>
      </c>
      <c r="AV287" s="157" t="s">
        <v>476</v>
      </c>
      <c r="AW287" s="138" t="str">
        <f t="shared" si="198"/>
        <v>ФР Verto-FIT.H</v>
      </c>
      <c r="AY287" s="249" t="s">
        <v>2501</v>
      </c>
      <c r="AZ287" s="62" t="s">
        <v>1724</v>
      </c>
      <c r="BA287" s="139" t="str">
        <f t="shared" si="217"/>
        <v>ДП Ніка.1/2.купе.</v>
      </c>
      <c r="BK287" s="143" t="s">
        <v>2138</v>
      </c>
      <c r="BL287" s="137"/>
      <c r="BM287" s="138" t="str">
        <f t="shared" si="210"/>
        <v>Планка добірна 110мм.</v>
      </c>
      <c r="BS287" s="133" t="s">
        <v>598</v>
      </c>
      <c r="BT287" s="101" t="s">
        <v>4066</v>
      </c>
      <c r="BU287" s="135" t="str">
        <f t="shared" si="221"/>
        <v>ДП ЛАЙН.2.Сотове</v>
      </c>
      <c r="BW287" s="250" t="s">
        <v>2502</v>
      </c>
      <c r="BX287" s="770" t="s">
        <v>3851</v>
      </c>
      <c r="BY287" s="138" t="str">
        <f t="shared" si="220"/>
        <v>ДП Ніка.1/3.Графіт</v>
      </c>
      <c r="CA287" s="145" t="s">
        <v>3260</v>
      </c>
      <c r="CB287" s="134" t="s">
        <v>4106</v>
      </c>
      <c r="CC287" s="135" t="str">
        <f>CONCATENATE(CA287,".",CB287)</f>
        <v>ДП ЛАДА A.фальц,.неробоча,.(ні)</v>
      </c>
      <c r="CE287" s="554"/>
      <c r="CF287" s="554"/>
      <c r="CG287" s="562"/>
      <c r="DD287" s="741" t="s">
        <v>5131</v>
      </c>
      <c r="DE287" s="164">
        <v>8850</v>
      </c>
      <c r="DF287" s="528">
        <f t="shared" si="194"/>
        <v>8850</v>
      </c>
      <c r="DG287" s="523"/>
      <c r="DH287" s="530">
        <f t="shared" si="195"/>
        <v>8850</v>
      </c>
      <c r="DP287" s="165" t="s">
        <v>1619</v>
      </c>
      <c r="DQ287" s="166">
        <v>0</v>
      </c>
      <c r="DR287" s="522">
        <f t="shared" si="207"/>
        <v>0</v>
      </c>
      <c r="DS287" s="523"/>
      <c r="DT287" s="524">
        <f t="shared" si="208"/>
        <v>0</v>
      </c>
      <c r="DU287" s="166"/>
      <c r="DV287" s="738" t="s">
        <v>6262</v>
      </c>
      <c r="DW287" s="166">
        <v>1</v>
      </c>
      <c r="DX287" s="522">
        <f t="shared" si="199"/>
        <v>1</v>
      </c>
      <c r="DY287" s="523"/>
      <c r="DZ287" s="524">
        <f t="shared" si="200"/>
        <v>1</v>
      </c>
      <c r="EG287" s="165"/>
      <c r="EH287" s="739" t="s">
        <v>4977</v>
      </c>
      <c r="EI287" s="164">
        <v>1560</v>
      </c>
      <c r="EJ287" s="531">
        <f t="shared" si="212"/>
        <v>1560</v>
      </c>
      <c r="EK287" s="526"/>
      <c r="EL287" s="527">
        <f t="shared" si="213"/>
        <v>1560</v>
      </c>
    </row>
    <row r="288" spans="12:142">
      <c r="L288" s="154" t="s">
        <v>297</v>
      </c>
      <c r="M288" s="21" t="s">
        <v>764</v>
      </c>
      <c r="N288" s="159" t="s">
        <v>2104</v>
      </c>
      <c r="O288" s="819" t="s">
        <v>729</v>
      </c>
      <c r="P288" s="21"/>
      <c r="Q288" s="154" t="s">
        <v>297</v>
      </c>
      <c r="R288" s="151" t="s">
        <v>470</v>
      </c>
      <c r="S288" s="159" t="s">
        <v>77</v>
      </c>
      <c r="AU288" s="144" t="s">
        <v>554</v>
      </c>
      <c r="AV288" s="158" t="s">
        <v>477</v>
      </c>
      <c r="AW288" s="139" t="str">
        <f t="shared" si="198"/>
        <v>ФР Verto-FIT.I</v>
      </c>
      <c r="AY288" s="250" t="s">
        <v>2502</v>
      </c>
      <c r="AZ288" s="137" t="s">
        <v>1722</v>
      </c>
      <c r="BA288" s="138" t="str">
        <f t="shared" si="217"/>
        <v>ДП Ніка.1/3.фальц.</v>
      </c>
      <c r="BK288" s="143" t="s">
        <v>2138</v>
      </c>
      <c r="BL288" s="137" t="s">
        <v>1893</v>
      </c>
      <c r="BM288" s="138" t="str">
        <f t="shared" si="210"/>
        <v>Планка добірна 110мм.Uni-Mat</v>
      </c>
      <c r="BN288" s="21"/>
      <c r="BS288" s="44" t="s">
        <v>598</v>
      </c>
      <c r="BT288" s="254" t="s">
        <v>316</v>
      </c>
      <c r="BU288" s="139" t="str">
        <f t="shared" si="221"/>
        <v>ДП ЛАЙН.2.ДСП тр.</v>
      </c>
      <c r="BW288" s="249" t="s">
        <v>2502</v>
      </c>
      <c r="BX288" s="248" t="s">
        <v>832</v>
      </c>
      <c r="BY288" s="139" t="str">
        <f t="shared" si="220"/>
        <v>ДП Ніка.1/3.Бронза</v>
      </c>
      <c r="CA288" s="146" t="s">
        <v>3260</v>
      </c>
      <c r="CB288" s="21"/>
      <c r="CC288" s="21"/>
      <c r="DD288" s="641"/>
      <c r="DE288" s="648"/>
      <c r="DF288" s="643"/>
      <c r="DG288" s="644"/>
      <c r="DH288" s="645"/>
      <c r="DP288" s="738" t="s">
        <v>3916</v>
      </c>
      <c r="DQ288" s="166">
        <v>550</v>
      </c>
      <c r="DR288" s="522">
        <f t="shared" si="207"/>
        <v>550</v>
      </c>
      <c r="DS288" s="523"/>
      <c r="DT288" s="524">
        <f t="shared" si="208"/>
        <v>550</v>
      </c>
      <c r="DU288" s="166"/>
      <c r="DV288" s="738" t="s">
        <v>6263</v>
      </c>
      <c r="DW288" s="166">
        <v>1</v>
      </c>
      <c r="DX288" s="522">
        <f t="shared" si="199"/>
        <v>1</v>
      </c>
      <c r="DY288" s="523"/>
      <c r="DZ288" s="524">
        <f t="shared" si="200"/>
        <v>1</v>
      </c>
      <c r="EG288" s="165"/>
      <c r="EH288" s="738" t="s">
        <v>3599</v>
      </c>
      <c r="EI288" s="166">
        <v>0</v>
      </c>
      <c r="EJ288" s="522">
        <f t="shared" ref="EJ288:EJ340" si="222">ROUND(((EI288-(EI288/6))/$DD$3)*$DE$3,2)</f>
        <v>0</v>
      </c>
      <c r="EK288" s="523"/>
      <c r="EL288" s="524">
        <f t="shared" si="213"/>
        <v>0</v>
      </c>
    </row>
    <row r="289" spans="12:142">
      <c r="L289" s="250" t="s">
        <v>1180</v>
      </c>
      <c r="M289" s="21" t="s">
        <v>1183</v>
      </c>
      <c r="N289" s="159" t="s">
        <v>2105</v>
      </c>
      <c r="O289" s="819" t="s">
        <v>729</v>
      </c>
      <c r="P289" s="21"/>
      <c r="Q289" s="250" t="s">
        <v>1180</v>
      </c>
      <c r="R289" s="151" t="s">
        <v>1184</v>
      </c>
      <c r="S289" s="159" t="s">
        <v>1185</v>
      </c>
      <c r="AU289" s="45"/>
      <c r="AV289" s="46"/>
      <c r="AW289" s="70"/>
      <c r="AY289" s="250" t="s">
        <v>2502</v>
      </c>
      <c r="AZ289" s="137" t="s">
        <v>1723</v>
      </c>
      <c r="BA289" s="138" t="str">
        <f t="shared" si="217"/>
        <v>ДП Ніка.1/3.б/з фальц.</v>
      </c>
      <c r="BK289" s="143" t="s">
        <v>2138</v>
      </c>
      <c r="BL289" s="137" t="s">
        <v>557</v>
      </c>
      <c r="BM289" s="138" t="str">
        <f t="shared" si="210"/>
        <v>Планка добірна 110мм.Резист</v>
      </c>
      <c r="BN289" s="21"/>
      <c r="BS289" s="133" t="s">
        <v>599</v>
      </c>
      <c r="BT289" s="101" t="s">
        <v>4066</v>
      </c>
      <c r="BU289" s="135" t="str">
        <f t="shared" si="221"/>
        <v>ДП ЛАЙН.3.Сотове</v>
      </c>
      <c r="BW289" s="249" t="s">
        <v>2502</v>
      </c>
      <c r="BX289" s="248" t="s">
        <v>6046</v>
      </c>
      <c r="BY289" s="139" t="str">
        <f>CONCATENATE(BW289,".",BX289)</f>
        <v>ДП Ніка.1/3.Лакобель</v>
      </c>
      <c r="CA289" s="146" t="s">
        <v>3260</v>
      </c>
      <c r="CB289" s="783" t="s">
        <v>4325</v>
      </c>
      <c r="CC289" s="138" t="str">
        <f>CONCATENATE(CA289,".",CB289)</f>
        <v>ДП ЛАДА A.фальц,.неробоча,.Пл Stand +3завіс</v>
      </c>
      <c r="DD289" s="251" t="s">
        <v>1453</v>
      </c>
      <c r="DE289" s="163">
        <v>6790.0000000000009</v>
      </c>
      <c r="DF289" s="528">
        <f t="shared" si="194"/>
        <v>6790</v>
      </c>
      <c r="DG289" s="529"/>
      <c r="DH289" s="530">
        <f t="shared" si="195"/>
        <v>6790</v>
      </c>
      <c r="DP289" s="108" t="s">
        <v>1652</v>
      </c>
      <c r="DQ289" s="164">
        <v>550</v>
      </c>
      <c r="DR289" s="531">
        <f t="shared" si="207"/>
        <v>550</v>
      </c>
      <c r="DS289" s="526"/>
      <c r="DT289" s="527">
        <f t="shared" si="208"/>
        <v>550</v>
      </c>
      <c r="DU289" s="166"/>
      <c r="DV289" s="738" t="s">
        <v>6264</v>
      </c>
      <c r="DW289" s="166">
        <v>1</v>
      </c>
      <c r="DX289" s="522">
        <f t="shared" si="199"/>
        <v>1</v>
      </c>
      <c r="DY289" s="523"/>
      <c r="DZ289" s="524">
        <f t="shared" si="200"/>
        <v>1</v>
      </c>
      <c r="EG289" s="165"/>
      <c r="EH289" s="739" t="s">
        <v>3600</v>
      </c>
      <c r="EI289" s="164">
        <v>1560</v>
      </c>
      <c r="EJ289" s="531">
        <f t="shared" si="222"/>
        <v>1560</v>
      </c>
      <c r="EK289" s="526"/>
      <c r="EL289" s="527">
        <f t="shared" si="213"/>
        <v>1560</v>
      </c>
    </row>
    <row r="290" spans="12:142">
      <c r="L290" s="154" t="s">
        <v>298</v>
      </c>
      <c r="M290" s="21" t="s">
        <v>765</v>
      </c>
      <c r="N290" s="159" t="s">
        <v>2106</v>
      </c>
      <c r="O290" s="819" t="s">
        <v>729</v>
      </c>
      <c r="P290" s="21"/>
      <c r="Q290" s="154" t="s">
        <v>298</v>
      </c>
      <c r="R290" s="151" t="s">
        <v>471</v>
      </c>
      <c r="S290" s="159" t="s">
        <v>78</v>
      </c>
      <c r="AU290" s="45"/>
      <c r="AV290" s="46"/>
      <c r="AW290" s="70"/>
      <c r="AY290" s="249" t="s">
        <v>2502</v>
      </c>
      <c r="AZ290" s="62" t="s">
        <v>1724</v>
      </c>
      <c r="BA290" s="139" t="str">
        <f t="shared" si="217"/>
        <v>ДП Ніка.1/3.купе.</v>
      </c>
      <c r="BK290" s="143" t="s">
        <v>2138</v>
      </c>
      <c r="BL290" s="137" t="s">
        <v>62</v>
      </c>
      <c r="BM290" s="138" t="str">
        <f t="shared" si="210"/>
        <v>Планка добірна 110мм.LINE-3D</v>
      </c>
      <c r="BS290" s="44" t="s">
        <v>599</v>
      </c>
      <c r="BT290" s="254" t="s">
        <v>316</v>
      </c>
      <c r="BU290" s="139" t="str">
        <f t="shared" si="221"/>
        <v>ДП ЛАЙН.3.ДСП тр.</v>
      </c>
      <c r="BW290" s="251" t="s">
        <v>2503</v>
      </c>
      <c r="BX290" s="246" t="s">
        <v>458</v>
      </c>
      <c r="BY290" s="135" t="str">
        <f t="shared" si="220"/>
        <v>ДП Ніка.1/4.Сатин</v>
      </c>
      <c r="CA290" s="146" t="s">
        <v>3260</v>
      </c>
      <c r="CB290" s="783" t="s">
        <v>4333</v>
      </c>
      <c r="CC290" s="138" t="str">
        <f>CONCATENATE(CA290,".",CB290)</f>
        <v>ДП ЛАДА A.фальц,.неробоча,.Пл Soft +3завіс</v>
      </c>
      <c r="DD290" s="250" t="s">
        <v>1454</v>
      </c>
      <c r="DE290" s="166">
        <v>6790.0000000000009</v>
      </c>
      <c r="DF290" s="528">
        <f t="shared" si="194"/>
        <v>6790</v>
      </c>
      <c r="DG290" s="529"/>
      <c r="DH290" s="530">
        <f t="shared" si="195"/>
        <v>6790</v>
      </c>
      <c r="DP290" s="165" t="s">
        <v>1620</v>
      </c>
      <c r="DQ290" s="166">
        <v>0</v>
      </c>
      <c r="DR290" s="522">
        <f t="shared" si="207"/>
        <v>0</v>
      </c>
      <c r="DS290" s="523"/>
      <c r="DT290" s="524">
        <f t="shared" si="208"/>
        <v>0</v>
      </c>
      <c r="DU290" s="166"/>
      <c r="DV290" s="738" t="s">
        <v>6265</v>
      </c>
      <c r="DW290" s="166">
        <v>1</v>
      </c>
      <c r="DX290" s="522">
        <f t="shared" si="199"/>
        <v>1</v>
      </c>
      <c r="DY290" s="523"/>
      <c r="DZ290" s="524">
        <f t="shared" si="200"/>
        <v>1</v>
      </c>
      <c r="EG290" s="165"/>
      <c r="EH290" s="738" t="s">
        <v>3601</v>
      </c>
      <c r="EI290" s="166">
        <v>0</v>
      </c>
      <c r="EJ290" s="522">
        <f>ROUND(((EI290-(EI290/6))/$DD$3)*$DE$3,2)</f>
        <v>0</v>
      </c>
      <c r="EK290" s="523"/>
      <c r="EL290" s="524">
        <f>IF(EK290="",EJ290,
IF(AND($EI$10&gt;=VLOOKUP(EK290,$EH$5:$EL$9,2,0),$EI$10&lt;=VLOOKUP(EK290,$EH$5:$EL$9,3,0)),
(EJ290*(1-VLOOKUP(EK290,$EH$5:$EL$9,4,0))),
EJ290))</f>
        <v>0</v>
      </c>
    </row>
    <row r="291" spans="12:142">
      <c r="L291" s="154" t="s">
        <v>299</v>
      </c>
      <c r="M291" s="21" t="s">
        <v>766</v>
      </c>
      <c r="N291" s="159" t="s">
        <v>2107</v>
      </c>
      <c r="O291" s="819" t="s">
        <v>729</v>
      </c>
      <c r="P291" s="21"/>
      <c r="Q291" s="154" t="s">
        <v>299</v>
      </c>
      <c r="R291" s="151" t="s">
        <v>472</v>
      </c>
      <c r="S291" s="159" t="s">
        <v>79</v>
      </c>
      <c r="AU291" s="45"/>
      <c r="AV291" s="46"/>
      <c r="AW291" s="70"/>
      <c r="AY291" s="250" t="s">
        <v>2503</v>
      </c>
      <c r="AZ291" s="137" t="s">
        <v>1722</v>
      </c>
      <c r="BA291" s="138" t="str">
        <f t="shared" si="217"/>
        <v>ДП Ніка.1/4.фальц.</v>
      </c>
      <c r="BK291" s="143" t="s">
        <v>2138</v>
      </c>
      <c r="BL291" s="137" t="s">
        <v>5071</v>
      </c>
      <c r="BM291" s="138" t="str">
        <f t="shared" si="210"/>
        <v>Планка добірна 110мм.Е-шпон</v>
      </c>
      <c r="BS291" s="133" t="s">
        <v>600</v>
      </c>
      <c r="BT291" s="101" t="s">
        <v>4066</v>
      </c>
      <c r="BU291" s="135" t="str">
        <f t="shared" si="221"/>
        <v>ДП ЛАЙН.4.Сотове</v>
      </c>
      <c r="BW291" s="250" t="s">
        <v>2503</v>
      </c>
      <c r="BX291" s="770" t="s">
        <v>3851</v>
      </c>
      <c r="BY291" s="138" t="str">
        <f t="shared" si="220"/>
        <v>ДП Ніка.1/4.Графіт</v>
      </c>
      <c r="CA291" s="147" t="s">
        <v>3260</v>
      </c>
      <c r="CB291" s="152" t="s">
        <v>4336</v>
      </c>
      <c r="CC291" s="139" t="str">
        <f>CONCATENATE(CA291,".",CB291)</f>
        <v>ДП ЛАДА A.фальц,.неробоча,.Пл Magnet +3завіс</v>
      </c>
      <c r="DD291" s="250" t="s">
        <v>1455</v>
      </c>
      <c r="DE291" s="166">
        <v>6790.0000000000009</v>
      </c>
      <c r="DF291" s="528">
        <f t="shared" si="194"/>
        <v>6790</v>
      </c>
      <c r="DG291" s="529"/>
      <c r="DH291" s="530">
        <f t="shared" si="195"/>
        <v>6790</v>
      </c>
      <c r="DP291" s="738" t="s">
        <v>3917</v>
      </c>
      <c r="DQ291" s="166">
        <v>550</v>
      </c>
      <c r="DR291" s="522">
        <f t="shared" si="207"/>
        <v>550</v>
      </c>
      <c r="DS291" s="523"/>
      <c r="DT291" s="524">
        <f t="shared" si="208"/>
        <v>550</v>
      </c>
      <c r="DU291" s="166"/>
      <c r="DV291" s="739" t="s">
        <v>6266</v>
      </c>
      <c r="DW291" s="164">
        <v>1</v>
      </c>
      <c r="DX291" s="525">
        <f t="shared" si="199"/>
        <v>1</v>
      </c>
      <c r="DY291" s="526"/>
      <c r="DZ291" s="527">
        <f t="shared" si="200"/>
        <v>1</v>
      </c>
      <c r="EG291" s="165"/>
      <c r="EH291" s="739" t="s">
        <v>3602</v>
      </c>
      <c r="EI291" s="164">
        <v>1560</v>
      </c>
      <c r="EJ291" s="531">
        <f>ROUND(((EI291-(EI291/6))/$DD$3)*$DE$3,2)</f>
        <v>1560</v>
      </c>
      <c r="EK291" s="526"/>
      <c r="EL291" s="527">
        <f>IF(EK291="",EJ291,
IF(AND($EI$10&gt;=VLOOKUP(EK291,$EH$5:$EL$9,2,0),$EI$10&lt;=VLOOKUP(EK291,$EH$5:$EL$9,3,0)),
(EJ291*(1-VLOOKUP(EK291,$EH$5:$EL$9,4,0))),
EJ291))</f>
        <v>1560</v>
      </c>
    </row>
    <row r="292" spans="12:142">
      <c r="L292" s="154" t="s">
        <v>300</v>
      </c>
      <c r="M292" s="21" t="s">
        <v>767</v>
      </c>
      <c r="N292" s="159" t="s">
        <v>2108</v>
      </c>
      <c r="O292" s="819" t="s">
        <v>729</v>
      </c>
      <c r="P292" s="21"/>
      <c r="Q292" s="154" t="s">
        <v>300</v>
      </c>
      <c r="R292" s="151" t="s">
        <v>473</v>
      </c>
      <c r="S292" s="159" t="s">
        <v>80</v>
      </c>
      <c r="AU292" s="45"/>
      <c r="AV292" s="46"/>
      <c r="AW292" s="70"/>
      <c r="AY292" s="250" t="s">
        <v>2503</v>
      </c>
      <c r="AZ292" s="137" t="s">
        <v>1723</v>
      </c>
      <c r="BA292" s="138" t="str">
        <f t="shared" si="217"/>
        <v>ДП Ніка.1/4.б/з фальц.</v>
      </c>
      <c r="BK292" s="144" t="s">
        <v>2138</v>
      </c>
      <c r="BL292" s="62" t="s">
        <v>1836</v>
      </c>
      <c r="BM292" s="139" t="str">
        <f t="shared" si="210"/>
        <v>Планка добірна 110мм.Лофт</v>
      </c>
      <c r="BS292" s="44" t="s">
        <v>600</v>
      </c>
      <c r="BT292" s="254" t="s">
        <v>316</v>
      </c>
      <c r="BU292" s="139" t="str">
        <f t="shared" si="221"/>
        <v>ДП ЛАЙН.4.ДСП тр.</v>
      </c>
      <c r="BW292" s="249" t="s">
        <v>2503</v>
      </c>
      <c r="BX292" s="248" t="s">
        <v>832</v>
      </c>
      <c r="BY292" s="139" t="str">
        <f t="shared" si="220"/>
        <v>ДП Ніка.1/4.Бронза</v>
      </c>
      <c r="CA292" s="146" t="s">
        <v>3261</v>
      </c>
      <c r="CB292" s="137" t="s">
        <v>4106</v>
      </c>
      <c r="CC292" s="239" t="str">
        <f>CONCATENATE(CA292,".",CB292)</f>
        <v>ДП ЛАДА A.б/з фальц..робоча..(ні)</v>
      </c>
      <c r="DD292" s="250" t="s">
        <v>1456</v>
      </c>
      <c r="DE292" s="166">
        <v>6790.0000000000009</v>
      </c>
      <c r="DF292" s="528">
        <f t="shared" si="194"/>
        <v>6790</v>
      </c>
      <c r="DG292" s="529"/>
      <c r="DH292" s="530">
        <f t="shared" si="195"/>
        <v>6790</v>
      </c>
      <c r="DP292" s="108" t="s">
        <v>1651</v>
      </c>
      <c r="DQ292" s="164">
        <v>550</v>
      </c>
      <c r="DR292" s="531">
        <f t="shared" si="207"/>
        <v>550</v>
      </c>
      <c r="DS292" s="526"/>
      <c r="DT292" s="527">
        <f t="shared" si="208"/>
        <v>550</v>
      </c>
      <c r="DU292" s="166"/>
      <c r="DV292" s="165" t="s">
        <v>2492</v>
      </c>
      <c r="DW292" s="166">
        <v>0</v>
      </c>
      <c r="DX292" s="522">
        <f t="shared" si="199"/>
        <v>0</v>
      </c>
      <c r="DY292" s="523"/>
      <c r="DZ292" s="524">
        <f t="shared" si="200"/>
        <v>0</v>
      </c>
      <c r="EG292" s="165"/>
      <c r="EH292" s="738" t="s">
        <v>3603</v>
      </c>
      <c r="EI292" s="166">
        <v>0</v>
      </c>
      <c r="EJ292" s="522">
        <f>ROUND(((EI292-(EI292/6))/$DD$3)*$DE$3,2)</f>
        <v>0</v>
      </c>
      <c r="EK292" s="523"/>
      <c r="EL292" s="524">
        <f>IF(EK292="",EJ292,
IF(AND($EI$10&gt;=VLOOKUP(EK292,$EH$5:$EL$9,2,0),$EI$10&lt;=VLOOKUP(EK292,$EH$5:$EL$9,3,0)),
(EJ292*(1-VLOOKUP(EK292,$EH$5:$EL$9,4,0))),
EJ292))</f>
        <v>0</v>
      </c>
    </row>
    <row r="293" spans="12:142">
      <c r="L293" s="154" t="s">
        <v>301</v>
      </c>
      <c r="M293" s="21" t="s">
        <v>768</v>
      </c>
      <c r="N293" s="159" t="s">
        <v>2109</v>
      </c>
      <c r="O293" s="819" t="s">
        <v>729</v>
      </c>
      <c r="P293" s="21"/>
      <c r="Q293" s="154" t="s">
        <v>301</v>
      </c>
      <c r="R293" s="151" t="s">
        <v>474</v>
      </c>
      <c r="S293" s="159" t="s">
        <v>81</v>
      </c>
      <c r="AU293" s="48"/>
      <c r="AV293" s="48"/>
      <c r="AW293" s="48"/>
      <c r="AY293" s="249" t="s">
        <v>2503</v>
      </c>
      <c r="AZ293" s="62" t="s">
        <v>1724</v>
      </c>
      <c r="BA293" s="139" t="str">
        <f t="shared" si="217"/>
        <v>ДП Ніка.1/4.купе.</v>
      </c>
      <c r="BK293" s="142" t="s">
        <v>2139</v>
      </c>
      <c r="BL293" s="134" t="s">
        <v>4904</v>
      </c>
      <c r="BM293" s="135" t="str">
        <f t="shared" ref="BM293:BM300" si="223">CONCATENATE(BK293,".",BL293)</f>
        <v>Планка добірна 200мм.Сімплекс</v>
      </c>
      <c r="BS293" s="133" t="s">
        <v>601</v>
      </c>
      <c r="BT293" s="101" t="s">
        <v>4066</v>
      </c>
      <c r="BU293" s="135" t="str">
        <f t="shared" si="221"/>
        <v>ДП ЛАЙН.5.Сотове</v>
      </c>
      <c r="BW293" s="249" t="s">
        <v>2503</v>
      </c>
      <c r="BX293" s="248" t="s">
        <v>6046</v>
      </c>
      <c r="BY293" s="139" t="str">
        <f>CONCATENATE(BW293,".",BX293)</f>
        <v>ДП Ніка.1/4.Лакобель</v>
      </c>
      <c r="CA293" s="146" t="s">
        <v>3261</v>
      </c>
      <c r="CB293" s="97"/>
      <c r="CC293" s="97"/>
      <c r="DD293" s="250" t="s">
        <v>1457</v>
      </c>
      <c r="DE293" s="166">
        <v>6790.0000000000009</v>
      </c>
      <c r="DF293" s="528">
        <f t="shared" si="194"/>
        <v>6790</v>
      </c>
      <c r="DG293" s="529"/>
      <c r="DH293" s="530">
        <f t="shared" si="195"/>
        <v>6790</v>
      </c>
      <c r="DP293" s="165" t="s">
        <v>1621</v>
      </c>
      <c r="DQ293" s="166">
        <v>0</v>
      </c>
      <c r="DR293" s="522">
        <f t="shared" si="207"/>
        <v>0</v>
      </c>
      <c r="DS293" s="523"/>
      <c r="DT293" s="524">
        <f t="shared" si="208"/>
        <v>0</v>
      </c>
      <c r="DU293" s="166"/>
      <c r="DV293" s="108" t="s">
        <v>2493</v>
      </c>
      <c r="DW293" s="164">
        <v>560</v>
      </c>
      <c r="DX293" s="531">
        <f t="shared" si="199"/>
        <v>560</v>
      </c>
      <c r="DY293" s="526"/>
      <c r="DZ293" s="527">
        <f t="shared" si="200"/>
        <v>560</v>
      </c>
      <c r="EG293" s="165"/>
      <c r="EH293" s="739" t="s">
        <v>3604</v>
      </c>
      <c r="EI293" s="164">
        <v>1780</v>
      </c>
      <c r="EJ293" s="531">
        <f>ROUND(((EI293-(EI293/6))/$DD$3)*$DE$3,2)</f>
        <v>1780</v>
      </c>
      <c r="EK293" s="526"/>
      <c r="EL293" s="527">
        <f>IF(EK293="",EJ293,
IF(AND($EI$10&gt;=VLOOKUP(EK293,$EH$5:$EL$9,2,0),$EI$10&lt;=VLOOKUP(EK293,$EH$5:$EL$9,3,0)),
(EJ293*(1-VLOOKUP(EK293,$EH$5:$EL$9,4,0))),
EJ293))</f>
        <v>1780</v>
      </c>
    </row>
    <row r="294" spans="12:142">
      <c r="L294" s="154" t="s">
        <v>302</v>
      </c>
      <c r="M294" s="21" t="s">
        <v>769</v>
      </c>
      <c r="N294" s="159" t="s">
        <v>2110</v>
      </c>
      <c r="O294" s="819" t="s">
        <v>729</v>
      </c>
      <c r="P294" s="21"/>
      <c r="Q294" s="154" t="s">
        <v>302</v>
      </c>
      <c r="R294" s="151" t="s">
        <v>475</v>
      </c>
      <c r="S294" s="159" t="s">
        <v>82</v>
      </c>
      <c r="AU294" s="48"/>
      <c r="AV294" s="48"/>
      <c r="AW294" s="48"/>
      <c r="AY294" s="250" t="s">
        <v>2504</v>
      </c>
      <c r="AZ294" s="137" t="s">
        <v>1722</v>
      </c>
      <c r="BA294" s="138" t="str">
        <f t="shared" si="217"/>
        <v>ДП Ніка.1/5.фальц.</v>
      </c>
      <c r="BK294" s="143" t="s">
        <v>2139</v>
      </c>
      <c r="BL294" s="137" t="s">
        <v>409</v>
      </c>
      <c r="BM294" s="138" t="str">
        <f t="shared" si="223"/>
        <v>Планка добірна 200мм.Verto-Cell</v>
      </c>
      <c r="BS294" s="44" t="s">
        <v>601</v>
      </c>
      <c r="BT294" s="254" t="s">
        <v>316</v>
      </c>
      <c r="BU294" s="139" t="str">
        <f t="shared" si="221"/>
        <v>ДП ЛАЙН.5.ДСП тр.</v>
      </c>
      <c r="BW294" s="251" t="s">
        <v>2504</v>
      </c>
      <c r="BX294" s="246" t="s">
        <v>458</v>
      </c>
      <c r="BY294" s="135" t="str">
        <f t="shared" si="220"/>
        <v>ДП Ніка.1/5.Сатин</v>
      </c>
      <c r="CA294" s="146" t="s">
        <v>3261</v>
      </c>
      <c r="CB294" s="478" t="s">
        <v>4337</v>
      </c>
      <c r="CC294" s="239" t="str">
        <f>CONCATENATE(CA294,".",CB294)</f>
        <v>ДП ЛАДА A.б/з фальц..робоча..Magnet цл б/з завіс.</v>
      </c>
      <c r="DD294" s="250" t="s">
        <v>1458</v>
      </c>
      <c r="DE294" s="166">
        <v>6790.0000000000009</v>
      </c>
      <c r="DF294" s="528">
        <f t="shared" si="194"/>
        <v>6790</v>
      </c>
      <c r="DG294" s="529"/>
      <c r="DH294" s="530">
        <f t="shared" si="195"/>
        <v>6790</v>
      </c>
      <c r="DP294" s="738" t="s">
        <v>3918</v>
      </c>
      <c r="DQ294" s="166">
        <v>550</v>
      </c>
      <c r="DR294" s="522">
        <f t="shared" si="207"/>
        <v>550</v>
      </c>
      <c r="DS294" s="523"/>
      <c r="DT294" s="524">
        <f t="shared" si="208"/>
        <v>550</v>
      </c>
      <c r="DU294" s="166"/>
      <c r="DV294" s="647"/>
      <c r="DW294" s="648"/>
      <c r="DX294" s="654"/>
      <c r="DY294" s="655"/>
      <c r="DZ294" s="656"/>
      <c r="EG294" s="165"/>
      <c r="EH294" s="738" t="s">
        <v>3605</v>
      </c>
      <c r="EI294" s="166">
        <v>0</v>
      </c>
      <c r="EJ294" s="522">
        <f t="shared" si="222"/>
        <v>0</v>
      </c>
      <c r="EK294" s="523"/>
      <c r="EL294" s="524">
        <f t="shared" si="213"/>
        <v>0</v>
      </c>
    </row>
    <row r="295" spans="12:142">
      <c r="L295" s="154" t="s">
        <v>303</v>
      </c>
      <c r="M295" s="21" t="s">
        <v>770</v>
      </c>
      <c r="N295" s="159" t="s">
        <v>2111</v>
      </c>
      <c r="O295" s="819" t="s">
        <v>729</v>
      </c>
      <c r="P295" s="21"/>
      <c r="Q295" s="154" t="s">
        <v>303</v>
      </c>
      <c r="R295" s="151" t="s">
        <v>476</v>
      </c>
      <c r="S295" s="159" t="s">
        <v>83</v>
      </c>
      <c r="AU295" s="48"/>
      <c r="AV295" s="48"/>
      <c r="AW295" s="48"/>
      <c r="AY295" s="250" t="s">
        <v>2504</v>
      </c>
      <c r="AZ295" s="137" t="s">
        <v>1723</v>
      </c>
      <c r="BA295" s="138" t="str">
        <f t="shared" si="217"/>
        <v>ДП Ніка.1/5.б/з фальц.</v>
      </c>
      <c r="BK295" s="143" t="s">
        <v>2139</v>
      </c>
      <c r="BL295" s="137"/>
      <c r="BM295" s="138" t="str">
        <f>CONCATENATE(BK295,".",BL295)</f>
        <v>Планка добірна 200мм.</v>
      </c>
      <c r="BS295" s="133" t="s">
        <v>602</v>
      </c>
      <c r="BT295" s="101" t="s">
        <v>4066</v>
      </c>
      <c r="BU295" s="135" t="str">
        <f t="shared" si="221"/>
        <v>ДП ЛАЙН.6.Сотове</v>
      </c>
      <c r="BW295" s="250" t="s">
        <v>2504</v>
      </c>
      <c r="BX295" s="770" t="s">
        <v>3851</v>
      </c>
      <c r="BY295" s="138" t="str">
        <f t="shared" si="220"/>
        <v>ДП Ніка.1/5.Графіт</v>
      </c>
      <c r="CA295" s="146" t="s">
        <v>3261</v>
      </c>
      <c r="CB295" s="478" t="s">
        <v>4339</v>
      </c>
      <c r="CC295" s="239" t="str">
        <f>CONCATENATE(CA295,".",CB295)</f>
        <v>ДП ЛАДА A.б/з фальц..робоча..Magnet ст б/з завіс.</v>
      </c>
      <c r="DD295" s="250" t="s">
        <v>1459</v>
      </c>
      <c r="DE295" s="166">
        <v>6790.0000000000009</v>
      </c>
      <c r="DF295" s="528">
        <f t="shared" si="194"/>
        <v>6790</v>
      </c>
      <c r="DG295" s="529"/>
      <c r="DH295" s="530">
        <f t="shared" si="195"/>
        <v>6790</v>
      </c>
      <c r="DP295" s="108" t="s">
        <v>1650</v>
      </c>
      <c r="DQ295" s="164">
        <v>550</v>
      </c>
      <c r="DR295" s="531">
        <f t="shared" si="207"/>
        <v>550</v>
      </c>
      <c r="DS295" s="526"/>
      <c r="DT295" s="527">
        <f t="shared" si="208"/>
        <v>550</v>
      </c>
      <c r="DU295" s="166"/>
      <c r="DV295" s="736" t="s">
        <v>4147</v>
      </c>
      <c r="DW295" s="105">
        <v>0</v>
      </c>
      <c r="DX295" s="403">
        <f t="shared" ref="DX295:DX341" si="224">ROUND(((DW295-(DW295/6))/$DD$3)*$DE$3,2)</f>
        <v>0</v>
      </c>
      <c r="DY295" s="514"/>
      <c r="DZ295" s="511">
        <f t="shared" ref="DZ295:DZ341" si="225">IF(DY295="",DX295,
IF(AND($DW$10&gt;=VLOOKUP(DY295,$DV$5:$DZ$9,2,0),$DW$10&lt;=VLOOKUP(DY295,$DV$5:$DZ$9,3,0)),
(DX295*(1-VLOOKUP(DY295,$DV$5:$DZ$9,4,0))),
DX295))</f>
        <v>0</v>
      </c>
      <c r="EG295" s="165"/>
      <c r="EH295" s="739" t="s">
        <v>3606</v>
      </c>
      <c r="EI295" s="164">
        <v>1980</v>
      </c>
      <c r="EJ295" s="531">
        <f t="shared" si="222"/>
        <v>1980</v>
      </c>
      <c r="EK295" s="526"/>
      <c r="EL295" s="527">
        <f t="shared" si="213"/>
        <v>1980</v>
      </c>
    </row>
    <row r="296" spans="12:142">
      <c r="L296" s="155" t="s">
        <v>304</v>
      </c>
      <c r="M296" s="254" t="s">
        <v>771</v>
      </c>
      <c r="N296" s="160" t="s">
        <v>2112</v>
      </c>
      <c r="O296" s="422" t="s">
        <v>729</v>
      </c>
      <c r="P296" s="21"/>
      <c r="Q296" s="155" t="s">
        <v>304</v>
      </c>
      <c r="R296" s="152" t="s">
        <v>477</v>
      </c>
      <c r="S296" s="160" t="s">
        <v>84</v>
      </c>
      <c r="AU296" s="48"/>
      <c r="AV296" s="48"/>
      <c r="AW296" s="48"/>
      <c r="AY296" s="249" t="s">
        <v>2504</v>
      </c>
      <c r="AZ296" s="62" t="s">
        <v>1724</v>
      </c>
      <c r="BA296" s="139" t="str">
        <f t="shared" si="217"/>
        <v>ДП Ніка.1/5.купе.</v>
      </c>
      <c r="BK296" s="143" t="s">
        <v>2139</v>
      </c>
      <c r="BL296" s="137" t="s">
        <v>1893</v>
      </c>
      <c r="BM296" s="138" t="str">
        <f>CONCATENATE(BK296,".",BL296)</f>
        <v>Планка добірна 200мм.Uni-Mat</v>
      </c>
      <c r="BS296" s="44" t="s">
        <v>602</v>
      </c>
      <c r="BT296" s="254" t="s">
        <v>316</v>
      </c>
      <c r="BU296" s="139" t="str">
        <f t="shared" si="221"/>
        <v>ДП ЛАЙН.6.ДСП тр.</v>
      </c>
      <c r="BW296" s="249" t="s">
        <v>2504</v>
      </c>
      <c r="BX296" s="248" t="s">
        <v>832</v>
      </c>
      <c r="BY296" s="139" t="str">
        <f t="shared" si="220"/>
        <v>ДП Ніка.1/5.Бронза</v>
      </c>
      <c r="CA296" s="146" t="s">
        <v>3261</v>
      </c>
      <c r="CB296" s="97"/>
      <c r="CC296" s="97"/>
      <c r="DD296" s="250" t="s">
        <v>1460</v>
      </c>
      <c r="DE296" s="166">
        <v>6790.0000000000009</v>
      </c>
      <c r="DF296" s="528">
        <f t="shared" ref="DF296:DF359" si="226">ROUND(((DE296-(DE296/6))/$DD$3)*$DE$3,2)</f>
        <v>6790</v>
      </c>
      <c r="DG296" s="529"/>
      <c r="DH296" s="530">
        <f t="shared" ref="DH296:DH359" si="227">IF(DG296="",DF296,
IF(AND($DE$10&gt;=VLOOKUP(DG296,$DD$5:$DH$9,2,0),$DE$10&lt;=VLOOKUP(DG296,$DD$5:$DH$9,3,0)),
(DF296*(1-VLOOKUP(DG296,$DD$5:$DH$9,4,0))),
DF296))</f>
        <v>6790</v>
      </c>
      <c r="DP296" s="165" t="s">
        <v>1622</v>
      </c>
      <c r="DQ296" s="166">
        <v>0</v>
      </c>
      <c r="DR296" s="522">
        <f t="shared" si="207"/>
        <v>0</v>
      </c>
      <c r="DS296" s="523"/>
      <c r="DT296" s="524">
        <f t="shared" si="208"/>
        <v>0</v>
      </c>
      <c r="DU296" s="166"/>
      <c r="DV296" s="737" t="s">
        <v>5808</v>
      </c>
      <c r="DW296" s="163">
        <v>0</v>
      </c>
      <c r="DX296" s="528">
        <f t="shared" si="224"/>
        <v>0</v>
      </c>
      <c r="DY296" s="529"/>
      <c r="DZ296" s="530">
        <f t="shared" si="225"/>
        <v>0</v>
      </c>
      <c r="EG296" s="165"/>
      <c r="EH296" s="738" t="s">
        <v>3607</v>
      </c>
      <c r="EI296" s="166">
        <v>0</v>
      </c>
      <c r="EJ296" s="522">
        <f t="shared" si="222"/>
        <v>0</v>
      </c>
      <c r="EK296" s="523"/>
      <c r="EL296" s="524">
        <f t="shared" si="213"/>
        <v>0</v>
      </c>
    </row>
    <row r="297" spans="12:142">
      <c r="L297" s="153" t="s">
        <v>353</v>
      </c>
      <c r="M297" s="817" t="s">
        <v>362</v>
      </c>
      <c r="N297" s="100" t="s">
        <v>2113</v>
      </c>
      <c r="O297" s="818" t="s">
        <v>729</v>
      </c>
      <c r="P297" s="21"/>
      <c r="Q297" s="153" t="s">
        <v>353</v>
      </c>
      <c r="R297" s="101" t="s">
        <v>469</v>
      </c>
      <c r="S297" s="100" t="s">
        <v>76</v>
      </c>
      <c r="AU297" s="48"/>
      <c r="AV297" s="48"/>
      <c r="AW297" s="48"/>
      <c r="AY297" s="250" t="s">
        <v>2505</v>
      </c>
      <c r="AZ297" s="137" t="s">
        <v>1722</v>
      </c>
      <c r="BA297" s="138" t="str">
        <f t="shared" si="217"/>
        <v>ДП Ніка.1/6.фальц.</v>
      </c>
      <c r="BK297" s="143" t="s">
        <v>2139</v>
      </c>
      <c r="BL297" s="137" t="s">
        <v>557</v>
      </c>
      <c r="BM297" s="138" t="str">
        <f t="shared" si="223"/>
        <v>Планка добірна 200мм.Резист</v>
      </c>
      <c r="BS297" s="133" t="s">
        <v>660</v>
      </c>
      <c r="BT297" s="101" t="s">
        <v>4066</v>
      </c>
      <c r="BU297" s="135" t="str">
        <f t="shared" si="221"/>
        <v>ДП ЛАЙН.7.Сотове</v>
      </c>
      <c r="BW297" s="249" t="s">
        <v>2504</v>
      </c>
      <c r="BX297" s="248" t="s">
        <v>6046</v>
      </c>
      <c r="BY297" s="139" t="str">
        <f>CONCATENATE(BW297,".",BX297)</f>
        <v>ДП Ніка.1/5.Лакобель</v>
      </c>
      <c r="CA297" s="146" t="s">
        <v>3261</v>
      </c>
      <c r="CB297" s="478" t="s">
        <v>4343</v>
      </c>
      <c r="CC297" s="239" t="str">
        <f>CONCATENATE(CA297,".",CB297)</f>
        <v>ДП ЛАДА A.б/з фальц..робоча..Magnet цл +2завіс 3D</v>
      </c>
      <c r="DD297" s="250" t="s">
        <v>1461</v>
      </c>
      <c r="DE297" s="166">
        <v>6790.0000000000009</v>
      </c>
      <c r="DF297" s="528">
        <f t="shared" si="226"/>
        <v>6790</v>
      </c>
      <c r="DG297" s="529"/>
      <c r="DH297" s="530">
        <f t="shared" si="227"/>
        <v>6790</v>
      </c>
      <c r="DP297" s="738" t="s">
        <v>3919</v>
      </c>
      <c r="DQ297" s="166">
        <v>550</v>
      </c>
      <c r="DR297" s="522">
        <f t="shared" si="207"/>
        <v>550</v>
      </c>
      <c r="DS297" s="523"/>
      <c r="DT297" s="524">
        <f t="shared" si="208"/>
        <v>550</v>
      </c>
      <c r="DU297" s="166"/>
      <c r="DV297" s="737" t="s">
        <v>5809</v>
      </c>
      <c r="DW297" s="163">
        <v>0</v>
      </c>
      <c r="DX297" s="528">
        <f>ROUND(((DW297-(DW297/6))/$DD$3)*$DE$3,2)</f>
        <v>0</v>
      </c>
      <c r="DY297" s="529"/>
      <c r="DZ297" s="530">
        <f>IF(DY297="",DX297,
IF(AND($DW$10&gt;=VLOOKUP(DY297,$DV$5:$DZ$9,2,0),$DW$10&lt;=VLOOKUP(DY297,$DV$5:$DZ$9,3,0)),
(DX297*(1-VLOOKUP(DY297,$DV$5:$DZ$9,4,0))),
DX297))</f>
        <v>0</v>
      </c>
      <c r="EG297" s="165"/>
      <c r="EH297" s="739" t="s">
        <v>3608</v>
      </c>
      <c r="EI297" s="164">
        <v>2010</v>
      </c>
      <c r="EJ297" s="531">
        <f t="shared" si="222"/>
        <v>2010</v>
      </c>
      <c r="EK297" s="526"/>
      <c r="EL297" s="527">
        <f t="shared" si="213"/>
        <v>2010</v>
      </c>
    </row>
    <row r="298" spans="12:142">
      <c r="L298" s="154" t="s">
        <v>354</v>
      </c>
      <c r="M298" s="21" t="s">
        <v>363</v>
      </c>
      <c r="N298" s="159" t="s">
        <v>2114</v>
      </c>
      <c r="O298" s="819" t="s">
        <v>729</v>
      </c>
      <c r="P298" s="21"/>
      <c r="Q298" s="154" t="s">
        <v>354</v>
      </c>
      <c r="R298" s="151" t="s">
        <v>470</v>
      </c>
      <c r="S298" s="159" t="s">
        <v>77</v>
      </c>
      <c r="AU298" s="48"/>
      <c r="AV298" s="48"/>
      <c r="AW298" s="48"/>
      <c r="AY298" s="250" t="s">
        <v>2505</v>
      </c>
      <c r="AZ298" s="137" t="s">
        <v>1723</v>
      </c>
      <c r="BA298" s="138" t="str">
        <f t="shared" si="217"/>
        <v>ДП Ніка.1/6.б/з фальц.</v>
      </c>
      <c r="BK298" s="143" t="s">
        <v>2139</v>
      </c>
      <c r="BL298" s="137" t="s">
        <v>62</v>
      </c>
      <c r="BM298" s="138" t="str">
        <f t="shared" si="223"/>
        <v>Планка добірна 200мм.LINE-3D</v>
      </c>
      <c r="BS298" s="44" t="s">
        <v>660</v>
      </c>
      <c r="BT298" s="254" t="s">
        <v>316</v>
      </c>
      <c r="BU298" s="139" t="str">
        <f t="shared" si="221"/>
        <v>ДП ЛАЙН.7.ДСП тр.</v>
      </c>
      <c r="BW298" s="251" t="s">
        <v>2505</v>
      </c>
      <c r="BX298" s="246" t="s">
        <v>458</v>
      </c>
      <c r="BY298" s="135" t="str">
        <f t="shared" si="220"/>
        <v>ДП Ніка.1/6.Сатин</v>
      </c>
      <c r="CA298" s="146" t="s">
        <v>3261</v>
      </c>
      <c r="CB298" s="478" t="s">
        <v>4347</v>
      </c>
      <c r="CC298" s="239" t="str">
        <f>CONCATENATE(CA298,".",CB298)</f>
        <v>ДП ЛАДА A.б/з фальц..робоча..Magnet ст +2завіс 3D</v>
      </c>
      <c r="DD298" s="250" t="s">
        <v>1462</v>
      </c>
      <c r="DE298" s="166">
        <v>6790.0000000000009</v>
      </c>
      <c r="DF298" s="528">
        <f t="shared" si="226"/>
        <v>6790</v>
      </c>
      <c r="DG298" s="529"/>
      <c r="DH298" s="530">
        <f t="shared" si="227"/>
        <v>6790</v>
      </c>
      <c r="DP298" s="108" t="s">
        <v>1649</v>
      </c>
      <c r="DQ298" s="164">
        <v>550</v>
      </c>
      <c r="DR298" s="531">
        <f t="shared" si="207"/>
        <v>550</v>
      </c>
      <c r="DS298" s="526"/>
      <c r="DT298" s="527">
        <f t="shared" si="208"/>
        <v>550</v>
      </c>
      <c r="DU298" s="166"/>
      <c r="DV298" s="738" t="s">
        <v>5810</v>
      </c>
      <c r="DW298" s="166">
        <v>0</v>
      </c>
      <c r="DX298" s="522">
        <f t="shared" si="224"/>
        <v>0</v>
      </c>
      <c r="DY298" s="523"/>
      <c r="DZ298" s="524">
        <f t="shared" si="225"/>
        <v>0</v>
      </c>
      <c r="EG298" s="165"/>
      <c r="EH298" s="738" t="s">
        <v>5132</v>
      </c>
      <c r="EI298" s="166">
        <v>0</v>
      </c>
      <c r="EJ298" s="522">
        <f>ROUND(((EI298-(EI298/6))/$DD$3)*$DE$3,2)</f>
        <v>0</v>
      </c>
      <c r="EK298" s="523"/>
      <c r="EL298" s="524">
        <f t="shared" si="213"/>
        <v>0</v>
      </c>
    </row>
    <row r="299" spans="12:142">
      <c r="L299" s="250" t="s">
        <v>1181</v>
      </c>
      <c r="M299" s="21" t="s">
        <v>1182</v>
      </c>
      <c r="N299" s="159" t="s">
        <v>2115</v>
      </c>
      <c r="O299" s="819" t="s">
        <v>729</v>
      </c>
      <c r="P299" s="21"/>
      <c r="Q299" s="250" t="s">
        <v>1181</v>
      </c>
      <c r="R299" s="151" t="s">
        <v>1184</v>
      </c>
      <c r="S299" s="159" t="s">
        <v>1185</v>
      </c>
      <c r="AU299" s="48"/>
      <c r="AV299" s="48"/>
      <c r="AW299" s="48"/>
      <c r="AY299" s="249" t="s">
        <v>2505</v>
      </c>
      <c r="AZ299" s="62" t="s">
        <v>1724</v>
      </c>
      <c r="BA299" s="139" t="str">
        <f t="shared" si="217"/>
        <v>ДП Ніка.1/6.купе.</v>
      </c>
      <c r="BK299" s="143" t="s">
        <v>2139</v>
      </c>
      <c r="BL299" s="137" t="s">
        <v>5071</v>
      </c>
      <c r="BM299" s="138" t="str">
        <f>CONCATENATE(BK299,".",BL299)</f>
        <v>Планка добірна 200мм.Е-шпон</v>
      </c>
      <c r="BS299" s="426"/>
      <c r="BT299" s="427"/>
      <c r="BU299" s="428"/>
      <c r="BW299" s="250" t="s">
        <v>2505</v>
      </c>
      <c r="BX299" s="770" t="s">
        <v>3851</v>
      </c>
      <c r="BY299" s="138" t="str">
        <f t="shared" si="220"/>
        <v>ДП Ніка.1/6.Графіт</v>
      </c>
      <c r="CA299" s="146" t="s">
        <v>3261</v>
      </c>
      <c r="CB299" s="97"/>
      <c r="CC299" s="97"/>
      <c r="DD299" s="250" t="s">
        <v>1463</v>
      </c>
      <c r="DE299" s="166">
        <v>6790.0000000000009</v>
      </c>
      <c r="DF299" s="528">
        <f t="shared" si="226"/>
        <v>6790</v>
      </c>
      <c r="DG299" s="529"/>
      <c r="DH299" s="530">
        <f t="shared" si="227"/>
        <v>6790</v>
      </c>
      <c r="DP299" s="165" t="s">
        <v>1623</v>
      </c>
      <c r="DQ299" s="166">
        <v>0</v>
      </c>
      <c r="DR299" s="522">
        <f t="shared" si="207"/>
        <v>0</v>
      </c>
      <c r="DS299" s="523"/>
      <c r="DT299" s="524">
        <f t="shared" si="208"/>
        <v>0</v>
      </c>
      <c r="DU299" s="166"/>
      <c r="DV299" s="738" t="s">
        <v>5811</v>
      </c>
      <c r="DW299" s="163">
        <v>0</v>
      </c>
      <c r="DX299" s="528">
        <f>ROUND(((DW299-(DW299/6))/$DD$3)*$DE$3,2)</f>
        <v>0</v>
      </c>
      <c r="DY299" s="529"/>
      <c r="DZ299" s="530">
        <f>IF(DY299="",DX299,
IF(AND($DW$10&gt;=VLOOKUP(DY299,$DV$5:$DZ$9,2,0),$DW$10&lt;=VLOOKUP(DY299,$DV$5:$DZ$9,3,0)),
(DX299*(1-VLOOKUP(DY299,$DV$5:$DZ$9,4,0))),
DX299))</f>
        <v>0</v>
      </c>
      <c r="EG299" s="165"/>
      <c r="EH299" s="739" t="s">
        <v>5133</v>
      </c>
      <c r="EI299" s="164">
        <v>2160</v>
      </c>
      <c r="EJ299" s="531">
        <f>ROUND(((EI299-(EI299/6))/$DD$3)*$DE$3,2)</f>
        <v>2160</v>
      </c>
      <c r="EK299" s="526"/>
      <c r="EL299" s="527">
        <f t="shared" si="213"/>
        <v>2160</v>
      </c>
    </row>
    <row r="300" spans="12:142">
      <c r="L300" s="154" t="s">
        <v>355</v>
      </c>
      <c r="M300" s="21" t="s">
        <v>364</v>
      </c>
      <c r="N300" s="159" t="s">
        <v>2116</v>
      </c>
      <c r="O300" s="819" t="s">
        <v>729</v>
      </c>
      <c r="P300" s="21"/>
      <c r="Q300" s="154" t="s">
        <v>355</v>
      </c>
      <c r="R300" s="151" t="s">
        <v>471</v>
      </c>
      <c r="S300" s="159" t="s">
        <v>78</v>
      </c>
      <c r="AU300" s="48"/>
      <c r="AV300" s="48"/>
      <c r="AW300" s="48"/>
      <c r="AY300" s="250" t="s">
        <v>2506</v>
      </c>
      <c r="AZ300" s="137" t="s">
        <v>1722</v>
      </c>
      <c r="BA300" s="138" t="str">
        <f t="shared" si="217"/>
        <v>ДП Ніка.1/7.фальц.</v>
      </c>
      <c r="BK300" s="144" t="s">
        <v>2139</v>
      </c>
      <c r="BL300" s="62" t="s">
        <v>1836</v>
      </c>
      <c r="BM300" s="139" t="str">
        <f t="shared" si="223"/>
        <v>Планка добірна 200мм.Лофт</v>
      </c>
      <c r="BS300" s="57" t="s">
        <v>2959</v>
      </c>
      <c r="BT300" s="56" t="s">
        <v>4086</v>
      </c>
      <c r="BU300" s="70" t="str">
        <f t="shared" ref="BU300:BU306" si="228">CONCATENATE(BS300,".",BT300)</f>
        <v>ДП Елегант.1.Масив</v>
      </c>
      <c r="BW300" s="249" t="s">
        <v>2505</v>
      </c>
      <c r="BX300" s="248" t="s">
        <v>832</v>
      </c>
      <c r="BY300" s="139" t="str">
        <f t="shared" si="220"/>
        <v>ДП Ніка.1/6.Бронза</v>
      </c>
      <c r="CA300" s="146" t="s">
        <v>3261</v>
      </c>
      <c r="CB300" s="478" t="s">
        <v>4349</v>
      </c>
      <c r="CC300" s="239" t="str">
        <f>CONCATENATE(CA300,".",CB300)</f>
        <v>ДП ЛАДА A.б/з фальц..робоча..Magnet цл +3завіс 3D</v>
      </c>
      <c r="DD300" s="250" t="s">
        <v>1464</v>
      </c>
      <c r="DE300" s="166">
        <v>6790.0000000000009</v>
      </c>
      <c r="DF300" s="528">
        <f t="shared" si="226"/>
        <v>6790</v>
      </c>
      <c r="DG300" s="529"/>
      <c r="DH300" s="530">
        <f t="shared" si="227"/>
        <v>6790</v>
      </c>
      <c r="DP300" s="738" t="s">
        <v>3920</v>
      </c>
      <c r="DQ300" s="166">
        <v>550</v>
      </c>
      <c r="DR300" s="522">
        <f t="shared" si="207"/>
        <v>550</v>
      </c>
      <c r="DS300" s="523"/>
      <c r="DT300" s="524">
        <f t="shared" si="208"/>
        <v>550</v>
      </c>
      <c r="DU300" s="166"/>
      <c r="DV300" s="738" t="s">
        <v>5812</v>
      </c>
      <c r="DW300" s="166">
        <v>0</v>
      </c>
      <c r="DX300" s="522">
        <f t="shared" si="224"/>
        <v>0</v>
      </c>
      <c r="DY300" s="523"/>
      <c r="DZ300" s="524">
        <f t="shared" si="225"/>
        <v>0</v>
      </c>
      <c r="EG300" s="165"/>
      <c r="EH300" s="738" t="s">
        <v>3609</v>
      </c>
      <c r="EI300" s="166">
        <v>0</v>
      </c>
      <c r="EJ300" s="522">
        <f t="shared" si="222"/>
        <v>0</v>
      </c>
      <c r="EK300" s="523"/>
      <c r="EL300" s="524">
        <f t="shared" ref="EL300:EL329" si="229">IF(EK300="",EJ300,
IF(AND($EI$10&gt;=VLOOKUP(EK300,$EH$5:$EL$9,2,0),$EI$10&lt;=VLOOKUP(EK300,$EH$5:$EL$9,3,0)),
(EJ300*(1-VLOOKUP(EK300,$EH$5:$EL$9,4,0))),
EJ300))</f>
        <v>0</v>
      </c>
    </row>
    <row r="301" spans="12:142">
      <c r="L301" s="154" t="s">
        <v>356</v>
      </c>
      <c r="M301" s="21" t="s">
        <v>365</v>
      </c>
      <c r="N301" s="159" t="s">
        <v>2117</v>
      </c>
      <c r="O301" s="819" t="s">
        <v>729</v>
      </c>
      <c r="P301" s="21"/>
      <c r="Q301" s="154" t="s">
        <v>356</v>
      </c>
      <c r="R301" s="151" t="s">
        <v>472</v>
      </c>
      <c r="S301" s="159" t="s">
        <v>79</v>
      </c>
      <c r="AU301" s="48"/>
      <c r="AV301" s="48"/>
      <c r="AW301" s="48"/>
      <c r="AY301" s="250" t="s">
        <v>2506</v>
      </c>
      <c r="AZ301" s="137" t="s">
        <v>1723</v>
      </c>
      <c r="BA301" s="138" t="str">
        <f t="shared" si="217"/>
        <v>ДП Ніка.1/7.б/з фальц.</v>
      </c>
      <c r="BK301" s="744" t="s">
        <v>6472</v>
      </c>
      <c r="BL301" s="134" t="s">
        <v>4904</v>
      </c>
      <c r="BM301" s="135" t="str">
        <f t="shared" ref="BM301:BM316" si="230">CONCATENATE(BK301,".",BL301)</f>
        <v>Плінтус 60мм (від 8 шт).Сімплекс</v>
      </c>
      <c r="BS301" s="57" t="s">
        <v>2960</v>
      </c>
      <c r="BT301" s="56" t="s">
        <v>4086</v>
      </c>
      <c r="BU301" s="70" t="str">
        <f t="shared" si="228"/>
        <v>ДП Елегант.2.Масив</v>
      </c>
      <c r="BW301" s="249" t="s">
        <v>2505</v>
      </c>
      <c r="BX301" s="248" t="s">
        <v>6046</v>
      </c>
      <c r="BY301" s="139" t="str">
        <f>CONCATENATE(BW301,".",BX301)</f>
        <v>ДП Ніка.1/6.Лакобель</v>
      </c>
      <c r="CA301" s="147" t="s">
        <v>3261</v>
      </c>
      <c r="CB301" s="590" t="s">
        <v>4350</v>
      </c>
      <c r="CC301" s="240" t="str">
        <f>CONCATENATE(CA301,".",CB301)</f>
        <v>ДП ЛАДА A.б/з фальц..робоча..Magnet ст +3завіс 3D</v>
      </c>
      <c r="DD301" s="250" t="s">
        <v>1465</v>
      </c>
      <c r="DE301" s="166">
        <v>6790.0000000000009</v>
      </c>
      <c r="DF301" s="528">
        <f t="shared" si="226"/>
        <v>6790</v>
      </c>
      <c r="DG301" s="529"/>
      <c r="DH301" s="530">
        <f t="shared" si="227"/>
        <v>6790</v>
      </c>
      <c r="DP301" s="108" t="s">
        <v>1648</v>
      </c>
      <c r="DQ301" s="164">
        <v>550</v>
      </c>
      <c r="DR301" s="531">
        <f t="shared" si="207"/>
        <v>550</v>
      </c>
      <c r="DS301" s="526"/>
      <c r="DT301" s="527">
        <f t="shared" si="208"/>
        <v>550</v>
      </c>
      <c r="DU301" s="166"/>
      <c r="DV301" s="738" t="s">
        <v>5813</v>
      </c>
      <c r="DW301" s="163">
        <v>0</v>
      </c>
      <c r="DX301" s="528">
        <f>ROUND(((DW301-(DW301/6))/$DD$3)*$DE$3,2)</f>
        <v>0</v>
      </c>
      <c r="DY301" s="529"/>
      <c r="DZ301" s="530">
        <f>IF(DY301="",DX301,
IF(AND($DW$10&gt;=VLOOKUP(DY301,$DV$5:$DZ$9,2,0),$DW$10&lt;=VLOOKUP(DY301,$DV$5:$DZ$9,3,0)),
(DX301*(1-VLOOKUP(DY301,$DV$5:$DZ$9,4,0))),
DX301))</f>
        <v>0</v>
      </c>
      <c r="EG301" s="165"/>
      <c r="EH301" s="739" t="s">
        <v>3610</v>
      </c>
      <c r="EI301" s="164">
        <v>2160</v>
      </c>
      <c r="EJ301" s="531">
        <f t="shared" si="222"/>
        <v>2160</v>
      </c>
      <c r="EK301" s="526"/>
      <c r="EL301" s="527">
        <f t="shared" si="229"/>
        <v>2160</v>
      </c>
    </row>
    <row r="302" spans="12:142">
      <c r="L302" s="154" t="s">
        <v>357</v>
      </c>
      <c r="M302" s="21" t="s">
        <v>366</v>
      </c>
      <c r="N302" s="159" t="s">
        <v>2118</v>
      </c>
      <c r="O302" s="819" t="s">
        <v>729</v>
      </c>
      <c r="P302" s="21"/>
      <c r="Q302" s="154" t="s">
        <v>357</v>
      </c>
      <c r="R302" s="151" t="s">
        <v>473</v>
      </c>
      <c r="S302" s="159" t="s">
        <v>80</v>
      </c>
      <c r="AU302" s="48"/>
      <c r="AV302" s="48"/>
      <c r="AW302" s="48"/>
      <c r="AY302" s="249" t="s">
        <v>2506</v>
      </c>
      <c r="AZ302" s="62" t="s">
        <v>1724</v>
      </c>
      <c r="BA302" s="139" t="str">
        <f t="shared" si="217"/>
        <v>ДП Ніка.1/7.купе.</v>
      </c>
      <c r="BK302" s="740" t="s">
        <v>6472</v>
      </c>
      <c r="BL302" s="137" t="s">
        <v>409</v>
      </c>
      <c r="BM302" s="138" t="str">
        <f t="shared" si="230"/>
        <v>Плінтус 60мм (від 8 шт).Verto-Cell</v>
      </c>
      <c r="BS302" s="57" t="s">
        <v>2961</v>
      </c>
      <c r="BT302" s="56" t="s">
        <v>4086</v>
      </c>
      <c r="BU302" s="70" t="str">
        <f t="shared" si="228"/>
        <v>ДП Елегант.3.Масив</v>
      </c>
      <c r="BW302" s="251" t="s">
        <v>2506</v>
      </c>
      <c r="BX302" s="246" t="s">
        <v>458</v>
      </c>
      <c r="BY302" s="135" t="str">
        <f t="shared" si="220"/>
        <v>ДП Ніка.1/7.Сатин</v>
      </c>
      <c r="CA302" s="145" t="s">
        <v>3262</v>
      </c>
      <c r="CB302" s="134" t="s">
        <v>4106</v>
      </c>
      <c r="CC302" s="135" t="str">
        <f>CONCATENATE(CA302,".",CB302)</f>
        <v>ДП ЛАДА A.купе..робоча..(ні)</v>
      </c>
      <c r="DD302" s="250" t="s">
        <v>1466</v>
      </c>
      <c r="DE302" s="166">
        <v>6790.0000000000009</v>
      </c>
      <c r="DF302" s="528">
        <f t="shared" si="226"/>
        <v>6790</v>
      </c>
      <c r="DG302" s="529"/>
      <c r="DH302" s="530">
        <f t="shared" si="227"/>
        <v>6790</v>
      </c>
      <c r="DP302" s="538"/>
      <c r="DQ302" s="539"/>
      <c r="DR302" s="650"/>
      <c r="DS302" s="651"/>
      <c r="DT302" s="652"/>
      <c r="DU302" s="166"/>
      <c r="DV302" s="738" t="s">
        <v>4539</v>
      </c>
      <c r="DW302" s="166">
        <v>550</v>
      </c>
      <c r="DX302" s="522">
        <f t="shared" si="224"/>
        <v>550</v>
      </c>
      <c r="DY302" s="523"/>
      <c r="DZ302" s="524">
        <f t="shared" si="225"/>
        <v>550</v>
      </c>
      <c r="EG302" s="165"/>
      <c r="EH302" s="256"/>
      <c r="EI302" s="257"/>
      <c r="EJ302" s="517"/>
      <c r="EK302" s="532"/>
      <c r="EL302" s="259"/>
    </row>
    <row r="303" spans="12:142">
      <c r="L303" s="154" t="s">
        <v>358</v>
      </c>
      <c r="M303" s="21" t="s">
        <v>367</v>
      </c>
      <c r="N303" s="159" t="s">
        <v>2119</v>
      </c>
      <c r="O303" s="819" t="s">
        <v>729</v>
      </c>
      <c r="P303" s="21"/>
      <c r="Q303" s="154" t="s">
        <v>358</v>
      </c>
      <c r="R303" s="151" t="s">
        <v>474</v>
      </c>
      <c r="S303" s="159" t="s">
        <v>81</v>
      </c>
      <c r="AU303" s="48"/>
      <c r="AV303" s="48"/>
      <c r="AW303" s="48"/>
      <c r="AY303" s="250" t="s">
        <v>2507</v>
      </c>
      <c r="AZ303" s="137" t="s">
        <v>1722</v>
      </c>
      <c r="BA303" s="138" t="str">
        <f t="shared" si="217"/>
        <v>ДП Ніка.1/8.фальц.</v>
      </c>
      <c r="BK303" s="740" t="s">
        <v>6472</v>
      </c>
      <c r="BL303" s="137"/>
      <c r="BM303" s="138" t="str">
        <f>CONCATENATE(BK303,".",BL303)</f>
        <v>Плінтус 60мм (від 8 шт).</v>
      </c>
      <c r="BS303" s="86" t="s">
        <v>2962</v>
      </c>
      <c r="BT303" s="41" t="s">
        <v>4086</v>
      </c>
      <c r="BU303" s="70" t="str">
        <f t="shared" si="228"/>
        <v>ДП Елегант.4.Масив</v>
      </c>
      <c r="BW303" s="250" t="s">
        <v>2506</v>
      </c>
      <c r="BX303" s="770" t="s">
        <v>3851</v>
      </c>
      <c r="BY303" s="138" t="str">
        <f t="shared" si="220"/>
        <v>ДП Ніка.1/7.Графіт</v>
      </c>
      <c r="CA303" s="146" t="s">
        <v>3262</v>
      </c>
      <c r="CB303" s="21"/>
      <c r="CC303" s="21"/>
      <c r="DD303" s="250" t="s">
        <v>1467</v>
      </c>
      <c r="DE303" s="166">
        <v>6790.0000000000009</v>
      </c>
      <c r="DF303" s="528">
        <f t="shared" si="226"/>
        <v>6790</v>
      </c>
      <c r="DG303" s="529"/>
      <c r="DH303" s="530">
        <f t="shared" si="227"/>
        <v>6790</v>
      </c>
      <c r="DP303" s="743" t="s">
        <v>4155</v>
      </c>
      <c r="DQ303" s="105">
        <v>0</v>
      </c>
      <c r="DR303" s="403">
        <f t="shared" ref="DR303:DR325" si="231">ROUND(((DQ303-(DQ303/6))/$DD$3)*$DE$3,2)</f>
        <v>0</v>
      </c>
      <c r="DS303" s="514"/>
      <c r="DT303" s="511">
        <f t="shared" ref="DT303:DT325" si="232">IF(DS303="",DR303,
IF(AND($DQ$10&gt;=VLOOKUP(DS303,$DP$5:$DT$9,2,0),$DQ$10&lt;=VLOOKUP(DS303,$DP$5:$DT$9,3,0)),
(DR303*(1-VLOOKUP(DS303,$DP$5:$DT$9,4,0))),
DR303))</f>
        <v>0</v>
      </c>
      <c r="DU303" s="166"/>
      <c r="DV303" s="738" t="s">
        <v>4540</v>
      </c>
      <c r="DW303" s="166">
        <v>550</v>
      </c>
      <c r="DX303" s="522">
        <f t="shared" si="224"/>
        <v>550</v>
      </c>
      <c r="DY303" s="523"/>
      <c r="DZ303" s="524">
        <f t="shared" si="225"/>
        <v>550</v>
      </c>
      <c r="EG303" s="165"/>
      <c r="EH303" s="737" t="s">
        <v>4978</v>
      </c>
      <c r="EI303" s="163">
        <v>0</v>
      </c>
      <c r="EJ303" s="537">
        <f t="shared" si="222"/>
        <v>0</v>
      </c>
      <c r="EK303" s="529"/>
      <c r="EL303" s="530">
        <f t="shared" si="229"/>
        <v>0</v>
      </c>
    </row>
    <row r="304" spans="12:142">
      <c r="L304" s="154" t="s">
        <v>359</v>
      </c>
      <c r="M304" s="21" t="s">
        <v>368</v>
      </c>
      <c r="N304" s="159" t="s">
        <v>2120</v>
      </c>
      <c r="O304" s="819" t="s">
        <v>729</v>
      </c>
      <c r="P304" s="21"/>
      <c r="Q304" s="154" t="s">
        <v>359</v>
      </c>
      <c r="R304" s="151" t="s">
        <v>475</v>
      </c>
      <c r="S304" s="159" t="s">
        <v>82</v>
      </c>
      <c r="AU304" s="48"/>
      <c r="AV304" s="48"/>
      <c r="AW304" s="48"/>
      <c r="AY304" s="250" t="s">
        <v>2507</v>
      </c>
      <c r="AZ304" s="137" t="s">
        <v>1723</v>
      </c>
      <c r="BA304" s="138" t="str">
        <f t="shared" si="217"/>
        <v>ДП Ніка.1/8.б/з фальц.</v>
      </c>
      <c r="BK304" s="740" t="s">
        <v>6472</v>
      </c>
      <c r="BL304" s="137" t="s">
        <v>1893</v>
      </c>
      <c r="BM304" s="138" t="str">
        <f>CONCATENATE(BK304,".",BL304)</f>
        <v>Плінтус 60мм (від 8 шт).Uni-Mat</v>
      </c>
      <c r="BS304" s="86" t="s">
        <v>2963</v>
      </c>
      <c r="BT304" s="41" t="s">
        <v>4086</v>
      </c>
      <c r="BU304" s="70" t="str">
        <f t="shared" si="228"/>
        <v>ДП Елегант.5.Масив</v>
      </c>
      <c r="BW304" s="249" t="s">
        <v>2506</v>
      </c>
      <c r="BX304" s="248" t="s">
        <v>832</v>
      </c>
      <c r="BY304" s="139" t="str">
        <f t="shared" si="220"/>
        <v>ДП Ніка.1/7.Бронза</v>
      </c>
      <c r="CA304" s="146" t="s">
        <v>3262</v>
      </c>
      <c r="CB304" s="137" t="s">
        <v>462</v>
      </c>
      <c r="CC304" s="138" t="str">
        <f>CONCATENATE(CA304,".",CB304)</f>
        <v>ДП ЛАДА A.купе..робоча..Ручка-Захват</v>
      </c>
      <c r="DD304" s="249" t="s">
        <v>1468</v>
      </c>
      <c r="DE304" s="164">
        <v>6790.0000000000009</v>
      </c>
      <c r="DF304" s="528">
        <f t="shared" si="226"/>
        <v>6790</v>
      </c>
      <c r="DG304" s="529"/>
      <c r="DH304" s="530">
        <f t="shared" si="227"/>
        <v>6790</v>
      </c>
      <c r="DP304" s="162" t="s">
        <v>1624</v>
      </c>
      <c r="DQ304" s="163">
        <v>0</v>
      </c>
      <c r="DR304" s="528">
        <f t="shared" si="231"/>
        <v>0</v>
      </c>
      <c r="DS304" s="529"/>
      <c r="DT304" s="530">
        <f t="shared" si="232"/>
        <v>0</v>
      </c>
      <c r="DU304" s="166"/>
      <c r="DV304" s="738" t="s">
        <v>4541</v>
      </c>
      <c r="DW304" s="166">
        <v>800.00000000000011</v>
      </c>
      <c r="DX304" s="522">
        <f>ROUND(((DW304-(DW304/6))/$DD$3)*$DE$3,2)</f>
        <v>800</v>
      </c>
      <c r="DY304" s="523"/>
      <c r="DZ304" s="524">
        <f>IF(DY304="",DX304,
IF(AND($DW$10&gt;=VLOOKUP(DY304,$DV$5:$DZ$9,2,0),$DW$10&lt;=VLOOKUP(DY304,$DV$5:$DZ$9,3,0)),
(DX304*(1-VLOOKUP(DY304,$DV$5:$DZ$9,4,0))),
DX304))</f>
        <v>800</v>
      </c>
      <c r="EG304" s="165"/>
      <c r="EH304" s="739" t="s">
        <v>4979</v>
      </c>
      <c r="EI304" s="164">
        <v>1610</v>
      </c>
      <c r="EJ304" s="531">
        <f t="shared" si="222"/>
        <v>1610</v>
      </c>
      <c r="EK304" s="526"/>
      <c r="EL304" s="527">
        <f t="shared" si="229"/>
        <v>1610</v>
      </c>
    </row>
    <row r="305" spans="12:142">
      <c r="L305" s="154" t="s">
        <v>360</v>
      </c>
      <c r="M305" s="21" t="s">
        <v>369</v>
      </c>
      <c r="N305" s="159" t="s">
        <v>2121</v>
      </c>
      <c r="O305" s="819" t="s">
        <v>729</v>
      </c>
      <c r="P305" s="21"/>
      <c r="Q305" s="154" t="s">
        <v>360</v>
      </c>
      <c r="R305" s="151" t="s">
        <v>476</v>
      </c>
      <c r="S305" s="159" t="s">
        <v>83</v>
      </c>
      <c r="AU305" s="48"/>
      <c r="AV305" s="48"/>
      <c r="AW305" s="48"/>
      <c r="AY305" s="249" t="s">
        <v>2507</v>
      </c>
      <c r="AZ305" s="62" t="s">
        <v>1724</v>
      </c>
      <c r="BA305" s="139" t="str">
        <f t="shared" si="217"/>
        <v>ДП Ніка.1/8.купе.</v>
      </c>
      <c r="BK305" s="740" t="s">
        <v>6472</v>
      </c>
      <c r="BL305" s="137" t="s">
        <v>557</v>
      </c>
      <c r="BM305" s="138" t="str">
        <f t="shared" si="230"/>
        <v>Плінтус 60мм (від 8 шт).Резист</v>
      </c>
      <c r="BS305" s="86" t="s">
        <v>2964</v>
      </c>
      <c r="BT305" s="41" t="s">
        <v>4086</v>
      </c>
      <c r="BU305" s="70" t="str">
        <f t="shared" si="228"/>
        <v>ДП Елегант.6.Масив</v>
      </c>
      <c r="BW305" s="249" t="s">
        <v>2506</v>
      </c>
      <c r="BX305" s="248" t="s">
        <v>6046</v>
      </c>
      <c r="BY305" s="139" t="str">
        <f>CONCATENATE(BW305,".",BX305)</f>
        <v>ДП Ніка.1/7.Лакобель</v>
      </c>
      <c r="CA305" s="146" t="s">
        <v>3262</v>
      </c>
      <c r="CB305" s="137" t="s">
        <v>684</v>
      </c>
      <c r="CC305" s="138" t="str">
        <f>CONCATENATE(CA305,".",CB305)</f>
        <v>ДП ЛАДА A.купе..робоча..Ручка-Замок</v>
      </c>
      <c r="DD305" s="250" t="s">
        <v>1932</v>
      </c>
      <c r="DE305" s="166">
        <v>7740</v>
      </c>
      <c r="DF305" s="528">
        <f t="shared" si="226"/>
        <v>7740</v>
      </c>
      <c r="DG305" s="529"/>
      <c r="DH305" s="530">
        <f t="shared" si="227"/>
        <v>7740</v>
      </c>
      <c r="DP305" s="738" t="s">
        <v>3921</v>
      </c>
      <c r="DQ305" s="166">
        <v>550</v>
      </c>
      <c r="DR305" s="522">
        <f t="shared" si="231"/>
        <v>550</v>
      </c>
      <c r="DS305" s="523"/>
      <c r="DT305" s="524">
        <f t="shared" si="232"/>
        <v>550</v>
      </c>
      <c r="DU305" s="166"/>
      <c r="DV305" s="739" t="s">
        <v>4542</v>
      </c>
      <c r="DW305" s="164">
        <v>800.00000000000011</v>
      </c>
      <c r="DX305" s="525">
        <f>ROUND(((DW305-(DW305/6))/$DD$3)*$DE$3,2)</f>
        <v>800</v>
      </c>
      <c r="DY305" s="526"/>
      <c r="DZ305" s="527">
        <f>IF(DY305="",DX305,
IF(AND($DW$10&gt;=VLOOKUP(DY305,$DV$5:$DZ$9,2,0),$DW$10&lt;=VLOOKUP(DY305,$DV$5:$DZ$9,3,0)),
(DX305*(1-VLOOKUP(DY305,$DV$5:$DZ$9,4,0))),
DX305))</f>
        <v>800</v>
      </c>
      <c r="EG305" s="165"/>
      <c r="EH305" s="738" t="s">
        <v>3611</v>
      </c>
      <c r="EI305" s="166">
        <v>0</v>
      </c>
      <c r="EJ305" s="522">
        <f t="shared" si="222"/>
        <v>0</v>
      </c>
      <c r="EK305" s="523"/>
      <c r="EL305" s="524">
        <f t="shared" si="229"/>
        <v>0</v>
      </c>
    </row>
    <row r="306" spans="12:142">
      <c r="L306" s="155" t="s">
        <v>361</v>
      </c>
      <c r="M306" s="254" t="s">
        <v>370</v>
      </c>
      <c r="N306" s="160" t="s">
        <v>2122</v>
      </c>
      <c r="O306" s="422" t="s">
        <v>729</v>
      </c>
      <c r="P306" s="21"/>
      <c r="Q306" s="155" t="s">
        <v>361</v>
      </c>
      <c r="R306" s="152" t="s">
        <v>477</v>
      </c>
      <c r="S306" s="160" t="s">
        <v>84</v>
      </c>
      <c r="AU306" s="48"/>
      <c r="AV306" s="48"/>
      <c r="AW306" s="48"/>
      <c r="AY306" s="250" t="s">
        <v>2508</v>
      </c>
      <c r="AZ306" s="137" t="s">
        <v>1722</v>
      </c>
      <c r="BA306" s="138" t="str">
        <f t="shared" si="217"/>
        <v>ДП Ніка.2/1.фальц.</v>
      </c>
      <c r="BK306" s="740" t="s">
        <v>6472</v>
      </c>
      <c r="BL306" s="137" t="s">
        <v>62</v>
      </c>
      <c r="BM306" s="138" t="str">
        <f t="shared" si="230"/>
        <v>Плінтус 60мм (від 8 шт).LINE-3D</v>
      </c>
      <c r="BS306" s="86" t="s">
        <v>2965</v>
      </c>
      <c r="BT306" s="41" t="s">
        <v>4086</v>
      </c>
      <c r="BU306" s="70" t="str">
        <f t="shared" si="228"/>
        <v>ДП Елегант.7.Масив</v>
      </c>
      <c r="BW306" s="251" t="s">
        <v>2507</v>
      </c>
      <c r="BX306" s="246" t="s">
        <v>458</v>
      </c>
      <c r="BY306" s="135" t="str">
        <f t="shared" si="220"/>
        <v>ДП Ніка.1/8.Сатин</v>
      </c>
      <c r="CA306" s="432"/>
      <c r="CB306" s="222"/>
      <c r="CC306" s="223"/>
      <c r="DD306" s="250" t="s">
        <v>1933</v>
      </c>
      <c r="DE306" s="166">
        <v>7740</v>
      </c>
      <c r="DF306" s="528">
        <f t="shared" si="226"/>
        <v>7740</v>
      </c>
      <c r="DG306" s="529"/>
      <c r="DH306" s="530">
        <f t="shared" si="227"/>
        <v>7740</v>
      </c>
      <c r="DP306" s="108" t="s">
        <v>1647</v>
      </c>
      <c r="DQ306" s="164">
        <v>550</v>
      </c>
      <c r="DR306" s="531">
        <f t="shared" si="231"/>
        <v>550</v>
      </c>
      <c r="DS306" s="526"/>
      <c r="DT306" s="527">
        <f t="shared" si="232"/>
        <v>550</v>
      </c>
      <c r="DU306" s="166"/>
      <c r="DV306" s="738" t="s">
        <v>6267</v>
      </c>
      <c r="DW306" s="166">
        <v>1</v>
      </c>
      <c r="DX306" s="522">
        <f t="shared" si="224"/>
        <v>1</v>
      </c>
      <c r="DY306" s="523"/>
      <c r="DZ306" s="524">
        <f t="shared" si="225"/>
        <v>1</v>
      </c>
      <c r="EG306" s="165"/>
      <c r="EH306" s="739" t="s">
        <v>3612</v>
      </c>
      <c r="EI306" s="164">
        <v>1610</v>
      </c>
      <c r="EJ306" s="531">
        <f t="shared" si="222"/>
        <v>1610</v>
      </c>
      <c r="EK306" s="526"/>
      <c r="EL306" s="527">
        <f t="shared" si="229"/>
        <v>1610</v>
      </c>
    </row>
    <row r="307" spans="12:142">
      <c r="L307" s="153" t="s">
        <v>1043</v>
      </c>
      <c r="M307" s="817" t="s">
        <v>1052</v>
      </c>
      <c r="N307" s="100" t="s">
        <v>2123</v>
      </c>
      <c r="O307" s="818" t="s">
        <v>729</v>
      </c>
      <c r="P307" s="21"/>
      <c r="Q307" s="153" t="s">
        <v>1043</v>
      </c>
      <c r="R307" s="101" t="s">
        <v>469</v>
      </c>
      <c r="S307" s="100" t="s">
        <v>76</v>
      </c>
      <c r="AU307" s="48"/>
      <c r="AV307" s="48"/>
      <c r="AW307" s="48"/>
      <c r="AY307" s="250" t="s">
        <v>2508</v>
      </c>
      <c r="AZ307" s="137" t="s">
        <v>1723</v>
      </c>
      <c r="BA307" s="138" t="str">
        <f t="shared" si="217"/>
        <v>ДП Ніка.2/1.б/з фальц.</v>
      </c>
      <c r="BK307" s="740" t="s">
        <v>6472</v>
      </c>
      <c r="BL307" s="137" t="s">
        <v>5071</v>
      </c>
      <c r="BM307" s="138" t="str">
        <f>CONCATENATE(BK307,".",BL307)</f>
        <v>Плінтус 60мм (від 8 шт).Е-шпон</v>
      </c>
      <c r="BS307" s="426"/>
      <c r="BT307" s="427"/>
      <c r="BU307" s="428"/>
      <c r="BW307" s="250" t="s">
        <v>2507</v>
      </c>
      <c r="BX307" s="770" t="s">
        <v>3851</v>
      </c>
      <c r="BY307" s="138" t="str">
        <f t="shared" si="220"/>
        <v>ДП Ніка.1/8.Графіт</v>
      </c>
      <c r="CA307" s="146" t="s">
        <v>3263</v>
      </c>
      <c r="CB307" s="137" t="s">
        <v>4106</v>
      </c>
      <c r="CC307" s="138" t="str">
        <f>CONCATENATE(CA307,".",CB307)</f>
        <v>ДП ЛАДА B.фальц,.робоча..(ні)</v>
      </c>
      <c r="DD307" s="250" t="s">
        <v>1934</v>
      </c>
      <c r="DE307" s="166">
        <v>7740</v>
      </c>
      <c r="DF307" s="528">
        <f t="shared" si="226"/>
        <v>7740</v>
      </c>
      <c r="DG307" s="529"/>
      <c r="DH307" s="530">
        <f t="shared" si="227"/>
        <v>7740</v>
      </c>
      <c r="DP307" s="165" t="s">
        <v>1625</v>
      </c>
      <c r="DQ307" s="166">
        <v>0</v>
      </c>
      <c r="DR307" s="522">
        <f t="shared" si="231"/>
        <v>0</v>
      </c>
      <c r="DS307" s="523"/>
      <c r="DT307" s="524">
        <f t="shared" si="232"/>
        <v>0</v>
      </c>
      <c r="DU307" s="166"/>
      <c r="DV307" s="739" t="s">
        <v>6268</v>
      </c>
      <c r="DW307" s="164">
        <v>1</v>
      </c>
      <c r="DX307" s="525">
        <f t="shared" si="224"/>
        <v>1</v>
      </c>
      <c r="DY307" s="526"/>
      <c r="DZ307" s="527">
        <f t="shared" si="225"/>
        <v>1</v>
      </c>
      <c r="EG307" s="165"/>
      <c r="EH307" s="738" t="s">
        <v>3613</v>
      </c>
      <c r="EI307" s="166">
        <v>0</v>
      </c>
      <c r="EJ307" s="522">
        <f>ROUND(((EI307-(EI307/6))/$DD$3)*$DE$3,2)</f>
        <v>0</v>
      </c>
      <c r="EK307" s="523"/>
      <c r="EL307" s="524">
        <f>IF(EK307="",EJ307,
IF(AND($EI$10&gt;=VLOOKUP(EK307,$EH$5:$EL$9,2,0),$EI$10&lt;=VLOOKUP(EK307,$EH$5:$EL$9,3,0)),
(EJ307*(1-VLOOKUP(EK307,$EH$5:$EL$9,4,0))),
EJ307))</f>
        <v>0</v>
      </c>
    </row>
    <row r="308" spans="12:142">
      <c r="L308" s="154" t="s">
        <v>1044</v>
      </c>
      <c r="M308" s="21" t="s">
        <v>1053</v>
      </c>
      <c r="N308" s="159" t="s">
        <v>2124</v>
      </c>
      <c r="O308" s="819" t="s">
        <v>729</v>
      </c>
      <c r="P308" s="21"/>
      <c r="Q308" s="154" t="s">
        <v>1044</v>
      </c>
      <c r="R308" s="151" t="s">
        <v>470</v>
      </c>
      <c r="S308" s="159" t="s">
        <v>77</v>
      </c>
      <c r="AU308" s="48"/>
      <c r="AV308" s="48"/>
      <c r="AW308" s="48"/>
      <c r="AY308" s="249" t="s">
        <v>2508</v>
      </c>
      <c r="AZ308" s="62" t="s">
        <v>1724</v>
      </c>
      <c r="BA308" s="139" t="str">
        <f t="shared" si="217"/>
        <v>ДП Ніка.2/1.купе.</v>
      </c>
      <c r="BK308" s="741" t="s">
        <v>6472</v>
      </c>
      <c r="BL308" s="62" t="s">
        <v>1836</v>
      </c>
      <c r="BM308" s="139" t="str">
        <f t="shared" si="230"/>
        <v>Плінтус 60мм (від 8 шт).Лофт</v>
      </c>
      <c r="BS308" s="40" t="s">
        <v>603</v>
      </c>
      <c r="BT308" s="98" t="s">
        <v>4078</v>
      </c>
      <c r="BU308" s="70" t="str">
        <f>CONCATENATE(BS308,".",BT308)</f>
        <v>ДП ГЛАСФОРД.1.Скло</v>
      </c>
      <c r="BW308" s="249" t="s">
        <v>2507</v>
      </c>
      <c r="BX308" s="248" t="s">
        <v>832</v>
      </c>
      <c r="BY308" s="139" t="str">
        <f t="shared" si="220"/>
        <v>ДП Ніка.1/8.Бронза</v>
      </c>
      <c r="CA308" s="146" t="s">
        <v>3263</v>
      </c>
      <c r="CB308" s="21"/>
      <c r="CC308" s="21"/>
      <c r="DD308" s="250" t="s">
        <v>1935</v>
      </c>
      <c r="DE308" s="166">
        <v>7740</v>
      </c>
      <c r="DF308" s="528">
        <f t="shared" si="226"/>
        <v>7740</v>
      </c>
      <c r="DG308" s="529"/>
      <c r="DH308" s="530">
        <f t="shared" si="227"/>
        <v>7740</v>
      </c>
      <c r="DP308" s="738" t="s">
        <v>3922</v>
      </c>
      <c r="DQ308" s="166">
        <v>550</v>
      </c>
      <c r="DR308" s="522">
        <f t="shared" si="231"/>
        <v>550</v>
      </c>
      <c r="DS308" s="523"/>
      <c r="DT308" s="524">
        <f t="shared" si="232"/>
        <v>550</v>
      </c>
      <c r="DU308" s="166"/>
      <c r="DV308" s="737" t="s">
        <v>5814</v>
      </c>
      <c r="DW308" s="163">
        <v>80</v>
      </c>
      <c r="DX308" s="528">
        <f t="shared" si="224"/>
        <v>80</v>
      </c>
      <c r="DY308" s="529"/>
      <c r="DZ308" s="530">
        <f t="shared" si="225"/>
        <v>80</v>
      </c>
      <c r="EG308" s="165"/>
      <c r="EH308" s="739" t="s">
        <v>3614</v>
      </c>
      <c r="EI308" s="164">
        <v>1610</v>
      </c>
      <c r="EJ308" s="531">
        <f>ROUND(((EI308-(EI308/6))/$DD$3)*$DE$3,2)</f>
        <v>1610</v>
      </c>
      <c r="EK308" s="526"/>
      <c r="EL308" s="527">
        <f>IF(EK308="",EJ308,
IF(AND($EI$10&gt;=VLOOKUP(EK308,$EH$5:$EL$9,2,0),$EI$10&lt;=VLOOKUP(EK308,$EH$5:$EL$9,3,0)),
(EJ308*(1-VLOOKUP(EK308,$EH$5:$EL$9,4,0))),
EJ308))</f>
        <v>1610</v>
      </c>
    </row>
    <row r="309" spans="12:142">
      <c r="L309" s="250" t="s">
        <v>1278</v>
      </c>
      <c r="M309" s="21" t="s">
        <v>1279</v>
      </c>
      <c r="N309" s="159" t="s">
        <v>2125</v>
      </c>
      <c r="O309" s="819" t="s">
        <v>729</v>
      </c>
      <c r="P309" s="21"/>
      <c r="Q309" s="250" t="s">
        <v>1278</v>
      </c>
      <c r="R309" s="151" t="s">
        <v>1184</v>
      </c>
      <c r="S309" s="159" t="s">
        <v>1185</v>
      </c>
      <c r="AU309" s="48"/>
      <c r="AV309" s="48"/>
      <c r="AW309" s="48"/>
      <c r="AY309" s="250" t="s">
        <v>2509</v>
      </c>
      <c r="AZ309" s="137" t="s">
        <v>1722</v>
      </c>
      <c r="BA309" s="138" t="str">
        <f t="shared" si="217"/>
        <v>ДП Ніка.2/2.фальц.</v>
      </c>
      <c r="BK309" s="744" t="s">
        <v>6490</v>
      </c>
      <c r="BL309" s="134" t="s">
        <v>4904</v>
      </c>
      <c r="BM309" s="135" t="str">
        <f t="shared" si="230"/>
        <v>Плінтус 80мм (від 8 шт).Сімплекс</v>
      </c>
      <c r="BS309" s="40" t="s">
        <v>604</v>
      </c>
      <c r="BT309" s="98" t="s">
        <v>4078</v>
      </c>
      <c r="BU309" s="70" t="str">
        <f>CONCATENATE(BS309,".",BT309)</f>
        <v>ДП ГЛАСФОРД.2.Скло</v>
      </c>
      <c r="BW309" s="249" t="s">
        <v>2507</v>
      </c>
      <c r="BX309" s="248" t="s">
        <v>6046</v>
      </c>
      <c r="BY309" s="139" t="str">
        <f>CONCATENATE(BW309,".",BX309)</f>
        <v>ДП Ніка.1/8.Лакобель</v>
      </c>
      <c r="CA309" s="146" t="s">
        <v>3263</v>
      </c>
      <c r="CB309" s="783" t="s">
        <v>5754</v>
      </c>
      <c r="CC309" s="138" t="str">
        <f t="shared" ref="CC309:CC314" si="233">CONCATENATE(CA309,".",CB309)</f>
        <v>ДП ЛАДА B.фальц,.робоча..Stand цл Лів +3завіс</v>
      </c>
      <c r="DD309" s="250" t="s">
        <v>1936</v>
      </c>
      <c r="DE309" s="166">
        <v>7740</v>
      </c>
      <c r="DF309" s="528">
        <f t="shared" si="226"/>
        <v>7740</v>
      </c>
      <c r="DG309" s="529"/>
      <c r="DH309" s="530">
        <f t="shared" si="227"/>
        <v>7740</v>
      </c>
      <c r="DP309" s="108" t="s">
        <v>1646</v>
      </c>
      <c r="DQ309" s="164">
        <v>550</v>
      </c>
      <c r="DR309" s="531">
        <f t="shared" si="231"/>
        <v>550</v>
      </c>
      <c r="DS309" s="526"/>
      <c r="DT309" s="527">
        <f t="shared" si="232"/>
        <v>550</v>
      </c>
      <c r="DU309" s="166"/>
      <c r="DV309" s="737" t="s">
        <v>5815</v>
      </c>
      <c r="DW309" s="163">
        <v>80</v>
      </c>
      <c r="DX309" s="528">
        <f>ROUND(((DW309-(DW309/6))/$DD$3)*$DE$3,2)</f>
        <v>80</v>
      </c>
      <c r="DY309" s="529"/>
      <c r="DZ309" s="530">
        <f>IF(DY309="",DX309,
IF(AND($DW$10&gt;=VLOOKUP(DY309,$DV$5:$DZ$9,2,0),$DW$10&lt;=VLOOKUP(DY309,$DV$5:$DZ$9,3,0)),
(DX309*(1-VLOOKUP(DY309,$DV$5:$DZ$9,4,0))),
DX309))</f>
        <v>80</v>
      </c>
      <c r="EG309" s="165"/>
      <c r="EH309" s="738" t="s">
        <v>3615</v>
      </c>
      <c r="EI309" s="166">
        <v>0</v>
      </c>
      <c r="EJ309" s="522">
        <f>ROUND(((EI309-(EI309/6))/$DD$3)*$DE$3,2)</f>
        <v>0</v>
      </c>
      <c r="EK309" s="523"/>
      <c r="EL309" s="524">
        <f>IF(EK309="",EJ309,
IF(AND($EI$10&gt;=VLOOKUP(EK309,$EH$5:$EL$9,2,0),$EI$10&lt;=VLOOKUP(EK309,$EH$5:$EL$9,3,0)),
(EJ309*(1-VLOOKUP(EK309,$EH$5:$EL$9,4,0))),
EJ309))</f>
        <v>0</v>
      </c>
    </row>
    <row r="310" spans="12:142">
      <c r="L310" s="154" t="s">
        <v>1045</v>
      </c>
      <c r="M310" s="21" t="s">
        <v>1054</v>
      </c>
      <c r="N310" s="159" t="s">
        <v>2126</v>
      </c>
      <c r="O310" s="819" t="s">
        <v>729</v>
      </c>
      <c r="P310" s="21"/>
      <c r="Q310" s="154" t="s">
        <v>1045</v>
      </c>
      <c r="R310" s="151" t="s">
        <v>471</v>
      </c>
      <c r="S310" s="159" t="s">
        <v>78</v>
      </c>
      <c r="AU310" s="48"/>
      <c r="AV310" s="48"/>
      <c r="AW310" s="48"/>
      <c r="AY310" s="250" t="s">
        <v>2509</v>
      </c>
      <c r="AZ310" s="137" t="s">
        <v>1723</v>
      </c>
      <c r="BA310" s="138" t="str">
        <f t="shared" si="217"/>
        <v>ДП Ніка.2/2.б/з фальц.</v>
      </c>
      <c r="BK310" s="740" t="s">
        <v>6490</v>
      </c>
      <c r="BL310" s="137" t="s">
        <v>409</v>
      </c>
      <c r="BM310" s="138" t="str">
        <f t="shared" si="230"/>
        <v>Плінтус 80мм (від 8 шт).Verto-Cell</v>
      </c>
      <c r="BS310" s="40" t="s">
        <v>605</v>
      </c>
      <c r="BT310" s="98" t="s">
        <v>4078</v>
      </c>
      <c r="BU310" s="70" t="str">
        <f>CONCATENATE(BS310,".",BT310)</f>
        <v>ДП ГЛАСФОРД.3.Скло</v>
      </c>
      <c r="BW310" s="251" t="s">
        <v>2508</v>
      </c>
      <c r="BX310" s="246" t="s">
        <v>458</v>
      </c>
      <c r="BY310" s="135" t="str">
        <f t="shared" si="220"/>
        <v>ДП Ніка.2/1.Сатин</v>
      </c>
      <c r="CA310" s="146" t="s">
        <v>3263</v>
      </c>
      <c r="CB310" s="783" t="s">
        <v>5755</v>
      </c>
      <c r="CC310" s="138" t="str">
        <f t="shared" si="233"/>
        <v>ДП ЛАДА B.фальц,.робоча..Stand цл Пр +3завіс</v>
      </c>
      <c r="DD310" s="250" t="s">
        <v>1937</v>
      </c>
      <c r="DE310" s="166">
        <v>7740</v>
      </c>
      <c r="DF310" s="528">
        <f t="shared" si="226"/>
        <v>7740</v>
      </c>
      <c r="DG310" s="529"/>
      <c r="DH310" s="530">
        <f t="shared" si="227"/>
        <v>7740</v>
      </c>
      <c r="DP310" s="165" t="s">
        <v>1626</v>
      </c>
      <c r="DQ310" s="166">
        <v>0</v>
      </c>
      <c r="DR310" s="522">
        <f t="shared" si="231"/>
        <v>0</v>
      </c>
      <c r="DS310" s="523"/>
      <c r="DT310" s="524">
        <f t="shared" si="232"/>
        <v>0</v>
      </c>
      <c r="DU310" s="166"/>
      <c r="DV310" s="738" t="s">
        <v>5816</v>
      </c>
      <c r="DW310" s="166">
        <v>80</v>
      </c>
      <c r="DX310" s="522">
        <f t="shared" si="224"/>
        <v>80</v>
      </c>
      <c r="DY310" s="523"/>
      <c r="DZ310" s="524">
        <f t="shared" si="225"/>
        <v>80</v>
      </c>
      <c r="EG310" s="165"/>
      <c r="EH310" s="739" t="s">
        <v>3616</v>
      </c>
      <c r="EI310" s="164">
        <v>1860</v>
      </c>
      <c r="EJ310" s="531">
        <f>ROUND(((EI310-(EI310/6))/$DD$3)*$DE$3,2)</f>
        <v>1860</v>
      </c>
      <c r="EK310" s="526"/>
      <c r="EL310" s="527">
        <f>IF(EK310="",EJ310,
IF(AND($EI$10&gt;=VLOOKUP(EK310,$EH$5:$EL$9,2,0),$EI$10&lt;=VLOOKUP(EK310,$EH$5:$EL$9,3,0)),
(EJ310*(1-VLOOKUP(EK310,$EH$5:$EL$9,4,0))),
EJ310))</f>
        <v>1860</v>
      </c>
    </row>
    <row r="311" spans="12:142">
      <c r="L311" s="154" t="s">
        <v>1046</v>
      </c>
      <c r="M311" s="21" t="s">
        <v>1055</v>
      </c>
      <c r="N311" s="159" t="s">
        <v>2127</v>
      </c>
      <c r="O311" s="819" t="s">
        <v>729</v>
      </c>
      <c r="P311" s="21"/>
      <c r="Q311" s="154" t="s">
        <v>1046</v>
      </c>
      <c r="R311" s="151" t="s">
        <v>472</v>
      </c>
      <c r="S311" s="159" t="s">
        <v>79</v>
      </c>
      <c r="AU311" s="48"/>
      <c r="AV311" s="48"/>
      <c r="AW311" s="48"/>
      <c r="AY311" s="249" t="s">
        <v>2509</v>
      </c>
      <c r="AZ311" s="62" t="s">
        <v>1724</v>
      </c>
      <c r="BA311" s="139" t="str">
        <f t="shared" si="217"/>
        <v>ДП Ніка.2/2.купе.</v>
      </c>
      <c r="BK311" s="740" t="s">
        <v>6490</v>
      </c>
      <c r="BL311" s="137"/>
      <c r="BM311" s="138" t="str">
        <f>CONCATENATE(BK311,".",BL311)</f>
        <v>Плінтус 80мм (від 8 шт).</v>
      </c>
      <c r="BS311" s="40" t="s">
        <v>606</v>
      </c>
      <c r="BT311" s="98" t="s">
        <v>4078</v>
      </c>
      <c r="BU311" s="70" t="str">
        <f>CONCATENATE(BS311,".",BT311)</f>
        <v>ДП ГЛАСФОРД.4.Скло</v>
      </c>
      <c r="BW311" s="250" t="s">
        <v>2508</v>
      </c>
      <c r="BX311" s="770" t="s">
        <v>3851</v>
      </c>
      <c r="BY311" s="138" t="str">
        <f t="shared" si="220"/>
        <v>ДП Ніка.2/1.Графіт</v>
      </c>
      <c r="CA311" s="146" t="s">
        <v>3263</v>
      </c>
      <c r="CB311" s="783" t="s">
        <v>5756</v>
      </c>
      <c r="CC311" s="138" t="str">
        <f t="shared" si="233"/>
        <v>ДП ЛАДА B.фальц,.робоча..Stand кл Лів +3завіс</v>
      </c>
      <c r="DD311" s="250" t="s">
        <v>1938</v>
      </c>
      <c r="DE311" s="166">
        <v>7740</v>
      </c>
      <c r="DF311" s="528">
        <f t="shared" si="226"/>
        <v>7740</v>
      </c>
      <c r="DG311" s="529"/>
      <c r="DH311" s="530">
        <f t="shared" si="227"/>
        <v>7740</v>
      </c>
      <c r="DP311" s="738" t="s">
        <v>3923</v>
      </c>
      <c r="DQ311" s="166">
        <v>550</v>
      </c>
      <c r="DR311" s="522">
        <f t="shared" si="231"/>
        <v>550</v>
      </c>
      <c r="DS311" s="523"/>
      <c r="DT311" s="524">
        <f t="shared" si="232"/>
        <v>550</v>
      </c>
      <c r="DU311" s="166"/>
      <c r="DV311" s="738" t="s">
        <v>5817</v>
      </c>
      <c r="DW311" s="163">
        <v>80</v>
      </c>
      <c r="DX311" s="528">
        <f>ROUND(((DW311-(DW311/6))/$DD$3)*$DE$3,2)</f>
        <v>80</v>
      </c>
      <c r="DY311" s="529"/>
      <c r="DZ311" s="530">
        <f>IF(DY311="",DX311,
IF(AND($DW$10&gt;=VLOOKUP(DY311,$DV$5:$DZ$9,2,0),$DW$10&lt;=VLOOKUP(DY311,$DV$5:$DZ$9,3,0)),
(DX311*(1-VLOOKUP(DY311,$DV$5:$DZ$9,4,0))),
DX311))</f>
        <v>80</v>
      </c>
      <c r="EG311" s="165"/>
      <c r="EH311" s="738" t="s">
        <v>3617</v>
      </c>
      <c r="EI311" s="166">
        <v>0</v>
      </c>
      <c r="EJ311" s="522">
        <f t="shared" si="222"/>
        <v>0</v>
      </c>
      <c r="EK311" s="523"/>
      <c r="EL311" s="524">
        <f t="shared" si="229"/>
        <v>0</v>
      </c>
    </row>
    <row r="312" spans="12:142">
      <c r="L312" s="154" t="s">
        <v>1047</v>
      </c>
      <c r="M312" s="21" t="s">
        <v>1056</v>
      </c>
      <c r="N312" s="159" t="s">
        <v>2128</v>
      </c>
      <c r="O312" s="819" t="s">
        <v>729</v>
      </c>
      <c r="P312" s="21"/>
      <c r="Q312" s="154" t="s">
        <v>1047</v>
      </c>
      <c r="R312" s="151" t="s">
        <v>473</v>
      </c>
      <c r="S312" s="159" t="s">
        <v>80</v>
      </c>
      <c r="AU312" s="554"/>
      <c r="AV312" s="554"/>
      <c r="AW312" s="554"/>
      <c r="AY312" s="250" t="s">
        <v>2510</v>
      </c>
      <c r="AZ312" s="137" t="s">
        <v>1722</v>
      </c>
      <c r="BA312" s="138" t="str">
        <f t="shared" si="217"/>
        <v>ДП Ніка.2/3.фальц.</v>
      </c>
      <c r="BK312" s="740" t="s">
        <v>6490</v>
      </c>
      <c r="BL312" s="137" t="s">
        <v>1893</v>
      </c>
      <c r="BM312" s="138" t="str">
        <f>CONCATENATE(BK312,".",BL312)</f>
        <v>Плінтус 80мм (від 8 шт).Uni-Mat</v>
      </c>
      <c r="BS312" s="40" t="s">
        <v>607</v>
      </c>
      <c r="BT312" s="98" t="s">
        <v>4078</v>
      </c>
      <c r="BU312" s="70" t="str">
        <f>CONCATENATE(BS312,".",BT312)</f>
        <v>ДП ГЛАСФОРД.5.Скло</v>
      </c>
      <c r="BW312" s="249" t="s">
        <v>2508</v>
      </c>
      <c r="BX312" s="248" t="s">
        <v>832</v>
      </c>
      <c r="BY312" s="139" t="str">
        <f t="shared" si="220"/>
        <v>ДП Ніка.2/1.Бронза</v>
      </c>
      <c r="CA312" s="146" t="s">
        <v>3263</v>
      </c>
      <c r="CB312" s="783" t="s">
        <v>5757</v>
      </c>
      <c r="CC312" s="138" t="str">
        <f t="shared" si="233"/>
        <v>ДП ЛАДА B.фальц,.робоча..Stand кл Пр +3завіс</v>
      </c>
      <c r="DD312" s="250" t="s">
        <v>1939</v>
      </c>
      <c r="DE312" s="166">
        <v>7740</v>
      </c>
      <c r="DF312" s="528">
        <f t="shared" si="226"/>
        <v>7740</v>
      </c>
      <c r="DG312" s="529"/>
      <c r="DH312" s="530">
        <f t="shared" si="227"/>
        <v>7740</v>
      </c>
      <c r="DP312" s="108" t="s">
        <v>1645</v>
      </c>
      <c r="DQ312" s="164">
        <v>550</v>
      </c>
      <c r="DR312" s="531">
        <f t="shared" si="231"/>
        <v>550</v>
      </c>
      <c r="DS312" s="526"/>
      <c r="DT312" s="527">
        <f t="shared" si="232"/>
        <v>550</v>
      </c>
      <c r="DU312" s="166"/>
      <c r="DV312" s="738" t="s">
        <v>5818</v>
      </c>
      <c r="DW312" s="166">
        <v>80</v>
      </c>
      <c r="DX312" s="522">
        <f t="shared" si="224"/>
        <v>80</v>
      </c>
      <c r="DY312" s="523"/>
      <c r="DZ312" s="524">
        <f t="shared" si="225"/>
        <v>80</v>
      </c>
      <c r="EG312" s="165"/>
      <c r="EH312" s="739" t="s">
        <v>3618</v>
      </c>
      <c r="EI312" s="164">
        <v>1970</v>
      </c>
      <c r="EJ312" s="531">
        <f t="shared" si="222"/>
        <v>1970</v>
      </c>
      <c r="EK312" s="526"/>
      <c r="EL312" s="527">
        <f t="shared" si="229"/>
        <v>1970</v>
      </c>
    </row>
    <row r="313" spans="12:142">
      <c r="L313" s="154" t="s">
        <v>1048</v>
      </c>
      <c r="M313" s="21" t="s">
        <v>1057</v>
      </c>
      <c r="N313" s="159" t="s">
        <v>2129</v>
      </c>
      <c r="O313" s="819" t="s">
        <v>729</v>
      </c>
      <c r="P313" s="21"/>
      <c r="Q313" s="154" t="s">
        <v>1048</v>
      </c>
      <c r="R313" s="151" t="s">
        <v>474</v>
      </c>
      <c r="S313" s="159" t="s">
        <v>81</v>
      </c>
      <c r="AY313" s="250" t="s">
        <v>2510</v>
      </c>
      <c r="AZ313" s="137" t="s">
        <v>1723</v>
      </c>
      <c r="BA313" s="138" t="str">
        <f t="shared" si="217"/>
        <v>ДП Ніка.2/3.б/з фальц.</v>
      </c>
      <c r="BK313" s="740" t="s">
        <v>6490</v>
      </c>
      <c r="BL313" s="137" t="s">
        <v>557</v>
      </c>
      <c r="BM313" s="138" t="str">
        <f t="shared" si="230"/>
        <v>Плінтус 80мм (від 8 шт).Резист</v>
      </c>
      <c r="BS313" s="426"/>
      <c r="BT313" s="427"/>
      <c r="BU313" s="428"/>
      <c r="BW313" s="249" t="s">
        <v>2508</v>
      </c>
      <c r="BX313" s="248" t="s">
        <v>6046</v>
      </c>
      <c r="BY313" s="139" t="str">
        <f>CONCATENATE(BW313,".",BX313)</f>
        <v>ДП Ніка.2/1.Лакобель</v>
      </c>
      <c r="CA313" s="146" t="s">
        <v>3263</v>
      </c>
      <c r="CB313" s="783" t="s">
        <v>5758</v>
      </c>
      <c r="CC313" s="138" t="str">
        <f t="shared" si="233"/>
        <v>ДП ЛАДА B.фальц,.робоча..Stand ст Лів +3завіс</v>
      </c>
      <c r="DD313" s="250" t="s">
        <v>1940</v>
      </c>
      <c r="DE313" s="166">
        <v>7740</v>
      </c>
      <c r="DF313" s="528">
        <f t="shared" si="226"/>
        <v>7740</v>
      </c>
      <c r="DG313" s="529"/>
      <c r="DH313" s="530">
        <f t="shared" si="227"/>
        <v>7740</v>
      </c>
      <c r="DP313" s="165" t="s">
        <v>1627</v>
      </c>
      <c r="DQ313" s="166">
        <v>0</v>
      </c>
      <c r="DR313" s="522">
        <f t="shared" si="231"/>
        <v>0</v>
      </c>
      <c r="DS313" s="523"/>
      <c r="DT313" s="524">
        <f t="shared" si="232"/>
        <v>0</v>
      </c>
      <c r="DU313" s="166"/>
      <c r="DV313" s="738" t="s">
        <v>5819</v>
      </c>
      <c r="DW313" s="163">
        <v>80</v>
      </c>
      <c r="DX313" s="528">
        <f>ROUND(((DW313-(DW313/6))/$DD$3)*$DE$3,2)</f>
        <v>80</v>
      </c>
      <c r="DY313" s="529"/>
      <c r="DZ313" s="530">
        <f>IF(DY313="",DX313,
IF(AND($DW$10&gt;=VLOOKUP(DY313,$DV$5:$DZ$9,2,0),$DW$10&lt;=VLOOKUP(DY313,$DV$5:$DZ$9,3,0)),
(DX313*(1-VLOOKUP(DY313,$DV$5:$DZ$9,4,0))),
DX313))</f>
        <v>80</v>
      </c>
      <c r="EG313" s="165"/>
      <c r="EH313" s="738" t="s">
        <v>3619</v>
      </c>
      <c r="EI313" s="166">
        <v>0</v>
      </c>
      <c r="EJ313" s="522">
        <f t="shared" si="222"/>
        <v>0</v>
      </c>
      <c r="EK313" s="523"/>
      <c r="EL313" s="524">
        <f t="shared" si="229"/>
        <v>0</v>
      </c>
    </row>
    <row r="314" spans="12:142">
      <c r="L314" s="154" t="s">
        <v>1049</v>
      </c>
      <c r="M314" s="21" t="s">
        <v>1058</v>
      </c>
      <c r="N314" s="159" t="s">
        <v>2130</v>
      </c>
      <c r="O314" s="819" t="s">
        <v>729</v>
      </c>
      <c r="P314" s="21"/>
      <c r="Q314" s="154" t="s">
        <v>1049</v>
      </c>
      <c r="R314" s="151" t="s">
        <v>475</v>
      </c>
      <c r="S314" s="159" t="s">
        <v>82</v>
      </c>
      <c r="AY314" s="249" t="s">
        <v>2510</v>
      </c>
      <c r="AZ314" s="62" t="s">
        <v>1724</v>
      </c>
      <c r="BA314" s="139" t="str">
        <f t="shared" si="217"/>
        <v>ДП Ніка.2/3.купе.</v>
      </c>
      <c r="BK314" s="740" t="s">
        <v>6490</v>
      </c>
      <c r="BL314" s="137" t="s">
        <v>62</v>
      </c>
      <c r="BM314" s="138" t="str">
        <f t="shared" si="230"/>
        <v>Плінтус 80мм (від 8 шт).LINE-3D</v>
      </c>
      <c r="BS314" s="746" t="s">
        <v>3014</v>
      </c>
      <c r="BT314" s="101" t="s">
        <v>4066</v>
      </c>
      <c r="BU314" s="135" t="str">
        <f>CONCATENATE(BS314,".",BT314)</f>
        <v>ДП Добір.А.Сотове</v>
      </c>
      <c r="BW314" s="251" t="s">
        <v>2509</v>
      </c>
      <c r="BX314" s="246" t="s">
        <v>458</v>
      </c>
      <c r="BY314" s="135" t="str">
        <f t="shared" si="220"/>
        <v>ДП Ніка.2/2.Сатин</v>
      </c>
      <c r="CA314" s="146" t="s">
        <v>3263</v>
      </c>
      <c r="CB314" s="783" t="s">
        <v>5759</v>
      </c>
      <c r="CC314" s="138" t="str">
        <f t="shared" si="233"/>
        <v>ДП ЛАДА B.фальц,.робоча..Stand ст Пр +3завіс</v>
      </c>
      <c r="DD314" s="250" t="s">
        <v>1941</v>
      </c>
      <c r="DE314" s="166">
        <v>7740</v>
      </c>
      <c r="DF314" s="528">
        <f t="shared" si="226"/>
        <v>7740</v>
      </c>
      <c r="DG314" s="529"/>
      <c r="DH314" s="530">
        <f t="shared" si="227"/>
        <v>7740</v>
      </c>
      <c r="DP314" s="738" t="s">
        <v>3924</v>
      </c>
      <c r="DQ314" s="166">
        <v>550</v>
      </c>
      <c r="DR314" s="522">
        <f t="shared" si="231"/>
        <v>550</v>
      </c>
      <c r="DS314" s="523"/>
      <c r="DT314" s="524">
        <f t="shared" si="232"/>
        <v>550</v>
      </c>
      <c r="DU314" s="166"/>
      <c r="DV314" s="738" t="s">
        <v>4543</v>
      </c>
      <c r="DW314" s="166">
        <v>550</v>
      </c>
      <c r="DX314" s="522">
        <f t="shared" si="224"/>
        <v>550</v>
      </c>
      <c r="DY314" s="523"/>
      <c r="DZ314" s="524">
        <f t="shared" si="225"/>
        <v>550</v>
      </c>
      <c r="EG314" s="165"/>
      <c r="EH314" s="739" t="s">
        <v>3620</v>
      </c>
      <c r="EI314" s="164">
        <v>2090</v>
      </c>
      <c r="EJ314" s="531">
        <f t="shared" si="222"/>
        <v>2090</v>
      </c>
      <c r="EK314" s="526"/>
      <c r="EL314" s="527">
        <f t="shared" si="229"/>
        <v>2090</v>
      </c>
    </row>
    <row r="315" spans="12:142">
      <c r="L315" s="154" t="s">
        <v>1050</v>
      </c>
      <c r="M315" s="21" t="s">
        <v>1059</v>
      </c>
      <c r="N315" s="159" t="s">
        <v>2131</v>
      </c>
      <c r="O315" s="819" t="s">
        <v>729</v>
      </c>
      <c r="P315" s="21"/>
      <c r="Q315" s="154" t="s">
        <v>1050</v>
      </c>
      <c r="R315" s="151" t="s">
        <v>476</v>
      </c>
      <c r="S315" s="159" t="s">
        <v>83</v>
      </c>
      <c r="AY315" s="250" t="s">
        <v>2511</v>
      </c>
      <c r="AZ315" s="137" t="s">
        <v>1722</v>
      </c>
      <c r="BA315" s="138" t="str">
        <f t="shared" si="217"/>
        <v>ДП Ніка.2/4.фальц.</v>
      </c>
      <c r="BK315" s="740" t="s">
        <v>6490</v>
      </c>
      <c r="BL315" s="137" t="s">
        <v>5071</v>
      </c>
      <c r="BM315" s="138" t="str">
        <f>CONCATENATE(BK315,".",BL315)</f>
        <v>Плінтус 80мм (від 8 шт).Е-шпон</v>
      </c>
      <c r="BS315" s="424" t="s">
        <v>3014</v>
      </c>
      <c r="BT315" s="254" t="s">
        <v>316</v>
      </c>
      <c r="BU315" s="139" t="str">
        <f>CONCATENATE(BS315,".",BT315)</f>
        <v>ДП Добір.А.ДСП тр.</v>
      </c>
      <c r="BW315" s="250" t="s">
        <v>2509</v>
      </c>
      <c r="BX315" s="770" t="s">
        <v>3851</v>
      </c>
      <c r="BY315" s="138" t="str">
        <f t="shared" si="220"/>
        <v>ДП Ніка.2/2.Графіт</v>
      </c>
      <c r="CA315" s="146" t="s">
        <v>3263</v>
      </c>
      <c r="CC315" s="138"/>
      <c r="DD315" s="250" t="s">
        <v>1942</v>
      </c>
      <c r="DE315" s="166">
        <v>7740</v>
      </c>
      <c r="DF315" s="528">
        <f t="shared" si="226"/>
        <v>7740</v>
      </c>
      <c r="DG315" s="529"/>
      <c r="DH315" s="530">
        <f t="shared" si="227"/>
        <v>7740</v>
      </c>
      <c r="DP315" s="108" t="s">
        <v>1644</v>
      </c>
      <c r="DQ315" s="164">
        <v>550</v>
      </c>
      <c r="DR315" s="531">
        <f t="shared" si="231"/>
        <v>550</v>
      </c>
      <c r="DS315" s="526"/>
      <c r="DT315" s="527">
        <f t="shared" si="232"/>
        <v>550</v>
      </c>
      <c r="DU315" s="166"/>
      <c r="DV315" s="738" t="s">
        <v>4544</v>
      </c>
      <c r="DW315" s="166">
        <v>550</v>
      </c>
      <c r="DX315" s="522">
        <f t="shared" si="224"/>
        <v>550</v>
      </c>
      <c r="DY315" s="523"/>
      <c r="DZ315" s="524">
        <f t="shared" si="225"/>
        <v>550</v>
      </c>
      <c r="EG315" s="165"/>
      <c r="EH315" s="738" t="s">
        <v>5134</v>
      </c>
      <c r="EI315" s="166">
        <v>0</v>
      </c>
      <c r="EJ315" s="522">
        <f>ROUND(((EI315-(EI315/6))/$DD$3)*$DE$3,2)</f>
        <v>0</v>
      </c>
      <c r="EK315" s="523"/>
      <c r="EL315" s="524">
        <f>IF(EK315="",EJ315,
IF(AND($EI$10&gt;=VLOOKUP(EK315,$EH$5:$EL$9,2,0),$EI$10&lt;=VLOOKUP(EK315,$EH$5:$EL$9,3,0)),
(EJ315*(1-VLOOKUP(EK315,$EH$5:$EL$9,4,0))),
EJ315))</f>
        <v>0</v>
      </c>
    </row>
    <row r="316" spans="12:142">
      <c r="L316" s="155" t="s">
        <v>1051</v>
      </c>
      <c r="M316" s="254" t="s">
        <v>1060</v>
      </c>
      <c r="N316" s="160" t="s">
        <v>2132</v>
      </c>
      <c r="O316" s="422" t="s">
        <v>729</v>
      </c>
      <c r="P316" s="21"/>
      <c r="Q316" s="155" t="s">
        <v>1051</v>
      </c>
      <c r="R316" s="152" t="s">
        <v>477</v>
      </c>
      <c r="S316" s="160" t="s">
        <v>84</v>
      </c>
      <c r="AY316" s="250" t="s">
        <v>2511</v>
      </c>
      <c r="AZ316" s="137" t="s">
        <v>1723</v>
      </c>
      <c r="BA316" s="138" t="str">
        <f t="shared" si="217"/>
        <v>ДП Ніка.2/4.б/з фальц.</v>
      </c>
      <c r="BK316" s="741" t="s">
        <v>6490</v>
      </c>
      <c r="BL316" s="62" t="s">
        <v>1836</v>
      </c>
      <c r="BM316" s="139" t="str">
        <f t="shared" si="230"/>
        <v>Плінтус 80мм (від 8 шт).Лофт</v>
      </c>
      <c r="BS316" s="746" t="s">
        <v>3016</v>
      </c>
      <c r="BT316" s="101" t="s">
        <v>4066</v>
      </c>
      <c r="BU316" s="135" t="str">
        <f>CONCATENATE(BS316,".",BT316)</f>
        <v>ДП Добір.Б.Сотове</v>
      </c>
      <c r="BW316" s="249" t="s">
        <v>2509</v>
      </c>
      <c r="BX316" s="248" t="s">
        <v>832</v>
      </c>
      <c r="BY316" s="139" t="str">
        <f t="shared" si="220"/>
        <v>ДП Ніка.2/2.Бронза</v>
      </c>
      <c r="CA316" s="146" t="s">
        <v>3263</v>
      </c>
      <c r="CB316" s="137" t="s">
        <v>4304</v>
      </c>
      <c r="CC316" s="138" t="str">
        <f>CONCATENATE(CA316,".",CB316)</f>
        <v>ДП ЛАДА B.фальц,.робоча..Soft цл +3завіс</v>
      </c>
      <c r="DD316" s="250" t="s">
        <v>1943</v>
      </c>
      <c r="DE316" s="166">
        <v>7740</v>
      </c>
      <c r="DF316" s="528">
        <f t="shared" si="226"/>
        <v>7740</v>
      </c>
      <c r="DG316" s="529"/>
      <c r="DH316" s="530">
        <f t="shared" si="227"/>
        <v>7740</v>
      </c>
      <c r="DP316" s="165" t="s">
        <v>1628</v>
      </c>
      <c r="DQ316" s="166">
        <v>0</v>
      </c>
      <c r="DR316" s="522">
        <f t="shared" si="231"/>
        <v>0</v>
      </c>
      <c r="DS316" s="523"/>
      <c r="DT316" s="524">
        <f t="shared" si="232"/>
        <v>0</v>
      </c>
      <c r="DU316" s="166"/>
      <c r="DV316" s="738" t="s">
        <v>4545</v>
      </c>
      <c r="DW316" s="166">
        <v>800</v>
      </c>
      <c r="DX316" s="522">
        <f>ROUND(((DW316-(DW316/6))/$DD$3)*$DE$3,2)</f>
        <v>800</v>
      </c>
      <c r="DY316" s="523"/>
      <c r="DZ316" s="524">
        <f>IF(DY316="",DX316,
IF(AND($DW$10&gt;=VLOOKUP(DY316,$DV$5:$DZ$9,2,0),$DW$10&lt;=VLOOKUP(DY316,$DV$5:$DZ$9,3,0)),
(DX316*(1-VLOOKUP(DY316,$DV$5:$DZ$9,4,0))),
DX316))</f>
        <v>800</v>
      </c>
      <c r="EG316" s="165"/>
      <c r="EH316" s="739" t="s">
        <v>5135</v>
      </c>
      <c r="EI316" s="164">
        <v>2261</v>
      </c>
      <c r="EJ316" s="531">
        <f>ROUND(((EI316-(EI316/6))/$DD$3)*$DE$3,2)</f>
        <v>2261</v>
      </c>
      <c r="EK316" s="526"/>
      <c r="EL316" s="527">
        <f>IF(EK316="",EJ316,
IF(AND($EI$10&gt;=VLOOKUP(EK316,$EH$5:$EL$9,2,0),$EI$10&lt;=VLOOKUP(EK316,$EH$5:$EL$9,3,0)),
(EJ316*(1-VLOOKUP(EK316,$EH$5:$EL$9,4,0))),
EJ316))</f>
        <v>2261</v>
      </c>
    </row>
    <row r="317" spans="12:142">
      <c r="L317" s="49" t="s">
        <v>305</v>
      </c>
      <c r="M317" s="48" t="s">
        <v>772</v>
      </c>
      <c r="N317" s="94" t="s">
        <v>2134</v>
      </c>
      <c r="O317" s="423" t="s">
        <v>729</v>
      </c>
      <c r="Q317" s="49" t="s">
        <v>305</v>
      </c>
      <c r="R317" s="98" t="s">
        <v>159</v>
      </c>
      <c r="S317" s="94" t="s">
        <v>1024</v>
      </c>
      <c r="AY317" s="249" t="s">
        <v>2511</v>
      </c>
      <c r="AZ317" s="62" t="s">
        <v>1724</v>
      </c>
      <c r="BA317" s="139" t="str">
        <f t="shared" si="217"/>
        <v>ДП Ніка.2/4.купе.</v>
      </c>
      <c r="BK317" s="426"/>
      <c r="BL317" s="427"/>
      <c r="BM317" s="428"/>
      <c r="BS317" s="424" t="s">
        <v>3016</v>
      </c>
      <c r="BT317" s="254" t="s">
        <v>316</v>
      </c>
      <c r="BU317" s="139" t="str">
        <f>CONCATENATE(BS317,".",BT317)</f>
        <v>ДП Добір.Б.ДСП тр.</v>
      </c>
      <c r="BW317" s="249" t="s">
        <v>2509</v>
      </c>
      <c r="BX317" s="248" t="s">
        <v>6046</v>
      </c>
      <c r="BY317" s="139" t="str">
        <f>CONCATENATE(BW317,".",BX317)</f>
        <v>ДП Ніка.2/2.Лакобель</v>
      </c>
      <c r="CA317" s="146" t="s">
        <v>3263</v>
      </c>
      <c r="CB317" s="137" t="s">
        <v>4307</v>
      </c>
      <c r="CC317" s="138" t="str">
        <f>CONCATENATE(CA317,".",CB317)</f>
        <v>ДП ЛАДА B.фальц,.робоча..Soft ст +3завіс</v>
      </c>
      <c r="DD317" s="250" t="s">
        <v>1944</v>
      </c>
      <c r="DE317" s="166">
        <v>7740</v>
      </c>
      <c r="DF317" s="528">
        <f t="shared" si="226"/>
        <v>7740</v>
      </c>
      <c r="DG317" s="529"/>
      <c r="DH317" s="530">
        <f t="shared" si="227"/>
        <v>7740</v>
      </c>
      <c r="DP317" s="738" t="s">
        <v>3925</v>
      </c>
      <c r="DQ317" s="166">
        <v>550</v>
      </c>
      <c r="DR317" s="522">
        <f t="shared" si="231"/>
        <v>550</v>
      </c>
      <c r="DS317" s="523"/>
      <c r="DT317" s="524">
        <f t="shared" si="232"/>
        <v>550</v>
      </c>
      <c r="DU317" s="166"/>
      <c r="DV317" s="739" t="s">
        <v>4546</v>
      </c>
      <c r="DW317" s="164">
        <v>800</v>
      </c>
      <c r="DX317" s="525">
        <f>ROUND(((DW317-(DW317/6))/$DD$3)*$DE$3,2)</f>
        <v>800</v>
      </c>
      <c r="DY317" s="526"/>
      <c r="DZ317" s="527">
        <f>IF(DY317="",DX317,
IF(AND($DW$10&gt;=VLOOKUP(DY317,$DV$5:$DZ$9,2,0),$DW$10&lt;=VLOOKUP(DY317,$DV$5:$DZ$9,3,0)),
(DX317*(1-VLOOKUP(DY317,$DV$5:$DZ$9,4,0))),
DX317))</f>
        <v>800</v>
      </c>
      <c r="EG317" s="165"/>
      <c r="EH317" s="738" t="s">
        <v>3621</v>
      </c>
      <c r="EI317" s="166">
        <v>0</v>
      </c>
      <c r="EJ317" s="522">
        <f t="shared" si="222"/>
        <v>0</v>
      </c>
      <c r="EK317" s="523"/>
      <c r="EL317" s="524">
        <f t="shared" si="229"/>
        <v>0</v>
      </c>
    </row>
    <row r="318" spans="12:142">
      <c r="L318" s="49" t="s">
        <v>306</v>
      </c>
      <c r="M318" s="48" t="s">
        <v>773</v>
      </c>
      <c r="N318" s="94" t="s">
        <v>783</v>
      </c>
      <c r="O318" s="423" t="s">
        <v>729</v>
      </c>
      <c r="Q318" s="49" t="s">
        <v>306</v>
      </c>
      <c r="R318" s="98" t="s">
        <v>159</v>
      </c>
      <c r="S318" s="94" t="s">
        <v>1024</v>
      </c>
      <c r="AY318" s="432"/>
      <c r="AZ318" s="222"/>
      <c r="BA318" s="223"/>
      <c r="BK318" s="40"/>
      <c r="BL318" s="41"/>
      <c r="BM318" s="70"/>
      <c r="BS318" s="426"/>
      <c r="BT318" s="427"/>
      <c r="BU318" s="428"/>
      <c r="BW318" s="251" t="s">
        <v>2510</v>
      </c>
      <c r="BX318" s="246" t="s">
        <v>458</v>
      </c>
      <c r="BY318" s="135" t="str">
        <f t="shared" si="220"/>
        <v>ДП Ніка.2/3.Сатин</v>
      </c>
      <c r="CA318" s="146" t="s">
        <v>3263</v>
      </c>
      <c r="CB318" s="21"/>
      <c r="CC318" s="21"/>
      <c r="DD318" s="250" t="s">
        <v>1945</v>
      </c>
      <c r="DE318" s="166">
        <v>7740</v>
      </c>
      <c r="DF318" s="528">
        <f t="shared" si="226"/>
        <v>7740</v>
      </c>
      <c r="DG318" s="529"/>
      <c r="DH318" s="530">
        <f t="shared" si="227"/>
        <v>7740</v>
      </c>
      <c r="DP318" s="108" t="s">
        <v>1643</v>
      </c>
      <c r="DQ318" s="164">
        <v>550</v>
      </c>
      <c r="DR318" s="531">
        <f t="shared" si="231"/>
        <v>550</v>
      </c>
      <c r="DS318" s="526"/>
      <c r="DT318" s="527">
        <f t="shared" si="232"/>
        <v>550</v>
      </c>
      <c r="DU318" s="166"/>
      <c r="DV318" s="738" t="s">
        <v>6269</v>
      </c>
      <c r="DW318" s="166">
        <v>1</v>
      </c>
      <c r="DX318" s="522">
        <f t="shared" si="224"/>
        <v>1</v>
      </c>
      <c r="DY318" s="523"/>
      <c r="DZ318" s="524">
        <f t="shared" si="225"/>
        <v>1</v>
      </c>
      <c r="EG318" s="165"/>
      <c r="EH318" s="739" t="s">
        <v>3622</v>
      </c>
      <c r="EI318" s="164">
        <v>2261</v>
      </c>
      <c r="EJ318" s="531">
        <f t="shared" si="222"/>
        <v>2261</v>
      </c>
      <c r="EK318" s="526"/>
      <c r="EL318" s="527">
        <f t="shared" si="229"/>
        <v>2261</v>
      </c>
    </row>
    <row r="319" spans="12:142">
      <c r="L319" s="153" t="s">
        <v>307</v>
      </c>
      <c r="M319" s="817" t="s">
        <v>774</v>
      </c>
      <c r="N319" s="100" t="s">
        <v>784</v>
      </c>
      <c r="O319" s="818" t="s">
        <v>729</v>
      </c>
      <c r="P319" s="21"/>
      <c r="Q319" s="153" t="s">
        <v>307</v>
      </c>
      <c r="R319" s="101" t="s">
        <v>469</v>
      </c>
      <c r="S319" s="100" t="s">
        <v>76</v>
      </c>
      <c r="AY319" s="250" t="s">
        <v>2594</v>
      </c>
      <c r="AZ319" s="137" t="s">
        <v>1722</v>
      </c>
      <c r="BA319" s="138" t="str">
        <f t="shared" ref="BA319:BA342" si="234">CONCATENATE(AY319,".",AZ319)</f>
        <v>ДП Ліса.2/0.фальц.</v>
      </c>
      <c r="BK319" s="40"/>
      <c r="BL319" s="41"/>
      <c r="BM319" s="70"/>
      <c r="BS319" s="750" t="s">
        <v>3017</v>
      </c>
      <c r="BT319" s="56" t="s">
        <v>4086</v>
      </c>
      <c r="BU319" s="70" t="str">
        <f t="shared" ref="BU319:BU329" si="235">CONCATENATE(BS319,".",BT319)</f>
        <v>ДП Добір-ЛАДА.Л1/0.Масив</v>
      </c>
      <c r="BW319" s="250" t="s">
        <v>2510</v>
      </c>
      <c r="BX319" s="770" t="s">
        <v>3851</v>
      </c>
      <c r="BY319" s="138" t="str">
        <f t="shared" si="220"/>
        <v>ДП Ніка.2/3.Графіт</v>
      </c>
      <c r="CA319" s="146" t="s">
        <v>3263</v>
      </c>
      <c r="CB319" s="137" t="s">
        <v>4316</v>
      </c>
      <c r="CC319" s="138" t="str">
        <f>CONCATENATE(CA319,".",CB319)</f>
        <v>ДП ЛАДА B.фальц,.робоча..Magnet цл +3завіс</v>
      </c>
      <c r="DD319" s="250" t="s">
        <v>1946</v>
      </c>
      <c r="DE319" s="166">
        <v>7740</v>
      </c>
      <c r="DF319" s="528">
        <f t="shared" si="226"/>
        <v>7740</v>
      </c>
      <c r="DG319" s="529"/>
      <c r="DH319" s="530">
        <f t="shared" si="227"/>
        <v>7740</v>
      </c>
      <c r="DP319" s="108" t="s">
        <v>6052</v>
      </c>
      <c r="DQ319" s="164">
        <v>550</v>
      </c>
      <c r="DR319" s="531">
        <f>ROUND(((DQ319-(DQ319/6))/$DD$3)*$DE$3,2)</f>
        <v>550</v>
      </c>
      <c r="DS319" s="526"/>
      <c r="DT319" s="527">
        <f>IF(DS319="",DR319,
IF(AND($DQ$10&gt;=VLOOKUP(DS319,$DP$5:$DT$9,2,0),$DQ$10&lt;=VLOOKUP(DS319,$DP$5:$DT$9,3,0)),
(DR319*(1-VLOOKUP(DS319,$DP$5:$DT$9,4,0))),
DR319))</f>
        <v>550</v>
      </c>
      <c r="DU319" s="166"/>
      <c r="DV319" s="739" t="s">
        <v>6270</v>
      </c>
      <c r="DW319" s="164">
        <v>1</v>
      </c>
      <c r="DX319" s="525">
        <f t="shared" si="224"/>
        <v>1</v>
      </c>
      <c r="DY319" s="526"/>
      <c r="DZ319" s="527">
        <f t="shared" si="225"/>
        <v>1</v>
      </c>
      <c r="EG319" s="165"/>
      <c r="EH319" s="256"/>
      <c r="EI319" s="257"/>
      <c r="EJ319" s="517"/>
      <c r="EK319" s="532"/>
      <c r="EL319" s="259"/>
    </row>
    <row r="320" spans="12:142">
      <c r="L320" s="154" t="s">
        <v>308</v>
      </c>
      <c r="M320" s="21" t="s">
        <v>775</v>
      </c>
      <c r="N320" s="159" t="s">
        <v>785</v>
      </c>
      <c r="O320" s="819" t="s">
        <v>729</v>
      </c>
      <c r="P320" s="21"/>
      <c r="Q320" s="154" t="s">
        <v>308</v>
      </c>
      <c r="R320" s="151" t="s">
        <v>470</v>
      </c>
      <c r="S320" s="159" t="s">
        <v>77</v>
      </c>
      <c r="AY320" s="250" t="s">
        <v>2594</v>
      </c>
      <c r="AZ320" s="137" t="s">
        <v>1723</v>
      </c>
      <c r="BA320" s="138" t="str">
        <f t="shared" si="234"/>
        <v>ДП Ліса.2/0.б/з фальц.</v>
      </c>
      <c r="BK320" s="49"/>
      <c r="BL320" s="41"/>
      <c r="BM320" s="70"/>
      <c r="BS320" s="750" t="s">
        <v>3020</v>
      </c>
      <c r="BT320" s="56" t="s">
        <v>4086</v>
      </c>
      <c r="BU320" s="70" t="str">
        <f t="shared" si="235"/>
        <v>ДП Добір-ЛАДА.Л1/1.Масив</v>
      </c>
      <c r="BW320" s="249" t="s">
        <v>2510</v>
      </c>
      <c r="BX320" s="248" t="s">
        <v>832</v>
      </c>
      <c r="BY320" s="139" t="str">
        <f t="shared" si="220"/>
        <v>ДП Ніка.2/3.Бронза</v>
      </c>
      <c r="CA320" s="147" t="s">
        <v>3263</v>
      </c>
      <c r="CB320" s="62" t="s">
        <v>4319</v>
      </c>
      <c r="CC320" s="139" t="str">
        <f>CONCATENATE(CA320,".",CB320)</f>
        <v>ДП ЛАДА B.фальц,.робоча..Magnet ст +3завіс</v>
      </c>
      <c r="DD320" s="249" t="s">
        <v>1947</v>
      </c>
      <c r="DE320" s="164">
        <v>7740</v>
      </c>
      <c r="DF320" s="528">
        <f t="shared" si="226"/>
        <v>7740</v>
      </c>
      <c r="DG320" s="529"/>
      <c r="DH320" s="530">
        <f t="shared" si="227"/>
        <v>7740</v>
      </c>
      <c r="DP320" s="165" t="s">
        <v>1629</v>
      </c>
      <c r="DQ320" s="166">
        <v>0</v>
      </c>
      <c r="DR320" s="522">
        <f t="shared" si="231"/>
        <v>0</v>
      </c>
      <c r="DS320" s="523"/>
      <c r="DT320" s="524">
        <f t="shared" si="232"/>
        <v>0</v>
      </c>
      <c r="DU320" s="166"/>
      <c r="DV320" s="737" t="s">
        <v>4547</v>
      </c>
      <c r="DW320" s="163">
        <v>0</v>
      </c>
      <c r="DX320" s="528">
        <f t="shared" si="224"/>
        <v>0</v>
      </c>
      <c r="DY320" s="529"/>
      <c r="DZ320" s="530">
        <f t="shared" si="225"/>
        <v>0</v>
      </c>
      <c r="EG320" s="165"/>
      <c r="EH320" s="737" t="s">
        <v>4980</v>
      </c>
      <c r="EI320" s="163">
        <v>0</v>
      </c>
      <c r="EJ320" s="537">
        <f t="shared" si="222"/>
        <v>0</v>
      </c>
      <c r="EK320" s="529"/>
      <c r="EL320" s="530">
        <f t="shared" si="229"/>
        <v>0</v>
      </c>
    </row>
    <row r="321" spans="12:142">
      <c r="L321" s="250" t="s">
        <v>1291</v>
      </c>
      <c r="M321" s="21" t="s">
        <v>1304</v>
      </c>
      <c r="N321" s="159" t="s">
        <v>1305</v>
      </c>
      <c r="O321" s="819" t="s">
        <v>729</v>
      </c>
      <c r="P321" s="21"/>
      <c r="Q321" s="250" t="s">
        <v>1291</v>
      </c>
      <c r="R321" s="151" t="s">
        <v>1184</v>
      </c>
      <c r="S321" s="159" t="s">
        <v>1185</v>
      </c>
      <c r="AY321" s="249" t="s">
        <v>2594</v>
      </c>
      <c r="AZ321" s="62" t="s">
        <v>1724</v>
      </c>
      <c r="BA321" s="139" t="str">
        <f t="shared" si="234"/>
        <v>ДП Ліса.2/0.купе.</v>
      </c>
      <c r="BK321" s="49"/>
      <c r="BL321" s="41"/>
      <c r="BM321" s="70"/>
      <c r="BS321" s="750" t="s">
        <v>3021</v>
      </c>
      <c r="BT321" s="56" t="s">
        <v>4086</v>
      </c>
      <c r="BU321" s="70" t="str">
        <f t="shared" si="235"/>
        <v>ДП Добір-ЛАДА.Л3/0.Масив</v>
      </c>
      <c r="BW321" s="249" t="s">
        <v>2510</v>
      </c>
      <c r="BX321" s="248" t="s">
        <v>6046</v>
      </c>
      <c r="BY321" s="139" t="str">
        <f>CONCATENATE(BW321,".",BX321)</f>
        <v>ДП Ніка.2/3.Лакобель</v>
      </c>
      <c r="CA321" s="146" t="s">
        <v>3264</v>
      </c>
      <c r="CB321" s="137" t="s">
        <v>4106</v>
      </c>
      <c r="CC321" s="138" t="str">
        <f>CONCATENATE(CA321,".",CB321)</f>
        <v>ДП ЛАДА B.фальц..робоча..(ні)</v>
      </c>
      <c r="DD321" s="250" t="s">
        <v>1500</v>
      </c>
      <c r="DE321" s="166">
        <v>8050</v>
      </c>
      <c r="DF321" s="528">
        <f t="shared" si="226"/>
        <v>8050</v>
      </c>
      <c r="DG321" s="529"/>
      <c r="DH321" s="530">
        <f t="shared" si="227"/>
        <v>8050</v>
      </c>
      <c r="DP321" s="738" t="s">
        <v>3926</v>
      </c>
      <c r="DQ321" s="166">
        <v>550</v>
      </c>
      <c r="DR321" s="522">
        <f t="shared" si="231"/>
        <v>550</v>
      </c>
      <c r="DS321" s="523"/>
      <c r="DT321" s="524">
        <f t="shared" si="232"/>
        <v>550</v>
      </c>
      <c r="DU321" s="166"/>
      <c r="DV321" s="738" t="s">
        <v>4548</v>
      </c>
      <c r="DW321" s="166">
        <v>0</v>
      </c>
      <c r="DX321" s="522">
        <f t="shared" si="224"/>
        <v>0</v>
      </c>
      <c r="DY321" s="523"/>
      <c r="DZ321" s="524">
        <f t="shared" si="225"/>
        <v>0</v>
      </c>
      <c r="EG321" s="165"/>
      <c r="EH321" s="739" t="s">
        <v>4981</v>
      </c>
      <c r="EI321" s="164">
        <v>1690</v>
      </c>
      <c r="EJ321" s="531">
        <f t="shared" si="222"/>
        <v>1690</v>
      </c>
      <c r="EK321" s="526"/>
      <c r="EL321" s="527">
        <f t="shared" si="229"/>
        <v>1690</v>
      </c>
    </row>
    <row r="322" spans="12:142">
      <c r="L322" s="154" t="s">
        <v>309</v>
      </c>
      <c r="M322" s="21" t="s">
        <v>776</v>
      </c>
      <c r="N322" s="159" t="s">
        <v>786</v>
      </c>
      <c r="O322" s="819" t="s">
        <v>729</v>
      </c>
      <c r="P322" s="21"/>
      <c r="Q322" s="154" t="s">
        <v>309</v>
      </c>
      <c r="R322" s="151" t="s">
        <v>471</v>
      </c>
      <c r="S322" s="159" t="s">
        <v>78</v>
      </c>
      <c r="AY322" s="250" t="s">
        <v>2595</v>
      </c>
      <c r="AZ322" s="137" t="s">
        <v>1722</v>
      </c>
      <c r="BA322" s="138" t="str">
        <f t="shared" si="234"/>
        <v>ДП Ліса.2/1.фальц.</v>
      </c>
      <c r="BK322" s="49"/>
      <c r="BL322" s="41"/>
      <c r="BM322" s="70"/>
      <c r="BS322" s="750" t="s">
        <v>3022</v>
      </c>
      <c r="BT322" s="56" t="s">
        <v>4086</v>
      </c>
      <c r="BU322" s="70" t="str">
        <f t="shared" si="235"/>
        <v>ДП Добір-ЛАДА.Л3/1.Масив</v>
      </c>
      <c r="BW322" s="251" t="s">
        <v>2511</v>
      </c>
      <c r="BX322" s="246" t="s">
        <v>458</v>
      </c>
      <c r="BY322" s="135" t="str">
        <f t="shared" si="220"/>
        <v>ДП Ніка.2/4.Сатин</v>
      </c>
      <c r="CA322" s="146" t="s">
        <v>3264</v>
      </c>
      <c r="CB322" s="21"/>
      <c r="CC322" s="21"/>
      <c r="DD322" s="250" t="s">
        <v>1501</v>
      </c>
      <c r="DE322" s="166">
        <v>8050</v>
      </c>
      <c r="DF322" s="528">
        <f t="shared" si="226"/>
        <v>8050</v>
      </c>
      <c r="DG322" s="529"/>
      <c r="DH322" s="530">
        <f t="shared" si="227"/>
        <v>8050</v>
      </c>
      <c r="DP322" s="108" t="s">
        <v>1642</v>
      </c>
      <c r="DQ322" s="164">
        <v>550</v>
      </c>
      <c r="DR322" s="531">
        <f t="shared" si="231"/>
        <v>550</v>
      </c>
      <c r="DS322" s="526"/>
      <c r="DT322" s="527">
        <f t="shared" si="232"/>
        <v>550</v>
      </c>
      <c r="DU322" s="166"/>
      <c r="DV322" s="739" t="s">
        <v>4549</v>
      </c>
      <c r="DW322" s="164">
        <v>0</v>
      </c>
      <c r="DX322" s="531">
        <f>ROUND(((DW322-(DW322/6))/$DD$3)*$DE$3,2)</f>
        <v>0</v>
      </c>
      <c r="DY322" s="526"/>
      <c r="DZ322" s="527">
        <f>IF(DY322="",DX322,
IF(AND($DW$10&gt;=VLOOKUP(DY322,$DV$5:$DZ$9,2,0),$DW$10&lt;=VLOOKUP(DY322,$DV$5:$DZ$9,3,0)),
(DX322*(1-VLOOKUP(DY322,$DV$5:$DZ$9,4,0))),
DX322))</f>
        <v>0</v>
      </c>
      <c r="EG322" s="165"/>
      <c r="EH322" s="738" t="s">
        <v>3623</v>
      </c>
      <c r="EI322" s="166">
        <v>0</v>
      </c>
      <c r="EJ322" s="522">
        <f t="shared" si="222"/>
        <v>0</v>
      </c>
      <c r="EK322" s="523"/>
      <c r="EL322" s="524">
        <f t="shared" si="229"/>
        <v>0</v>
      </c>
    </row>
    <row r="323" spans="12:142">
      <c r="L323" s="154" t="s">
        <v>310</v>
      </c>
      <c r="M323" s="21" t="s">
        <v>777</v>
      </c>
      <c r="N323" s="159" t="s">
        <v>787</v>
      </c>
      <c r="O323" s="819" t="s">
        <v>729</v>
      </c>
      <c r="P323" s="21"/>
      <c r="Q323" s="154" t="s">
        <v>310</v>
      </c>
      <c r="R323" s="151" t="s">
        <v>472</v>
      </c>
      <c r="S323" s="159" t="s">
        <v>79</v>
      </c>
      <c r="AY323" s="250" t="s">
        <v>2595</v>
      </c>
      <c r="AZ323" s="137" t="s">
        <v>1723</v>
      </c>
      <c r="BA323" s="138" t="str">
        <f t="shared" si="234"/>
        <v>ДП Ліса.2/1.б/з фальц.</v>
      </c>
      <c r="BK323" s="49"/>
      <c r="BL323" s="41"/>
      <c r="BM323" s="70"/>
      <c r="BS323" s="750" t="s">
        <v>3023</v>
      </c>
      <c r="BT323" s="56" t="s">
        <v>4086</v>
      </c>
      <c r="BU323" s="70" t="str">
        <f t="shared" si="235"/>
        <v>ДП Добір-ЛАДА.Л3/2.Масив</v>
      </c>
      <c r="BW323" s="250" t="s">
        <v>2511</v>
      </c>
      <c r="BX323" s="770" t="s">
        <v>3851</v>
      </c>
      <c r="BY323" s="138" t="str">
        <f t="shared" si="220"/>
        <v>ДП Ніка.2/4.Графіт</v>
      </c>
      <c r="CA323" s="146" t="s">
        <v>3264</v>
      </c>
      <c r="CB323" s="783" t="s">
        <v>5754</v>
      </c>
      <c r="CC323" s="138" t="str">
        <f t="shared" ref="CC323:CC328" si="236">CONCATENATE(CA323,".",CB323)</f>
        <v>ДП ЛАДА B.фальц..робоча..Stand цл Лів +3завіс</v>
      </c>
      <c r="DD323" s="250" t="s">
        <v>1502</v>
      </c>
      <c r="DE323" s="166">
        <v>8050</v>
      </c>
      <c r="DF323" s="528">
        <f t="shared" si="226"/>
        <v>8050</v>
      </c>
      <c r="DG323" s="529"/>
      <c r="DH323" s="530">
        <f t="shared" si="227"/>
        <v>8050</v>
      </c>
      <c r="DP323" s="165" t="s">
        <v>1630</v>
      </c>
      <c r="DQ323" s="166">
        <v>0</v>
      </c>
      <c r="DR323" s="522">
        <f t="shared" si="231"/>
        <v>0</v>
      </c>
      <c r="DS323" s="523"/>
      <c r="DT323" s="524">
        <f t="shared" si="232"/>
        <v>0</v>
      </c>
      <c r="DU323" s="166"/>
      <c r="DV323" s="739" t="s">
        <v>6271</v>
      </c>
      <c r="DW323" s="164">
        <v>0</v>
      </c>
      <c r="DX323" s="531">
        <f t="shared" si="224"/>
        <v>0</v>
      </c>
      <c r="DY323" s="526"/>
      <c r="DZ323" s="527">
        <f t="shared" si="225"/>
        <v>0</v>
      </c>
      <c r="EG323" s="165"/>
      <c r="EH323" s="739" t="s">
        <v>3624</v>
      </c>
      <c r="EI323" s="164">
        <v>1690</v>
      </c>
      <c r="EJ323" s="531">
        <f t="shared" si="222"/>
        <v>1690</v>
      </c>
      <c r="EK323" s="526"/>
      <c r="EL323" s="527">
        <f t="shared" si="229"/>
        <v>1690</v>
      </c>
    </row>
    <row r="324" spans="12:142">
      <c r="L324" s="154" t="s">
        <v>311</v>
      </c>
      <c r="M324" s="21" t="s">
        <v>778</v>
      </c>
      <c r="N324" s="159" t="s">
        <v>788</v>
      </c>
      <c r="O324" s="819" t="s">
        <v>729</v>
      </c>
      <c r="P324" s="21"/>
      <c r="Q324" s="154" t="s">
        <v>311</v>
      </c>
      <c r="R324" s="151" t="s">
        <v>473</v>
      </c>
      <c r="S324" s="159" t="s">
        <v>80</v>
      </c>
      <c r="AY324" s="249" t="s">
        <v>2595</v>
      </c>
      <c r="AZ324" s="62" t="s">
        <v>1724</v>
      </c>
      <c r="BA324" s="139" t="str">
        <f t="shared" si="234"/>
        <v>ДП Ліса.2/1.купе.</v>
      </c>
      <c r="BK324" s="49"/>
      <c r="BL324" s="41"/>
      <c r="BM324" s="70"/>
      <c r="BS324" s="750" t="s">
        <v>3024</v>
      </c>
      <c r="BT324" s="56" t="s">
        <v>4086</v>
      </c>
      <c r="BU324" s="70" t="str">
        <f t="shared" si="235"/>
        <v>ДП Добір-ЛАДА.Л4/0.Масив</v>
      </c>
      <c r="BW324" s="249" t="s">
        <v>2511</v>
      </c>
      <c r="BX324" s="248" t="s">
        <v>832</v>
      </c>
      <c r="BY324" s="139" t="str">
        <f t="shared" si="220"/>
        <v>ДП Ніка.2/4.Бронза</v>
      </c>
      <c r="CA324" s="146" t="s">
        <v>3264</v>
      </c>
      <c r="CB324" s="783" t="s">
        <v>5755</v>
      </c>
      <c r="CC324" s="138" t="str">
        <f t="shared" si="236"/>
        <v>ДП ЛАДА B.фальц..робоча..Stand цл Пр +3завіс</v>
      </c>
      <c r="DD324" s="250" t="s">
        <v>1503</v>
      </c>
      <c r="DE324" s="166">
        <v>8050</v>
      </c>
      <c r="DF324" s="528">
        <f t="shared" si="226"/>
        <v>8050</v>
      </c>
      <c r="DG324" s="529"/>
      <c r="DH324" s="530">
        <f t="shared" si="227"/>
        <v>8050</v>
      </c>
      <c r="DP324" s="738" t="s">
        <v>3927</v>
      </c>
      <c r="DQ324" s="166">
        <v>550</v>
      </c>
      <c r="DR324" s="522">
        <f t="shared" si="231"/>
        <v>550</v>
      </c>
      <c r="DS324" s="523"/>
      <c r="DT324" s="524">
        <f t="shared" si="232"/>
        <v>550</v>
      </c>
      <c r="DU324" s="166"/>
      <c r="DV324" s="738" t="s">
        <v>4550</v>
      </c>
      <c r="DW324" s="166">
        <v>80</v>
      </c>
      <c r="DX324" s="522">
        <f t="shared" si="224"/>
        <v>80</v>
      </c>
      <c r="DY324" s="523"/>
      <c r="DZ324" s="524">
        <f t="shared" si="225"/>
        <v>80</v>
      </c>
      <c r="EG324" s="165"/>
      <c r="EH324" s="738" t="s">
        <v>3625</v>
      </c>
      <c r="EI324" s="166">
        <v>0</v>
      </c>
      <c r="EJ324" s="522">
        <f>ROUND(((EI324-(EI324/6))/$DD$3)*$DE$3,2)</f>
        <v>0</v>
      </c>
      <c r="EK324" s="523"/>
      <c r="EL324" s="524">
        <f>IF(EK324="",EJ324,
IF(AND($EI$10&gt;=VLOOKUP(EK324,$EH$5:$EL$9,2,0),$EI$10&lt;=VLOOKUP(EK324,$EH$5:$EL$9,3,0)),
(EJ324*(1-VLOOKUP(EK324,$EH$5:$EL$9,4,0))),
EJ324))</f>
        <v>0</v>
      </c>
    </row>
    <row r="325" spans="12:142">
      <c r="L325" s="154" t="s">
        <v>312</v>
      </c>
      <c r="M325" s="21" t="s">
        <v>779</v>
      </c>
      <c r="N325" s="159" t="s">
        <v>789</v>
      </c>
      <c r="O325" s="819" t="s">
        <v>729</v>
      </c>
      <c r="P325" s="21"/>
      <c r="Q325" s="154" t="s">
        <v>312</v>
      </c>
      <c r="R325" s="151" t="s">
        <v>474</v>
      </c>
      <c r="S325" s="159" t="s">
        <v>81</v>
      </c>
      <c r="AY325" s="250" t="s">
        <v>2596</v>
      </c>
      <c r="AZ325" s="137" t="s">
        <v>1722</v>
      </c>
      <c r="BA325" s="138" t="str">
        <f t="shared" si="234"/>
        <v>ДП Ліса.2/2.фальц.</v>
      </c>
      <c r="BK325" s="49"/>
      <c r="BL325" s="41"/>
      <c r="BM325" s="70"/>
      <c r="BS325" s="750" t="s">
        <v>3025</v>
      </c>
      <c r="BT325" s="56" t="s">
        <v>4086</v>
      </c>
      <c r="BU325" s="70" t="str">
        <f t="shared" si="235"/>
        <v>ДП Добір-ЛАДА.Л4/1.Масив</v>
      </c>
      <c r="BW325" s="249" t="s">
        <v>2511</v>
      </c>
      <c r="BX325" s="248" t="s">
        <v>6046</v>
      </c>
      <c r="BY325" s="139" t="str">
        <f>CONCATENATE(BW325,".",BX325)</f>
        <v>ДП Ніка.2/4.Лакобель</v>
      </c>
      <c r="CA325" s="146" t="s">
        <v>3264</v>
      </c>
      <c r="CB325" s="783" t="s">
        <v>5756</v>
      </c>
      <c r="CC325" s="138" t="str">
        <f t="shared" si="236"/>
        <v>ДП ЛАДА B.фальц..робоча..Stand кл Лів +3завіс</v>
      </c>
      <c r="DD325" s="250" t="s">
        <v>1504</v>
      </c>
      <c r="DE325" s="166">
        <v>8050</v>
      </c>
      <c r="DF325" s="528">
        <f t="shared" si="226"/>
        <v>8050</v>
      </c>
      <c r="DG325" s="529"/>
      <c r="DH325" s="530">
        <f t="shared" si="227"/>
        <v>8050</v>
      </c>
      <c r="DP325" s="108" t="s">
        <v>1641</v>
      </c>
      <c r="DQ325" s="164">
        <v>550</v>
      </c>
      <c r="DR325" s="531">
        <f t="shared" si="231"/>
        <v>550</v>
      </c>
      <c r="DS325" s="526"/>
      <c r="DT325" s="527">
        <f t="shared" si="232"/>
        <v>550</v>
      </c>
      <c r="DU325" s="166"/>
      <c r="DV325" s="738" t="s">
        <v>4551</v>
      </c>
      <c r="DW325" s="166">
        <v>80</v>
      </c>
      <c r="DX325" s="522">
        <f t="shared" si="224"/>
        <v>80</v>
      </c>
      <c r="DY325" s="523"/>
      <c r="DZ325" s="524">
        <f t="shared" si="225"/>
        <v>80</v>
      </c>
      <c r="EG325" s="165"/>
      <c r="EH325" s="739" t="s">
        <v>3626</v>
      </c>
      <c r="EI325" s="164">
        <v>1690</v>
      </c>
      <c r="EJ325" s="531">
        <f>ROUND(((EI325-(EI325/6))/$DD$3)*$DE$3,2)</f>
        <v>1690</v>
      </c>
      <c r="EK325" s="526"/>
      <c r="EL325" s="527">
        <f>IF(EK325="",EJ325,
IF(AND($EI$10&gt;=VLOOKUP(EK325,$EH$5:$EL$9,2,0),$EI$10&lt;=VLOOKUP(EK325,$EH$5:$EL$9,3,0)),
(EJ325*(1-VLOOKUP(EK325,$EH$5:$EL$9,4,0))),
EJ325))</f>
        <v>1690</v>
      </c>
    </row>
    <row r="326" spans="12:142">
      <c r="L326" s="154" t="s">
        <v>313</v>
      </c>
      <c r="M326" s="21" t="s">
        <v>780</v>
      </c>
      <c r="N326" s="159" t="s">
        <v>790</v>
      </c>
      <c r="O326" s="819" t="s">
        <v>729</v>
      </c>
      <c r="P326" s="21"/>
      <c r="Q326" s="154" t="s">
        <v>313</v>
      </c>
      <c r="R326" s="151" t="s">
        <v>475</v>
      </c>
      <c r="S326" s="159" t="s">
        <v>82</v>
      </c>
      <c r="AY326" s="250" t="s">
        <v>2596</v>
      </c>
      <c r="AZ326" s="137" t="s">
        <v>1723</v>
      </c>
      <c r="BA326" s="138" t="str">
        <f t="shared" si="234"/>
        <v>ДП Ліса.2/2.б/з фальц.</v>
      </c>
      <c r="BK326" s="565"/>
      <c r="BL326" s="561"/>
      <c r="BM326" s="562"/>
      <c r="BS326" s="750" t="s">
        <v>3026</v>
      </c>
      <c r="BT326" s="56" t="s">
        <v>4086</v>
      </c>
      <c r="BU326" s="70" t="str">
        <f t="shared" si="235"/>
        <v>ДП Добір-ЛАДА.Л5/0.Масив</v>
      </c>
      <c r="BW326" s="432"/>
      <c r="BX326" s="432"/>
      <c r="BY326" s="432"/>
      <c r="CA326" s="146" t="s">
        <v>3264</v>
      </c>
      <c r="CB326" s="783" t="s">
        <v>5757</v>
      </c>
      <c r="CC326" s="138" t="str">
        <f t="shared" si="236"/>
        <v>ДП ЛАДА B.фальц..робоча..Stand кл Пр +3завіс</v>
      </c>
      <c r="DD326" s="250" t="s">
        <v>1505</v>
      </c>
      <c r="DE326" s="166">
        <v>8050</v>
      </c>
      <c r="DF326" s="528">
        <f t="shared" si="226"/>
        <v>8050</v>
      </c>
      <c r="DG326" s="529"/>
      <c r="DH326" s="530">
        <f t="shared" si="227"/>
        <v>8050</v>
      </c>
      <c r="DP326" s="538"/>
      <c r="DQ326" s="539"/>
      <c r="DR326" s="650"/>
      <c r="DS326" s="651"/>
      <c r="DT326" s="652"/>
      <c r="DU326" s="166"/>
      <c r="DV326" s="739" t="s">
        <v>4552</v>
      </c>
      <c r="DW326" s="164">
        <v>80</v>
      </c>
      <c r="DX326" s="531">
        <f>ROUND(((DW326-(DW326/6))/$DD$3)*$DE$3,2)</f>
        <v>80</v>
      </c>
      <c r="DY326" s="526"/>
      <c r="DZ326" s="527">
        <f>IF(DY326="",DX326,
IF(AND($DW$10&gt;=VLOOKUP(DY326,$DV$5:$DZ$9,2,0),$DW$10&lt;=VLOOKUP(DY326,$DV$5:$DZ$9,3,0)),
(DX326*(1-VLOOKUP(DY326,$DV$5:$DZ$9,4,0))),
DX326))</f>
        <v>80</v>
      </c>
      <c r="EG326" s="165"/>
      <c r="EH326" s="738" t="s">
        <v>3627</v>
      </c>
      <c r="EI326" s="166">
        <v>0</v>
      </c>
      <c r="EJ326" s="522">
        <f>ROUND(((EI326-(EI326/6))/$DD$3)*$DE$3,2)</f>
        <v>0</v>
      </c>
      <c r="EK326" s="523"/>
      <c r="EL326" s="524">
        <f>IF(EK326="",EJ326,
IF(AND($EI$10&gt;=VLOOKUP(EK326,$EH$5:$EL$9,2,0),$EI$10&lt;=VLOOKUP(EK326,$EH$5:$EL$9,3,0)),
(EJ326*(1-VLOOKUP(EK326,$EH$5:$EL$9,4,0))),
EJ326))</f>
        <v>0</v>
      </c>
    </row>
    <row r="327" spans="12:142">
      <c r="L327" s="154" t="s">
        <v>314</v>
      </c>
      <c r="M327" s="21" t="s">
        <v>781</v>
      </c>
      <c r="N327" s="159" t="s">
        <v>745</v>
      </c>
      <c r="O327" s="819" t="s">
        <v>729</v>
      </c>
      <c r="P327" s="21"/>
      <c r="Q327" s="154" t="s">
        <v>314</v>
      </c>
      <c r="R327" s="151" t="s">
        <v>476</v>
      </c>
      <c r="S327" s="159" t="s">
        <v>83</v>
      </c>
      <c r="AY327" s="249" t="s">
        <v>2596</v>
      </c>
      <c r="AZ327" s="62" t="s">
        <v>1724</v>
      </c>
      <c r="BA327" s="139" t="str">
        <f t="shared" si="234"/>
        <v>ДП Ліса.2/2.купе.</v>
      </c>
      <c r="BS327" s="750" t="s">
        <v>3027</v>
      </c>
      <c r="BT327" s="56" t="s">
        <v>4086</v>
      </c>
      <c r="BU327" s="70" t="str">
        <f t="shared" si="235"/>
        <v>ДП Добір-ЛАДА.Л5/1.Масив</v>
      </c>
      <c r="BW327" s="251" t="s">
        <v>2594</v>
      </c>
      <c r="BX327" s="246" t="s">
        <v>458</v>
      </c>
      <c r="BY327" s="135" t="str">
        <f t="shared" ref="BY327:BY349" si="237">CONCATENATE(BW327,".",BX327)</f>
        <v>ДП Ліса.2/0.Сатин</v>
      </c>
      <c r="CA327" s="146" t="s">
        <v>3264</v>
      </c>
      <c r="CB327" s="783" t="s">
        <v>5758</v>
      </c>
      <c r="CC327" s="138" t="str">
        <f t="shared" si="236"/>
        <v>ДП ЛАДА B.фальц..робоча..Stand ст Лів +3завіс</v>
      </c>
      <c r="DD327" s="250" t="s">
        <v>1506</v>
      </c>
      <c r="DE327" s="166">
        <v>8050</v>
      </c>
      <c r="DF327" s="528">
        <f t="shared" si="226"/>
        <v>8050</v>
      </c>
      <c r="DG327" s="529"/>
      <c r="DH327" s="530">
        <f t="shared" si="227"/>
        <v>8050</v>
      </c>
      <c r="DP327" s="743" t="s">
        <v>4157</v>
      </c>
      <c r="DQ327" s="105">
        <v>0</v>
      </c>
      <c r="DR327" s="403">
        <f t="shared" ref="DR327:DR374" si="238">ROUND(((DQ327-(DQ327/6))/$DD$3)*$DE$3,2)</f>
        <v>0</v>
      </c>
      <c r="DS327" s="514"/>
      <c r="DT327" s="511">
        <f t="shared" ref="DT327:DT374" si="239">IF(DS327="",DR327,
IF(AND($DQ$10&gt;=VLOOKUP(DS327,$DP$5:$DT$9,2,0),$DQ$10&lt;=VLOOKUP(DS327,$DP$5:$DT$9,3,0)),
(DR327*(1-VLOOKUP(DS327,$DP$5:$DT$9,4,0))),
DR327))</f>
        <v>0</v>
      </c>
      <c r="DU327" s="166"/>
      <c r="DV327" s="739" t="s">
        <v>6272</v>
      </c>
      <c r="DW327" s="164">
        <v>80</v>
      </c>
      <c r="DX327" s="531">
        <f t="shared" si="224"/>
        <v>80</v>
      </c>
      <c r="DY327" s="526"/>
      <c r="DZ327" s="527">
        <f t="shared" si="225"/>
        <v>80</v>
      </c>
      <c r="EG327" s="165"/>
      <c r="EH327" s="739" t="s">
        <v>3628</v>
      </c>
      <c r="EI327" s="164">
        <v>1950</v>
      </c>
      <c r="EJ327" s="531">
        <f>ROUND(((EI327-(EI327/6))/$DD$3)*$DE$3,2)</f>
        <v>1950</v>
      </c>
      <c r="EK327" s="526"/>
      <c r="EL327" s="527">
        <f>IF(EK327="",EJ327,
IF(AND($EI$10&gt;=VLOOKUP(EK327,$EH$5:$EL$9,2,0),$EI$10&lt;=VLOOKUP(EK327,$EH$5:$EL$9,3,0)),
(EJ327*(1-VLOOKUP(EK327,$EH$5:$EL$9,4,0))),
EJ327))</f>
        <v>1950</v>
      </c>
    </row>
    <row r="328" spans="12:142">
      <c r="L328" s="155" t="s">
        <v>315</v>
      </c>
      <c r="M328" s="254" t="s">
        <v>782</v>
      </c>
      <c r="N328" s="160" t="s">
        <v>746</v>
      </c>
      <c r="O328" s="422" t="s">
        <v>729</v>
      </c>
      <c r="P328" s="21"/>
      <c r="Q328" s="155" t="s">
        <v>315</v>
      </c>
      <c r="R328" s="152" t="s">
        <v>477</v>
      </c>
      <c r="S328" s="160" t="s">
        <v>84</v>
      </c>
      <c r="AY328" s="250" t="s">
        <v>2597</v>
      </c>
      <c r="AZ328" s="137" t="s">
        <v>1722</v>
      </c>
      <c r="BA328" s="138" t="str">
        <f t="shared" si="234"/>
        <v>ДП Ліса.3/0.фальц.</v>
      </c>
      <c r="BS328" s="750" t="s">
        <v>3028</v>
      </c>
      <c r="BT328" s="56" t="s">
        <v>4086</v>
      </c>
      <c r="BU328" s="70" t="str">
        <f t="shared" si="235"/>
        <v>ДП Добір-ЛАДА.Л6/0.Масив</v>
      </c>
      <c r="BW328" s="250" t="s">
        <v>2594</v>
      </c>
      <c r="BX328" s="770" t="s">
        <v>3851</v>
      </c>
      <c r="BY328" s="138" t="str">
        <f t="shared" si="237"/>
        <v>ДП Ліса.2/0.Графіт</v>
      </c>
      <c r="CA328" s="146" t="s">
        <v>3264</v>
      </c>
      <c r="CB328" s="783" t="s">
        <v>5759</v>
      </c>
      <c r="CC328" s="138" t="str">
        <f t="shared" si="236"/>
        <v>ДП ЛАДА B.фальц..робоча..Stand ст Пр +3завіс</v>
      </c>
      <c r="DD328" s="250" t="s">
        <v>1507</v>
      </c>
      <c r="DE328" s="166">
        <v>8050</v>
      </c>
      <c r="DF328" s="528">
        <f t="shared" si="226"/>
        <v>8050</v>
      </c>
      <c r="DG328" s="529"/>
      <c r="DH328" s="530">
        <f t="shared" si="227"/>
        <v>8050</v>
      </c>
      <c r="DP328" s="251" t="s">
        <v>2512</v>
      </c>
      <c r="DQ328" s="163">
        <v>0</v>
      </c>
      <c r="DR328" s="528">
        <f t="shared" si="238"/>
        <v>0</v>
      </c>
      <c r="DS328" s="529"/>
      <c r="DT328" s="530">
        <f t="shared" si="239"/>
        <v>0</v>
      </c>
      <c r="DU328" s="166"/>
      <c r="DV328" s="738" t="s">
        <v>4553</v>
      </c>
      <c r="DW328" s="166">
        <v>800.00000000000011</v>
      </c>
      <c r="DX328" s="522">
        <f t="shared" ref="DX328:DX333" si="240">ROUND(((DW328-(DW328/6))/$DD$3)*$DE$3,2)</f>
        <v>800</v>
      </c>
      <c r="DY328" s="523"/>
      <c r="DZ328" s="524">
        <f t="shared" ref="DZ328:DZ333" si="241">IF(DY328="",DX328,
IF(AND($DW$10&gt;=VLOOKUP(DY328,$DV$5:$DZ$9,2,0),$DW$10&lt;=VLOOKUP(DY328,$DV$5:$DZ$9,3,0)),
(DX328*(1-VLOOKUP(DY328,$DV$5:$DZ$9,4,0))),
DX328))</f>
        <v>800</v>
      </c>
      <c r="EG328" s="165"/>
      <c r="EH328" s="738" t="s">
        <v>3629</v>
      </c>
      <c r="EI328" s="166">
        <v>0</v>
      </c>
      <c r="EJ328" s="522">
        <f t="shared" si="222"/>
        <v>0</v>
      </c>
      <c r="EK328" s="523"/>
      <c r="EL328" s="524">
        <f t="shared" si="229"/>
        <v>0</v>
      </c>
    </row>
    <row r="329" spans="12:142">
      <c r="L329" s="49"/>
      <c r="M329" s="48"/>
      <c r="N329" s="94"/>
      <c r="O329" s="423"/>
      <c r="Q329" s="49"/>
      <c r="R329" s="98"/>
      <c r="S329" s="94"/>
      <c r="AY329" s="250" t="s">
        <v>2597</v>
      </c>
      <c r="AZ329" s="137" t="s">
        <v>1723</v>
      </c>
      <c r="BA329" s="138" t="str">
        <f t="shared" si="234"/>
        <v>ДП Ліса.3/0.б/з фальц.</v>
      </c>
      <c r="BS329" s="750" t="s">
        <v>3029</v>
      </c>
      <c r="BT329" s="56" t="s">
        <v>4086</v>
      </c>
      <c r="BU329" s="70" t="str">
        <f t="shared" si="235"/>
        <v>ДП Добір-ЛАДА.Л6/1.Масив</v>
      </c>
      <c r="BW329" s="249" t="s">
        <v>2594</v>
      </c>
      <c r="BX329" s="248" t="s">
        <v>832</v>
      </c>
      <c r="BY329" s="139" t="str">
        <f t="shared" si="237"/>
        <v>ДП Ліса.2/0.Бронза</v>
      </c>
      <c r="CA329" s="146" t="s">
        <v>3264</v>
      </c>
      <c r="CC329" s="138"/>
      <c r="DD329" s="250" t="s">
        <v>1508</v>
      </c>
      <c r="DE329" s="166">
        <v>8050</v>
      </c>
      <c r="DF329" s="528">
        <f t="shared" si="226"/>
        <v>8050</v>
      </c>
      <c r="DG329" s="529"/>
      <c r="DH329" s="530">
        <f t="shared" si="227"/>
        <v>8050</v>
      </c>
      <c r="DP329" s="740" t="s">
        <v>3928</v>
      </c>
      <c r="DQ329" s="166">
        <v>550</v>
      </c>
      <c r="DR329" s="522">
        <f t="shared" si="238"/>
        <v>550</v>
      </c>
      <c r="DS329" s="523"/>
      <c r="DT329" s="524">
        <f t="shared" si="239"/>
        <v>550</v>
      </c>
      <c r="DU329" s="166"/>
      <c r="DV329" s="738" t="s">
        <v>4554</v>
      </c>
      <c r="DW329" s="166">
        <v>800.00000000000011</v>
      </c>
      <c r="DX329" s="522">
        <f t="shared" si="240"/>
        <v>800</v>
      </c>
      <c r="DY329" s="523"/>
      <c r="DZ329" s="524">
        <f t="shared" si="241"/>
        <v>800</v>
      </c>
      <c r="EG329" s="165"/>
      <c r="EH329" s="739" t="s">
        <v>3630</v>
      </c>
      <c r="EI329" s="164">
        <v>2060</v>
      </c>
      <c r="EJ329" s="531">
        <f t="shared" si="222"/>
        <v>2060</v>
      </c>
      <c r="EK329" s="526"/>
      <c r="EL329" s="527">
        <f t="shared" si="229"/>
        <v>2060</v>
      </c>
    </row>
    <row r="330" spans="12:142">
      <c r="L330" s="552"/>
      <c r="M330" s="553"/>
      <c r="N330" s="553"/>
      <c r="O330" s="553"/>
      <c r="P330" s="553"/>
      <c r="Q330" s="553"/>
      <c r="R330" s="553"/>
      <c r="S330" s="553"/>
      <c r="AY330" s="249" t="s">
        <v>2597</v>
      </c>
      <c r="AZ330" s="62" t="s">
        <v>1724</v>
      </c>
      <c r="BA330" s="139" t="str">
        <f t="shared" si="234"/>
        <v>ДП Ліса.3/0.купе.</v>
      </c>
      <c r="BS330" s="426"/>
      <c r="BT330" s="427"/>
      <c r="BU330" s="428"/>
      <c r="BW330" s="249" t="s">
        <v>2594</v>
      </c>
      <c r="BX330" s="248" t="s">
        <v>6046</v>
      </c>
      <c r="BY330" s="139" t="str">
        <f>CONCATENATE(BW330,".",BX330)</f>
        <v>ДП Ліса.2/0.Лакобель</v>
      </c>
      <c r="CA330" s="146" t="s">
        <v>3264</v>
      </c>
      <c r="CB330" s="137" t="s">
        <v>4304</v>
      </c>
      <c r="CC330" s="138" t="str">
        <f>CONCATENATE(CA330,".",CB330)</f>
        <v>ДП ЛАДА B.фальц..робоча..Soft цл +3завіс</v>
      </c>
      <c r="DD330" s="250" t="s">
        <v>1509</v>
      </c>
      <c r="DE330" s="166">
        <v>8050</v>
      </c>
      <c r="DF330" s="528">
        <f t="shared" si="226"/>
        <v>8050</v>
      </c>
      <c r="DG330" s="529"/>
      <c r="DH330" s="530">
        <f t="shared" si="227"/>
        <v>8050</v>
      </c>
      <c r="DP330" s="249" t="s">
        <v>2513</v>
      </c>
      <c r="DQ330" s="164">
        <v>550</v>
      </c>
      <c r="DR330" s="531">
        <f t="shared" si="238"/>
        <v>550</v>
      </c>
      <c r="DS330" s="526"/>
      <c r="DT330" s="527">
        <f t="shared" si="239"/>
        <v>550</v>
      </c>
      <c r="DU330" s="166"/>
      <c r="DV330" s="738" t="s">
        <v>4555</v>
      </c>
      <c r="DW330" s="166">
        <v>800.00000000000011</v>
      </c>
      <c r="DX330" s="522">
        <f t="shared" si="240"/>
        <v>800</v>
      </c>
      <c r="DY330" s="523"/>
      <c r="DZ330" s="524">
        <f t="shared" si="241"/>
        <v>800</v>
      </c>
      <c r="EG330" s="165"/>
      <c r="EH330" s="738" t="s">
        <v>3631</v>
      </c>
      <c r="EI330" s="166">
        <v>0</v>
      </c>
      <c r="EJ330" s="522">
        <f t="shared" si="222"/>
        <v>0</v>
      </c>
      <c r="EK330" s="523"/>
      <c r="EL330" s="524">
        <f t="shared" ref="EL330:EL340" si="242">IF(EK330="",EJ330,
IF(AND($EI$10&gt;=VLOOKUP(EK330,$EH$5:$EL$9,2,0),$EI$10&lt;=VLOOKUP(EK330,$EH$5:$EL$9,3,0)),
(EJ330*(1-VLOOKUP(EK330,$EH$5:$EL$9,4,0))),
EJ330))</f>
        <v>0</v>
      </c>
    </row>
    <row r="331" spans="12:142">
      <c r="L331" s="49"/>
      <c r="M331" s="48"/>
      <c r="N331" s="94"/>
      <c r="O331" s="423"/>
      <c r="Q331" s="49"/>
      <c r="R331" s="98"/>
      <c r="S331" s="94"/>
      <c r="AY331" s="250" t="s">
        <v>2598</v>
      </c>
      <c r="AZ331" s="137" t="s">
        <v>1722</v>
      </c>
      <c r="BA331" s="138" t="str">
        <f t="shared" si="234"/>
        <v>ДП Ліса.3/1.фальц.</v>
      </c>
      <c r="BS331" s="48"/>
      <c r="BT331" s="41"/>
      <c r="BU331" s="70"/>
      <c r="BW331" s="251" t="s">
        <v>2595</v>
      </c>
      <c r="BX331" s="246" t="s">
        <v>458</v>
      </c>
      <c r="BY331" s="135" t="str">
        <f t="shared" si="237"/>
        <v>ДП Ліса.2/1.Сатин</v>
      </c>
      <c r="CA331" s="146" t="s">
        <v>3264</v>
      </c>
      <c r="CB331" s="137" t="s">
        <v>4307</v>
      </c>
      <c r="CC331" s="138" t="str">
        <f>CONCATENATE(CA331,".",CB331)</f>
        <v>ДП ЛАДА B.фальц..робоча..Soft ст +3завіс</v>
      </c>
      <c r="DD331" s="250" t="s">
        <v>1510</v>
      </c>
      <c r="DE331" s="166">
        <v>8050</v>
      </c>
      <c r="DF331" s="528">
        <f t="shared" si="226"/>
        <v>8050</v>
      </c>
      <c r="DG331" s="529"/>
      <c r="DH331" s="530">
        <f t="shared" si="227"/>
        <v>8050</v>
      </c>
      <c r="DP331" s="249" t="s">
        <v>6077</v>
      </c>
      <c r="DQ331" s="164">
        <v>551</v>
      </c>
      <c r="DR331" s="531">
        <f>ROUND(((DQ331-(DQ331/6))/$DD$3)*$DE$3,2)</f>
        <v>551</v>
      </c>
      <c r="DS331" s="526"/>
      <c r="DT331" s="527">
        <f>IF(DS331="",DR331,
IF(AND($DQ$10&gt;=VLOOKUP(DS331,$DP$5:$DT$9,2,0),$DQ$10&lt;=VLOOKUP(DS331,$DP$5:$DT$9,3,0)),
(DR331*(1-VLOOKUP(DS331,$DP$5:$DT$9,4,0))),
DR331))</f>
        <v>551</v>
      </c>
      <c r="DU331" s="166"/>
      <c r="DV331" s="738" t="s">
        <v>4556</v>
      </c>
      <c r="DW331" s="166">
        <v>800.00000000000011</v>
      </c>
      <c r="DX331" s="522">
        <f t="shared" si="240"/>
        <v>800</v>
      </c>
      <c r="DY331" s="523"/>
      <c r="DZ331" s="524">
        <f t="shared" si="241"/>
        <v>800</v>
      </c>
      <c r="EG331" s="165"/>
      <c r="EH331" s="739" t="s">
        <v>3632</v>
      </c>
      <c r="EI331" s="164">
        <v>2190</v>
      </c>
      <c r="EJ331" s="531">
        <f t="shared" si="222"/>
        <v>2190</v>
      </c>
      <c r="EK331" s="526"/>
      <c r="EL331" s="527">
        <f t="shared" si="242"/>
        <v>2190</v>
      </c>
    </row>
    <row r="332" spans="12:142">
      <c r="L332" s="751" t="s">
        <v>5934</v>
      </c>
      <c r="M332" s="817" t="s">
        <v>757</v>
      </c>
      <c r="N332" s="100" t="s">
        <v>2135</v>
      </c>
      <c r="O332" s="818" t="s">
        <v>729</v>
      </c>
      <c r="P332" s="21"/>
      <c r="Q332" s="751" t="s">
        <v>5934</v>
      </c>
      <c r="R332" s="101" t="s">
        <v>159</v>
      </c>
      <c r="S332" s="100"/>
      <c r="AY332" s="250" t="s">
        <v>2598</v>
      </c>
      <c r="AZ332" s="137" t="s">
        <v>1723</v>
      </c>
      <c r="BA332" s="138" t="str">
        <f t="shared" si="234"/>
        <v>ДП Ліса.3/1.б/з фальц.</v>
      </c>
      <c r="BS332" s="48"/>
      <c r="BT332" s="41"/>
      <c r="BU332" s="70"/>
      <c r="BW332" s="250" t="s">
        <v>2595</v>
      </c>
      <c r="BX332" s="770" t="s">
        <v>3851</v>
      </c>
      <c r="BY332" s="138" t="str">
        <f t="shared" si="237"/>
        <v>ДП Ліса.2/1.Графіт</v>
      </c>
      <c r="CA332" s="146" t="s">
        <v>3264</v>
      </c>
      <c r="CB332" s="21"/>
      <c r="CC332" s="21"/>
      <c r="DD332" s="250" t="s">
        <v>1511</v>
      </c>
      <c r="DE332" s="166">
        <v>8050</v>
      </c>
      <c r="DF332" s="528">
        <f t="shared" si="226"/>
        <v>8050</v>
      </c>
      <c r="DG332" s="529"/>
      <c r="DH332" s="530">
        <f t="shared" si="227"/>
        <v>8050</v>
      </c>
      <c r="DP332" s="250" t="s">
        <v>2514</v>
      </c>
      <c r="DQ332" s="166">
        <v>0</v>
      </c>
      <c r="DR332" s="522">
        <f t="shared" si="238"/>
        <v>0</v>
      </c>
      <c r="DS332" s="523"/>
      <c r="DT332" s="524">
        <f t="shared" si="239"/>
        <v>0</v>
      </c>
      <c r="DU332" s="166"/>
      <c r="DV332" s="738" t="s">
        <v>4557</v>
      </c>
      <c r="DW332" s="166">
        <v>800.00000000000011</v>
      </c>
      <c r="DX332" s="522">
        <f t="shared" si="240"/>
        <v>800</v>
      </c>
      <c r="DY332" s="523"/>
      <c r="DZ332" s="524">
        <f t="shared" si="241"/>
        <v>800</v>
      </c>
      <c r="EG332" s="165"/>
      <c r="EH332" s="738" t="s">
        <v>5136</v>
      </c>
      <c r="EI332" s="166">
        <v>0</v>
      </c>
      <c r="EJ332" s="522">
        <f>ROUND(((EI332-(EI332/6))/$DD$3)*$DE$3,2)</f>
        <v>0</v>
      </c>
      <c r="EK332" s="523"/>
      <c r="EL332" s="524">
        <f>IF(EK332="",EJ332,
IF(AND($EI$10&gt;=VLOOKUP(EK332,$EH$5:$EL$9,2,0),$EI$10&lt;=VLOOKUP(EK332,$EH$5:$EL$9,3,0)),
(EJ332*(1-VLOOKUP(EK332,$EH$5:$EL$9,4,0))),
EJ332))</f>
        <v>0</v>
      </c>
    </row>
    <row r="333" spans="12:142">
      <c r="L333" s="750" t="s">
        <v>5935</v>
      </c>
      <c r="M333" s="254" t="s">
        <v>1110</v>
      </c>
      <c r="N333" s="160" t="s">
        <v>2136</v>
      </c>
      <c r="O333" s="422" t="s">
        <v>729</v>
      </c>
      <c r="P333" s="21"/>
      <c r="Q333" s="750" t="s">
        <v>5935</v>
      </c>
      <c r="R333" s="152" t="s">
        <v>159</v>
      </c>
      <c r="S333" s="160"/>
      <c r="AY333" s="249" t="s">
        <v>2598</v>
      </c>
      <c r="AZ333" s="62" t="s">
        <v>1724</v>
      </c>
      <c r="BA333" s="139" t="str">
        <f t="shared" si="234"/>
        <v>ДП Ліса.3/1.купе.</v>
      </c>
      <c r="BS333" s="48"/>
      <c r="BT333" s="41"/>
      <c r="BU333" s="70"/>
      <c r="BW333" s="249" t="s">
        <v>2595</v>
      </c>
      <c r="BX333" s="248" t="s">
        <v>832</v>
      </c>
      <c r="BY333" s="139" t="str">
        <f t="shared" si="237"/>
        <v>ДП Ліса.2/1.Бронза</v>
      </c>
      <c r="CA333" s="146" t="s">
        <v>3264</v>
      </c>
      <c r="CB333" s="137" t="s">
        <v>4316</v>
      </c>
      <c r="CC333" s="138" t="str">
        <f>CONCATENATE(CA333,".",CB333)</f>
        <v>ДП ЛАДА B.фальц..робоча..Magnet цл +3завіс</v>
      </c>
      <c r="DD333" s="250" t="s">
        <v>1513</v>
      </c>
      <c r="DE333" s="166">
        <v>8050</v>
      </c>
      <c r="DF333" s="528">
        <f t="shared" si="226"/>
        <v>8050</v>
      </c>
      <c r="DG333" s="529"/>
      <c r="DH333" s="530">
        <f t="shared" si="227"/>
        <v>8050</v>
      </c>
      <c r="DP333" s="740" t="s">
        <v>3929</v>
      </c>
      <c r="DQ333" s="166">
        <v>550</v>
      </c>
      <c r="DR333" s="522">
        <f t="shared" si="238"/>
        <v>550</v>
      </c>
      <c r="DS333" s="523"/>
      <c r="DT333" s="524">
        <f t="shared" si="239"/>
        <v>550</v>
      </c>
      <c r="DU333" s="166"/>
      <c r="DV333" s="739" t="s">
        <v>4558</v>
      </c>
      <c r="DW333" s="164">
        <v>800.00000000000011</v>
      </c>
      <c r="DX333" s="525">
        <f t="shared" si="240"/>
        <v>800</v>
      </c>
      <c r="DY333" s="526"/>
      <c r="DZ333" s="527">
        <f t="shared" si="241"/>
        <v>800</v>
      </c>
      <c r="EG333" s="165"/>
      <c r="EH333" s="739" t="s">
        <v>5137</v>
      </c>
      <c r="EI333" s="164">
        <v>2360</v>
      </c>
      <c r="EJ333" s="531">
        <f>ROUND(((EI333-(EI333/6))/$DD$3)*$DE$3,2)</f>
        <v>2360</v>
      </c>
      <c r="EK333" s="526"/>
      <c r="EL333" s="527">
        <f>IF(EK333="",EJ333,
IF(AND($EI$10&gt;=VLOOKUP(EK333,$EH$5:$EL$9,2,0),$EI$10&lt;=VLOOKUP(EK333,$EH$5:$EL$9,3,0)),
(EJ333*(1-VLOOKUP(EK333,$EH$5:$EL$9,4,0))),
EJ333))</f>
        <v>2360</v>
      </c>
    </row>
    <row r="334" spans="12:142">
      <c r="L334" s="142" t="s">
        <v>2137</v>
      </c>
      <c r="M334" s="817" t="s">
        <v>758</v>
      </c>
      <c r="N334" s="100" t="s">
        <v>2146</v>
      </c>
      <c r="O334" s="818" t="s">
        <v>729</v>
      </c>
      <c r="P334" s="21"/>
      <c r="Q334" s="142" t="s">
        <v>2137</v>
      </c>
      <c r="R334" s="101" t="s">
        <v>159</v>
      </c>
      <c r="S334" s="100"/>
      <c r="AY334" s="250" t="s">
        <v>2599</v>
      </c>
      <c r="AZ334" s="137" t="s">
        <v>1722</v>
      </c>
      <c r="BA334" s="138" t="str">
        <f t="shared" si="234"/>
        <v>ДП Ліса.3/2.фальц.</v>
      </c>
      <c r="BS334" s="48"/>
      <c r="BT334" s="48"/>
      <c r="BU334" s="70"/>
      <c r="BW334" s="251" t="s">
        <v>2596</v>
      </c>
      <c r="BX334" s="246" t="s">
        <v>458</v>
      </c>
      <c r="BY334" s="135" t="str">
        <f t="shared" si="237"/>
        <v>ДП Ліса.2/2.Сатин</v>
      </c>
      <c r="CA334" s="147" t="s">
        <v>3264</v>
      </c>
      <c r="CB334" s="62" t="s">
        <v>4319</v>
      </c>
      <c r="CC334" s="139" t="str">
        <f>CONCATENATE(CA334,".",CB334)</f>
        <v>ДП ЛАДА B.фальц..робоча..Magnet ст +3завіс</v>
      </c>
      <c r="DD334" s="250" t="s">
        <v>1514</v>
      </c>
      <c r="DE334" s="166">
        <v>8050</v>
      </c>
      <c r="DF334" s="528">
        <f t="shared" si="226"/>
        <v>8050</v>
      </c>
      <c r="DG334" s="529"/>
      <c r="DH334" s="530">
        <f t="shared" si="227"/>
        <v>8050</v>
      </c>
      <c r="DP334" s="249" t="s">
        <v>2515</v>
      </c>
      <c r="DQ334" s="164">
        <v>550</v>
      </c>
      <c r="DR334" s="531">
        <f t="shared" si="238"/>
        <v>550</v>
      </c>
      <c r="DS334" s="526"/>
      <c r="DT334" s="527">
        <f t="shared" si="239"/>
        <v>550</v>
      </c>
      <c r="DU334" s="166"/>
      <c r="DV334" s="738" t="s">
        <v>6273</v>
      </c>
      <c r="DW334" s="166">
        <v>1</v>
      </c>
      <c r="DX334" s="522">
        <f t="shared" si="224"/>
        <v>1</v>
      </c>
      <c r="DY334" s="523"/>
      <c r="DZ334" s="524">
        <f t="shared" si="225"/>
        <v>1</v>
      </c>
      <c r="EG334" s="165"/>
      <c r="EH334" s="738" t="s">
        <v>3633</v>
      </c>
      <c r="EI334" s="166">
        <v>0</v>
      </c>
      <c r="EJ334" s="522">
        <f t="shared" si="222"/>
        <v>0</v>
      </c>
      <c r="EK334" s="523"/>
      <c r="EL334" s="524">
        <f t="shared" si="242"/>
        <v>0</v>
      </c>
    </row>
    <row r="335" spans="12:142">
      <c r="L335" s="143" t="s">
        <v>2138</v>
      </c>
      <c r="M335" s="21" t="s">
        <v>759</v>
      </c>
      <c r="N335" s="159" t="s">
        <v>2147</v>
      </c>
      <c r="O335" s="819" t="s">
        <v>729</v>
      </c>
      <c r="P335" s="21"/>
      <c r="Q335" s="143" t="s">
        <v>2138</v>
      </c>
      <c r="R335" s="151" t="s">
        <v>159</v>
      </c>
      <c r="S335" s="159"/>
      <c r="AY335" s="250" t="s">
        <v>2599</v>
      </c>
      <c r="AZ335" s="137" t="s">
        <v>1723</v>
      </c>
      <c r="BA335" s="138" t="str">
        <f t="shared" si="234"/>
        <v>ДП Ліса.3/2.б/з фальц.</v>
      </c>
      <c r="BS335" s="48"/>
      <c r="BT335" s="48"/>
      <c r="BU335" s="70"/>
      <c r="BW335" s="250" t="s">
        <v>2596</v>
      </c>
      <c r="BX335" s="770" t="s">
        <v>3851</v>
      </c>
      <c r="BY335" s="138" t="str">
        <f t="shared" si="237"/>
        <v>ДП Ліса.2/2.Графіт</v>
      </c>
      <c r="CA335" s="145" t="s">
        <v>3265</v>
      </c>
      <c r="CB335" s="134" t="s">
        <v>4106</v>
      </c>
      <c r="CC335" s="135" t="str">
        <f>CONCATENATE(CA335,".",CB335)</f>
        <v>ДП ЛАДА B.фальц,.неробоча,.(ні)</v>
      </c>
      <c r="DD335" s="250" t="s">
        <v>1515</v>
      </c>
      <c r="DE335" s="166">
        <v>8050</v>
      </c>
      <c r="DF335" s="528">
        <f t="shared" si="226"/>
        <v>8050</v>
      </c>
      <c r="DG335" s="529"/>
      <c r="DH335" s="530">
        <f t="shared" si="227"/>
        <v>8050</v>
      </c>
      <c r="DP335" s="249" t="s">
        <v>6078</v>
      </c>
      <c r="DQ335" s="164">
        <v>550</v>
      </c>
      <c r="DR335" s="531">
        <f>ROUND(((DQ335-(DQ335/6))/$DD$3)*$DE$3,2)</f>
        <v>550</v>
      </c>
      <c r="DS335" s="526"/>
      <c r="DT335" s="527">
        <f>IF(DS335="",DR335,
IF(AND($DQ$10&gt;=VLOOKUP(DS335,$DP$5:$DT$9,2,0),$DQ$10&lt;=VLOOKUP(DS335,$DP$5:$DT$9,3,0)),
(DR335*(1-VLOOKUP(DS335,$DP$5:$DT$9,4,0))),
DR335))</f>
        <v>550</v>
      </c>
      <c r="DU335" s="166"/>
      <c r="DV335" s="738" t="s">
        <v>6274</v>
      </c>
      <c r="DW335" s="166">
        <v>1</v>
      </c>
      <c r="DX335" s="522">
        <f t="shared" si="224"/>
        <v>1</v>
      </c>
      <c r="DY335" s="523"/>
      <c r="DZ335" s="524">
        <f t="shared" si="225"/>
        <v>1</v>
      </c>
      <c r="EG335" s="165"/>
      <c r="EH335" s="739" t="s">
        <v>3634</v>
      </c>
      <c r="EI335" s="164">
        <v>2360</v>
      </c>
      <c r="EJ335" s="531">
        <f t="shared" si="222"/>
        <v>2360</v>
      </c>
      <c r="EK335" s="526"/>
      <c r="EL335" s="527">
        <f t="shared" si="242"/>
        <v>2360</v>
      </c>
    </row>
    <row r="336" spans="12:142">
      <c r="L336" s="144" t="s">
        <v>2139</v>
      </c>
      <c r="M336" s="254" t="s">
        <v>1308</v>
      </c>
      <c r="N336" s="160" t="s">
        <v>2148</v>
      </c>
      <c r="O336" s="422" t="s">
        <v>729</v>
      </c>
      <c r="P336" s="21"/>
      <c r="Q336" s="144" t="s">
        <v>2139</v>
      </c>
      <c r="R336" s="152" t="s">
        <v>159</v>
      </c>
      <c r="S336" s="160"/>
      <c r="AY336" s="249" t="s">
        <v>2599</v>
      </c>
      <c r="AZ336" s="62" t="s">
        <v>1724</v>
      </c>
      <c r="BA336" s="139" t="str">
        <f t="shared" si="234"/>
        <v>ДП Ліса.3/2.купе.</v>
      </c>
      <c r="BS336" s="48"/>
      <c r="BT336" s="48"/>
      <c r="BU336" s="70"/>
      <c r="BW336" s="249" t="s">
        <v>2596</v>
      </c>
      <c r="BX336" s="248" t="s">
        <v>832</v>
      </c>
      <c r="BY336" s="139" t="str">
        <f t="shared" si="237"/>
        <v>ДП Ліса.2/2.Бронза</v>
      </c>
      <c r="CA336" s="146" t="s">
        <v>3265</v>
      </c>
      <c r="CB336" s="21"/>
      <c r="CC336" s="21"/>
      <c r="DD336" s="249" t="s">
        <v>1512</v>
      </c>
      <c r="DE336" s="164">
        <v>8050</v>
      </c>
      <c r="DF336" s="528">
        <f t="shared" si="226"/>
        <v>8050</v>
      </c>
      <c r="DG336" s="529"/>
      <c r="DH336" s="530">
        <f t="shared" si="227"/>
        <v>8050</v>
      </c>
      <c r="DP336" s="250" t="s">
        <v>2516</v>
      </c>
      <c r="DQ336" s="166">
        <v>0</v>
      </c>
      <c r="DR336" s="522">
        <f t="shared" si="238"/>
        <v>0</v>
      </c>
      <c r="DS336" s="523"/>
      <c r="DT336" s="524">
        <f t="shared" si="239"/>
        <v>0</v>
      </c>
      <c r="DU336" s="166"/>
      <c r="DV336" s="738" t="s">
        <v>6275</v>
      </c>
      <c r="DW336" s="166">
        <v>1</v>
      </c>
      <c r="DX336" s="522">
        <f t="shared" si="224"/>
        <v>1</v>
      </c>
      <c r="DY336" s="523"/>
      <c r="DZ336" s="524">
        <f t="shared" si="225"/>
        <v>1</v>
      </c>
      <c r="EG336" s="165"/>
      <c r="EH336" s="256"/>
      <c r="EI336" s="257"/>
      <c r="EJ336" s="517"/>
      <c r="EK336" s="532"/>
      <c r="EL336" s="259"/>
    </row>
    <row r="337" spans="12:142">
      <c r="L337" s="142" t="s">
        <v>555</v>
      </c>
      <c r="M337" s="817" t="s">
        <v>547</v>
      </c>
      <c r="N337" s="100" t="s">
        <v>2167</v>
      </c>
      <c r="O337" s="818" t="s">
        <v>729</v>
      </c>
      <c r="P337" s="21"/>
      <c r="Q337" s="142" t="s">
        <v>555</v>
      </c>
      <c r="R337" s="101" t="s">
        <v>159</v>
      </c>
      <c r="S337" s="100"/>
      <c r="AY337" s="250" t="s">
        <v>2600</v>
      </c>
      <c r="AZ337" s="137" t="s">
        <v>1722</v>
      </c>
      <c r="BA337" s="138" t="str">
        <f t="shared" si="234"/>
        <v>ДП Ліса.3/3.фальц.</v>
      </c>
      <c r="BS337" s="48"/>
      <c r="BT337" s="48"/>
      <c r="BU337" s="70"/>
      <c r="BW337" s="58" t="s">
        <v>2597</v>
      </c>
      <c r="BX337" s="770" t="s">
        <v>4106</v>
      </c>
      <c r="BY337" s="138" t="str">
        <f t="shared" si="237"/>
        <v>ДП Ліса.3/0.(ні)</v>
      </c>
      <c r="CA337" s="146" t="s">
        <v>3265</v>
      </c>
      <c r="CB337" s="783" t="s">
        <v>4325</v>
      </c>
      <c r="CC337" s="138" t="str">
        <f>CONCATENATE(CA337,".",CB337)</f>
        <v>ДП ЛАДА B.фальц,.неробоча,.Пл Stand +3завіс</v>
      </c>
      <c r="DD337" s="250" t="s">
        <v>1548</v>
      </c>
      <c r="DE337" s="166">
        <v>8770</v>
      </c>
      <c r="DF337" s="528">
        <f t="shared" si="226"/>
        <v>8770</v>
      </c>
      <c r="DG337" s="529"/>
      <c r="DH337" s="530">
        <f t="shared" si="227"/>
        <v>8770</v>
      </c>
      <c r="DP337" s="740" t="s">
        <v>3930</v>
      </c>
      <c r="DQ337" s="166">
        <v>550</v>
      </c>
      <c r="DR337" s="522">
        <f t="shared" si="238"/>
        <v>550</v>
      </c>
      <c r="DS337" s="523"/>
      <c r="DT337" s="524">
        <f t="shared" si="239"/>
        <v>550</v>
      </c>
      <c r="DU337" s="166"/>
      <c r="DV337" s="738" t="s">
        <v>6276</v>
      </c>
      <c r="DW337" s="166">
        <v>1</v>
      </c>
      <c r="DX337" s="522">
        <f t="shared" si="224"/>
        <v>1</v>
      </c>
      <c r="DY337" s="523"/>
      <c r="DZ337" s="524">
        <f t="shared" si="225"/>
        <v>1</v>
      </c>
      <c r="EG337" s="165"/>
      <c r="EH337" s="737" t="s">
        <v>4982</v>
      </c>
      <c r="EI337" s="163">
        <v>0</v>
      </c>
      <c r="EJ337" s="537">
        <f t="shared" si="222"/>
        <v>0</v>
      </c>
      <c r="EK337" s="529"/>
      <c r="EL337" s="530">
        <f t="shared" si="242"/>
        <v>0</v>
      </c>
    </row>
    <row r="338" spans="12:142">
      <c r="L338" s="143" t="s">
        <v>505</v>
      </c>
      <c r="M338" s="21" t="s">
        <v>506</v>
      </c>
      <c r="N338" s="159" t="s">
        <v>2168</v>
      </c>
      <c r="O338" s="819" t="s">
        <v>729</v>
      </c>
      <c r="P338" s="21"/>
      <c r="Q338" s="143" t="s">
        <v>505</v>
      </c>
      <c r="R338" s="151" t="s">
        <v>159</v>
      </c>
      <c r="S338" s="159"/>
      <c r="AY338" s="250" t="s">
        <v>2600</v>
      </c>
      <c r="AZ338" s="137" t="s">
        <v>1723</v>
      </c>
      <c r="BA338" s="138" t="str">
        <f t="shared" si="234"/>
        <v>ДП Ліса.3/3.б/з фальц.</v>
      </c>
      <c r="BS338" s="48"/>
      <c r="BT338" s="48"/>
      <c r="BU338" s="70"/>
      <c r="BW338" s="251" t="s">
        <v>2598</v>
      </c>
      <c r="BX338" s="246" t="s">
        <v>458</v>
      </c>
      <c r="BY338" s="135" t="str">
        <f t="shared" si="237"/>
        <v>ДП Ліса.3/1.Сатин</v>
      </c>
      <c r="CA338" s="146" t="s">
        <v>3265</v>
      </c>
      <c r="CB338" s="783" t="s">
        <v>4333</v>
      </c>
      <c r="CC338" s="138" t="str">
        <f>CONCATENATE(CA338,".",CB338)</f>
        <v>ДП ЛАДА B.фальц,.неробоча,.Пл Soft +3завіс</v>
      </c>
      <c r="DD338" s="250" t="s">
        <v>1549</v>
      </c>
      <c r="DE338" s="166">
        <v>8770</v>
      </c>
      <c r="DF338" s="528">
        <f t="shared" si="226"/>
        <v>8770</v>
      </c>
      <c r="DG338" s="529"/>
      <c r="DH338" s="530">
        <f t="shared" si="227"/>
        <v>8770</v>
      </c>
      <c r="DP338" s="249" t="s">
        <v>2517</v>
      </c>
      <c r="DQ338" s="164">
        <v>550</v>
      </c>
      <c r="DR338" s="531">
        <f t="shared" si="238"/>
        <v>550</v>
      </c>
      <c r="DS338" s="526"/>
      <c r="DT338" s="527">
        <f t="shared" si="239"/>
        <v>550</v>
      </c>
      <c r="DU338" s="166"/>
      <c r="DV338" s="738" t="s">
        <v>6277</v>
      </c>
      <c r="DW338" s="166">
        <v>1</v>
      </c>
      <c r="DX338" s="522">
        <f t="shared" si="224"/>
        <v>1</v>
      </c>
      <c r="DY338" s="523"/>
      <c r="DZ338" s="524">
        <f t="shared" si="225"/>
        <v>1</v>
      </c>
      <c r="EG338" s="165"/>
      <c r="EH338" s="739" t="s">
        <v>4983</v>
      </c>
      <c r="EI338" s="164">
        <v>1770</v>
      </c>
      <c r="EJ338" s="531">
        <f t="shared" si="222"/>
        <v>1770</v>
      </c>
      <c r="EK338" s="526"/>
      <c r="EL338" s="527">
        <f t="shared" si="242"/>
        <v>1770</v>
      </c>
    </row>
    <row r="339" spans="12:142">
      <c r="L339" s="144" t="s">
        <v>1111</v>
      </c>
      <c r="M339" s="254" t="s">
        <v>1112</v>
      </c>
      <c r="N339" s="160" t="s">
        <v>2169</v>
      </c>
      <c r="O339" s="422" t="s">
        <v>729</v>
      </c>
      <c r="P339" s="21"/>
      <c r="Q339" s="144" t="s">
        <v>1111</v>
      </c>
      <c r="R339" s="152" t="s">
        <v>159</v>
      </c>
      <c r="S339" s="160"/>
      <c r="AY339" s="249" t="s">
        <v>2600</v>
      </c>
      <c r="AZ339" s="62" t="s">
        <v>1724</v>
      </c>
      <c r="BA339" s="139" t="str">
        <f t="shared" si="234"/>
        <v>ДП Ліса.3/3.купе.</v>
      </c>
      <c r="BS339" s="48"/>
      <c r="BT339" s="48"/>
      <c r="BU339" s="70"/>
      <c r="BW339" s="250" t="s">
        <v>2598</v>
      </c>
      <c r="BX339" s="770" t="s">
        <v>3851</v>
      </c>
      <c r="BY339" s="138" t="str">
        <f t="shared" si="237"/>
        <v>ДП Ліса.3/1.Графіт</v>
      </c>
      <c r="CA339" s="147" t="s">
        <v>3265</v>
      </c>
      <c r="CB339" s="152" t="s">
        <v>4336</v>
      </c>
      <c r="CC339" s="139" t="str">
        <f>CONCATENATE(CA339,".",CB339)</f>
        <v>ДП ЛАДА B.фальц,.неробоча,.Пл Magnet +3завіс</v>
      </c>
      <c r="DD339" s="250" t="s">
        <v>1550</v>
      </c>
      <c r="DE339" s="166">
        <v>8770</v>
      </c>
      <c r="DF339" s="528">
        <f t="shared" si="226"/>
        <v>8770</v>
      </c>
      <c r="DG339" s="529"/>
      <c r="DH339" s="530">
        <f t="shared" si="227"/>
        <v>8770</v>
      </c>
      <c r="DP339" s="249" t="s">
        <v>6079</v>
      </c>
      <c r="DQ339" s="164">
        <v>550</v>
      </c>
      <c r="DR339" s="531">
        <f>ROUND(((DQ339-(DQ339/6))/$DD$3)*$DE$3,2)</f>
        <v>550</v>
      </c>
      <c r="DS339" s="526"/>
      <c r="DT339" s="527">
        <f>IF(DS339="",DR339,
IF(AND($DQ$10&gt;=VLOOKUP(DS339,$DP$5:$DT$9,2,0),$DQ$10&lt;=VLOOKUP(DS339,$DP$5:$DT$9,3,0)),
(DR339*(1-VLOOKUP(DS339,$DP$5:$DT$9,4,0))),
DR339))</f>
        <v>550</v>
      </c>
      <c r="DU339" s="166"/>
      <c r="DV339" s="739" t="s">
        <v>6278</v>
      </c>
      <c r="DW339" s="164">
        <v>1</v>
      </c>
      <c r="DX339" s="525">
        <f t="shared" si="224"/>
        <v>1</v>
      </c>
      <c r="DY339" s="526"/>
      <c r="DZ339" s="527">
        <f t="shared" si="225"/>
        <v>1</v>
      </c>
      <c r="EG339" s="165"/>
      <c r="EH339" s="738" t="s">
        <v>3635</v>
      </c>
      <c r="EI339" s="166">
        <v>0</v>
      </c>
      <c r="EJ339" s="522">
        <f t="shared" si="222"/>
        <v>0</v>
      </c>
      <c r="EK339" s="523"/>
      <c r="EL339" s="524">
        <f t="shared" si="242"/>
        <v>0</v>
      </c>
    </row>
    <row r="340" spans="12:142">
      <c r="L340" s="142" t="s">
        <v>25</v>
      </c>
      <c r="M340" s="817" t="s">
        <v>23</v>
      </c>
      <c r="N340" s="100" t="s">
        <v>2170</v>
      </c>
      <c r="O340" s="818" t="s">
        <v>729</v>
      </c>
      <c r="P340" s="21"/>
      <c r="Q340" s="142" t="s">
        <v>25</v>
      </c>
      <c r="R340" s="101" t="s">
        <v>159</v>
      </c>
      <c r="S340" s="100"/>
      <c r="AY340" s="250" t="s">
        <v>2601</v>
      </c>
      <c r="AZ340" s="137" t="s">
        <v>1722</v>
      </c>
      <c r="BA340" s="138" t="str">
        <f t="shared" si="234"/>
        <v>ДП Ліса.3/4.фальц.</v>
      </c>
      <c r="BS340" s="48"/>
      <c r="BT340" s="48"/>
      <c r="BU340" s="70"/>
      <c r="BW340" s="249" t="s">
        <v>2598</v>
      </c>
      <c r="BX340" s="248" t="s">
        <v>832</v>
      </c>
      <c r="BY340" s="139" t="str">
        <f t="shared" si="237"/>
        <v>ДП Ліса.3/1.Бронза</v>
      </c>
      <c r="CA340" s="145" t="s">
        <v>3266</v>
      </c>
      <c r="CB340" s="134" t="s">
        <v>4106</v>
      </c>
      <c r="CC340" s="135" t="str">
        <f>CONCATENATE(CA340,".",CB340)</f>
        <v>ДП ЛАДА B.фальц..неробоча..(ні)</v>
      </c>
      <c r="DD340" s="250" t="s">
        <v>1551</v>
      </c>
      <c r="DE340" s="166">
        <v>8770</v>
      </c>
      <c r="DF340" s="528">
        <f t="shared" si="226"/>
        <v>8770</v>
      </c>
      <c r="DG340" s="529"/>
      <c r="DH340" s="530">
        <f t="shared" si="227"/>
        <v>8770</v>
      </c>
      <c r="DP340" s="250" t="s">
        <v>2518</v>
      </c>
      <c r="DQ340" s="166">
        <v>0</v>
      </c>
      <c r="DR340" s="522">
        <f t="shared" si="238"/>
        <v>0</v>
      </c>
      <c r="DS340" s="523"/>
      <c r="DT340" s="524">
        <f t="shared" si="239"/>
        <v>0</v>
      </c>
      <c r="DU340" s="166"/>
      <c r="DV340" s="165" t="s">
        <v>2494</v>
      </c>
      <c r="DW340" s="166">
        <v>0</v>
      </c>
      <c r="DX340" s="522">
        <f t="shared" si="224"/>
        <v>0</v>
      </c>
      <c r="DY340" s="523"/>
      <c r="DZ340" s="524">
        <f t="shared" si="225"/>
        <v>0</v>
      </c>
      <c r="EG340" s="165"/>
      <c r="EH340" s="739" t="s">
        <v>3636</v>
      </c>
      <c r="EI340" s="164">
        <v>1770</v>
      </c>
      <c r="EJ340" s="531">
        <f t="shared" si="222"/>
        <v>1770</v>
      </c>
      <c r="EK340" s="526"/>
      <c r="EL340" s="527">
        <f t="shared" si="242"/>
        <v>1770</v>
      </c>
    </row>
    <row r="341" spans="12:142">
      <c r="L341" s="143" t="s">
        <v>26</v>
      </c>
      <c r="M341" s="21" t="s">
        <v>24</v>
      </c>
      <c r="N341" s="159" t="s">
        <v>2171</v>
      </c>
      <c r="O341" s="819" t="s">
        <v>729</v>
      </c>
      <c r="P341" s="21"/>
      <c r="Q341" s="143" t="s">
        <v>26</v>
      </c>
      <c r="R341" s="151" t="s">
        <v>159</v>
      </c>
      <c r="S341" s="159"/>
      <c r="AY341" s="250" t="s">
        <v>2601</v>
      </c>
      <c r="AZ341" s="137" t="s">
        <v>1723</v>
      </c>
      <c r="BA341" s="138" t="str">
        <f t="shared" si="234"/>
        <v>ДП Ліса.3/4.б/з фальц.</v>
      </c>
      <c r="BS341" s="48"/>
      <c r="BT341" s="48"/>
      <c r="BU341" s="70"/>
      <c r="BW341" s="251" t="s">
        <v>2599</v>
      </c>
      <c r="BX341" s="246" t="s">
        <v>458</v>
      </c>
      <c r="BY341" s="135" t="str">
        <f t="shared" si="237"/>
        <v>ДП Ліса.3/2.Сатин</v>
      </c>
      <c r="CA341" s="146" t="s">
        <v>3266</v>
      </c>
      <c r="CB341" s="21"/>
      <c r="CC341" s="21"/>
      <c r="DD341" s="250" t="s">
        <v>1552</v>
      </c>
      <c r="DE341" s="166">
        <v>8770</v>
      </c>
      <c r="DF341" s="528">
        <f t="shared" si="226"/>
        <v>8770</v>
      </c>
      <c r="DG341" s="529"/>
      <c r="DH341" s="530">
        <f t="shared" si="227"/>
        <v>8770</v>
      </c>
      <c r="DP341" s="740" t="s">
        <v>3931</v>
      </c>
      <c r="DQ341" s="166">
        <v>550</v>
      </c>
      <c r="DR341" s="522">
        <f t="shared" si="238"/>
        <v>550</v>
      </c>
      <c r="DS341" s="523"/>
      <c r="DT341" s="524">
        <f t="shared" si="239"/>
        <v>550</v>
      </c>
      <c r="DU341" s="166"/>
      <c r="DV341" s="108" t="s">
        <v>2495</v>
      </c>
      <c r="DW341" s="164">
        <v>560</v>
      </c>
      <c r="DX341" s="531">
        <f t="shared" si="224"/>
        <v>560</v>
      </c>
      <c r="DY341" s="526"/>
      <c r="DZ341" s="527">
        <f t="shared" si="225"/>
        <v>560</v>
      </c>
      <c r="EG341" s="165"/>
      <c r="EH341" s="738" t="s">
        <v>3637</v>
      </c>
      <c r="EI341" s="166">
        <v>0</v>
      </c>
      <c r="EJ341" s="522">
        <f>ROUND(((EI341-(EI341/6))/$DD$3)*$DE$3,2)</f>
        <v>0</v>
      </c>
      <c r="EK341" s="523"/>
      <c r="EL341" s="524">
        <f>IF(EK341="",EJ341,
IF(AND($EI$10&gt;=VLOOKUP(EK341,$EH$5:$EL$9,2,0),$EI$10&lt;=VLOOKUP(EK341,$EH$5:$EL$9,3,0)),
(EJ341*(1-VLOOKUP(EK341,$EH$5:$EL$9,4,0))),
EJ341))</f>
        <v>0</v>
      </c>
    </row>
    <row r="342" spans="12:142">
      <c r="L342" s="144" t="s">
        <v>1280</v>
      </c>
      <c r="M342" s="254" t="s">
        <v>1281</v>
      </c>
      <c r="N342" s="160" t="s">
        <v>2172</v>
      </c>
      <c r="O342" s="422" t="s">
        <v>729</v>
      </c>
      <c r="P342" s="21"/>
      <c r="Q342" s="144" t="s">
        <v>1280</v>
      </c>
      <c r="R342" s="152" t="s">
        <v>159</v>
      </c>
      <c r="S342" s="160"/>
      <c r="AY342" s="249" t="s">
        <v>2601</v>
      </c>
      <c r="AZ342" s="62" t="s">
        <v>1724</v>
      </c>
      <c r="BA342" s="139" t="str">
        <f t="shared" si="234"/>
        <v>ДП Ліса.3/4.купе.</v>
      </c>
      <c r="BS342" s="554"/>
      <c r="BT342" s="554"/>
      <c r="BU342" s="562"/>
      <c r="BW342" s="250" t="s">
        <v>2599</v>
      </c>
      <c r="BX342" s="770" t="s">
        <v>3851</v>
      </c>
      <c r="BY342" s="138" t="str">
        <f t="shared" si="237"/>
        <v>ДП Ліса.3/2.Графіт</v>
      </c>
      <c r="CA342" s="146" t="s">
        <v>3266</v>
      </c>
      <c r="CB342" s="783" t="s">
        <v>4325</v>
      </c>
      <c r="CC342" s="138" t="str">
        <f>CONCATENATE(CA342,".",CB342)</f>
        <v>ДП ЛАДА B.фальц..неробоча..Пл Stand +3завіс</v>
      </c>
      <c r="DD342" s="250" t="s">
        <v>1553</v>
      </c>
      <c r="DE342" s="166">
        <v>8770</v>
      </c>
      <c r="DF342" s="528">
        <f t="shared" si="226"/>
        <v>8770</v>
      </c>
      <c r="DG342" s="529"/>
      <c r="DH342" s="530">
        <f t="shared" si="227"/>
        <v>8770</v>
      </c>
      <c r="DP342" s="249" t="s">
        <v>2519</v>
      </c>
      <c r="DQ342" s="164">
        <v>550</v>
      </c>
      <c r="DR342" s="531">
        <f t="shared" si="238"/>
        <v>550</v>
      </c>
      <c r="DS342" s="526"/>
      <c r="DT342" s="527">
        <f t="shared" si="239"/>
        <v>550</v>
      </c>
      <c r="DU342" s="166"/>
      <c r="DV342" s="647"/>
      <c r="DW342" s="648"/>
      <c r="DX342" s="654"/>
      <c r="DY342" s="655"/>
      <c r="DZ342" s="656"/>
      <c r="EG342" s="165"/>
      <c r="EH342" s="739" t="s">
        <v>3638</v>
      </c>
      <c r="EI342" s="164">
        <v>1770</v>
      </c>
      <c r="EJ342" s="531">
        <f>ROUND(((EI342-(EI342/6))/$DD$3)*$DE$3,2)</f>
        <v>1770</v>
      </c>
      <c r="EK342" s="526"/>
      <c r="EL342" s="527">
        <f>IF(EK342="",EJ342,
IF(AND($EI$10&gt;=VLOOKUP(EK342,$EH$5:$EL$9,2,0),$EI$10&lt;=VLOOKUP(EK342,$EH$5:$EL$9,3,0)),
(EJ342*(1-VLOOKUP(EK342,$EH$5:$EL$9,4,0))),
EJ342))</f>
        <v>1770</v>
      </c>
    </row>
    <row r="343" spans="12:142">
      <c r="L343" s="744" t="s">
        <v>6472</v>
      </c>
      <c r="M343" s="101" t="s">
        <v>3108</v>
      </c>
      <c r="N343" s="823" t="s">
        <v>5423</v>
      </c>
      <c r="O343" s="818" t="s">
        <v>728</v>
      </c>
      <c r="P343" s="21"/>
      <c r="Q343" s="751" t="s">
        <v>6472</v>
      </c>
      <c r="R343" s="101" t="s">
        <v>159</v>
      </c>
      <c r="S343" s="100"/>
      <c r="AY343" s="432"/>
      <c r="AZ343" s="222"/>
      <c r="BA343" s="223"/>
      <c r="BW343" s="249" t="s">
        <v>2599</v>
      </c>
      <c r="BX343" s="248" t="s">
        <v>832</v>
      </c>
      <c r="BY343" s="139" t="str">
        <f t="shared" si="237"/>
        <v>ДП Ліса.3/2.Бронза</v>
      </c>
      <c r="CA343" s="146" t="s">
        <v>3266</v>
      </c>
      <c r="CB343" s="783" t="s">
        <v>4333</v>
      </c>
      <c r="CC343" s="138" t="str">
        <f>CONCATENATE(CA343,".",CB343)</f>
        <v>ДП ЛАДА B.фальц..неробоча..Пл Soft +3завіс</v>
      </c>
      <c r="DD343" s="250" t="s">
        <v>1554</v>
      </c>
      <c r="DE343" s="166">
        <v>8770</v>
      </c>
      <c r="DF343" s="528">
        <f t="shared" si="226"/>
        <v>8770</v>
      </c>
      <c r="DG343" s="529"/>
      <c r="DH343" s="530">
        <f t="shared" si="227"/>
        <v>8770</v>
      </c>
      <c r="DP343" s="249" t="s">
        <v>6080</v>
      </c>
      <c r="DQ343" s="164">
        <v>550</v>
      </c>
      <c r="DR343" s="531">
        <f>ROUND(((DQ343-(DQ343/6))/$DD$3)*$DE$3,2)</f>
        <v>550</v>
      </c>
      <c r="DS343" s="526"/>
      <c r="DT343" s="527">
        <f>IF(DS343="",DR343,
IF(AND($DQ$10&gt;=VLOOKUP(DS343,$DP$5:$DT$9,2,0),$DQ$10&lt;=VLOOKUP(DS343,$DP$5:$DT$9,3,0)),
(DR343*(1-VLOOKUP(DS343,$DP$5:$DT$9,4,0))),
DR343))</f>
        <v>550</v>
      </c>
      <c r="DU343" s="166"/>
      <c r="DV343" s="736" t="s">
        <v>4151</v>
      </c>
      <c r="DW343" s="105">
        <v>0</v>
      </c>
      <c r="DX343" s="403">
        <f t="shared" ref="DX343:DX373" si="243">ROUND(((DW343-(DW343/6))/$DD$3)*$DE$3,2)</f>
        <v>0</v>
      </c>
      <c r="DY343" s="514"/>
      <c r="DZ343" s="511">
        <f t="shared" ref="DZ343:DZ373" si="244">IF(DY343="",DX343,
IF(AND($DW$10&gt;=VLOOKUP(DY343,$DV$5:$DZ$9,2,0),$DW$10&lt;=VLOOKUP(DY343,$DV$5:$DZ$9,3,0)),
(DX343*(1-VLOOKUP(DY343,$DV$5:$DZ$9,4,0))),
DX343))</f>
        <v>0</v>
      </c>
      <c r="EG343" s="165"/>
      <c r="EH343" s="738" t="s">
        <v>3639</v>
      </c>
      <c r="EI343" s="166">
        <v>0</v>
      </c>
      <c r="EJ343" s="522">
        <f>ROUND(((EI343-(EI343/6))/$DD$3)*$DE$3,2)</f>
        <v>0</v>
      </c>
      <c r="EK343" s="523"/>
      <c r="EL343" s="524">
        <f>IF(EK343="",EJ343,
IF(AND($EI$10&gt;=VLOOKUP(EK343,$EH$5:$EL$9,2,0),$EI$10&lt;=VLOOKUP(EK343,$EH$5:$EL$9,3,0)),
(EJ343*(1-VLOOKUP(EK343,$EH$5:$EL$9,4,0))),
EJ343))</f>
        <v>0</v>
      </c>
    </row>
    <row r="344" spans="12:142">
      <c r="L344" s="741" t="s">
        <v>6490</v>
      </c>
      <c r="M344" s="152" t="s">
        <v>3109</v>
      </c>
      <c r="N344" s="698" t="s">
        <v>5424</v>
      </c>
      <c r="O344" s="422" t="s">
        <v>728</v>
      </c>
      <c r="P344" s="21"/>
      <c r="Q344" s="750" t="s">
        <v>6490</v>
      </c>
      <c r="R344" s="152" t="s">
        <v>159</v>
      </c>
      <c r="S344" s="483"/>
      <c r="AY344" s="234" t="s">
        <v>124</v>
      </c>
      <c r="AZ344" s="137" t="s">
        <v>1722</v>
      </c>
      <c r="BA344" s="138" t="str">
        <f t="shared" ref="BA344:BA370" si="245">CONCATENATE(AY344,".",AZ344)</f>
        <v>ДП ЛАДА-КОНЦЕПТ.2/0.фальц.</v>
      </c>
      <c r="BW344" s="251" t="s">
        <v>2600</v>
      </c>
      <c r="BX344" s="246" t="s">
        <v>458</v>
      </c>
      <c r="BY344" s="135" t="str">
        <f t="shared" si="237"/>
        <v>ДП Ліса.3/3.Сатин</v>
      </c>
      <c r="CA344" s="147" t="s">
        <v>3266</v>
      </c>
      <c r="CB344" s="152" t="s">
        <v>4336</v>
      </c>
      <c r="CC344" s="139" t="str">
        <f>CONCATENATE(CA344,".",CB344)</f>
        <v>ДП ЛАДА B.фальц..неробоча..Пл Magnet +3завіс</v>
      </c>
      <c r="DD344" s="250" t="s">
        <v>1555</v>
      </c>
      <c r="DE344" s="166">
        <v>8770</v>
      </c>
      <c r="DF344" s="528">
        <f t="shared" si="226"/>
        <v>8770</v>
      </c>
      <c r="DG344" s="529"/>
      <c r="DH344" s="530">
        <f t="shared" si="227"/>
        <v>8770</v>
      </c>
      <c r="DP344" s="250" t="s">
        <v>2520</v>
      </c>
      <c r="DQ344" s="166">
        <v>0</v>
      </c>
      <c r="DR344" s="522">
        <f t="shared" si="238"/>
        <v>0</v>
      </c>
      <c r="DS344" s="523"/>
      <c r="DT344" s="524">
        <f t="shared" si="239"/>
        <v>0</v>
      </c>
      <c r="DU344" s="166"/>
      <c r="DV344" s="737" t="s">
        <v>5820</v>
      </c>
      <c r="DW344" s="163">
        <v>0</v>
      </c>
      <c r="DX344" s="528">
        <f t="shared" si="243"/>
        <v>0</v>
      </c>
      <c r="DY344" s="529"/>
      <c r="DZ344" s="530">
        <f t="shared" si="244"/>
        <v>0</v>
      </c>
      <c r="EG344" s="165"/>
      <c r="EH344" s="739" t="s">
        <v>3640</v>
      </c>
      <c r="EI344" s="164">
        <v>2030</v>
      </c>
      <c r="EJ344" s="531">
        <f>ROUND(((EI344-(EI344/6))/$DD$3)*$DE$3,2)</f>
        <v>2030</v>
      </c>
      <c r="EK344" s="526"/>
      <c r="EL344" s="527">
        <f>IF(EK344="",EJ344,
IF(AND($EI$10&gt;=VLOOKUP(EK344,$EH$5:$EL$9,2,0),$EI$10&lt;=VLOOKUP(EK344,$EH$5:$EL$9,3,0)),
(EJ344*(1-VLOOKUP(EK344,$EH$5:$EL$9,4,0))),
EJ344))</f>
        <v>2030</v>
      </c>
    </row>
    <row r="345" spans="12:142">
      <c r="L345" s="763" t="s">
        <v>3110</v>
      </c>
      <c r="M345" s="817" t="s">
        <v>133</v>
      </c>
      <c r="N345" s="766" t="s">
        <v>4289</v>
      </c>
      <c r="O345" s="818" t="s">
        <v>728</v>
      </c>
      <c r="P345" s="21"/>
      <c r="Q345" s="153"/>
      <c r="R345" s="101"/>
      <c r="S345" s="100"/>
      <c r="AY345" s="234" t="s">
        <v>124</v>
      </c>
      <c r="AZ345" s="137" t="s">
        <v>1723</v>
      </c>
      <c r="BA345" s="138" t="str">
        <f t="shared" si="245"/>
        <v>ДП ЛАДА-КОНЦЕПТ.2/0.б/з фальц.</v>
      </c>
      <c r="BW345" s="250" t="s">
        <v>2600</v>
      </c>
      <c r="BX345" s="770" t="s">
        <v>3851</v>
      </c>
      <c r="BY345" s="138" t="str">
        <f t="shared" si="237"/>
        <v>ДП Ліса.3/3.Графіт</v>
      </c>
      <c r="CA345" s="146" t="s">
        <v>3267</v>
      </c>
      <c r="CB345" s="137" t="s">
        <v>4106</v>
      </c>
      <c r="CC345" s="239" t="str">
        <f>CONCATENATE(CA345,".",CB345)</f>
        <v>ДП ЛАДА B.б/з фальц..робоча..(ні)</v>
      </c>
      <c r="DD345" s="250" t="s">
        <v>1556</v>
      </c>
      <c r="DE345" s="166">
        <v>8770</v>
      </c>
      <c r="DF345" s="528">
        <f t="shared" si="226"/>
        <v>8770</v>
      </c>
      <c r="DG345" s="529"/>
      <c r="DH345" s="530">
        <f t="shared" si="227"/>
        <v>8770</v>
      </c>
      <c r="DP345" s="740" t="s">
        <v>3932</v>
      </c>
      <c r="DQ345" s="166">
        <v>550</v>
      </c>
      <c r="DR345" s="522">
        <f t="shared" si="238"/>
        <v>550</v>
      </c>
      <c r="DS345" s="523"/>
      <c r="DT345" s="524">
        <f t="shared" si="239"/>
        <v>550</v>
      </c>
      <c r="DU345" s="166"/>
      <c r="DV345" s="737" t="s">
        <v>5823</v>
      </c>
      <c r="DW345" s="163">
        <v>0</v>
      </c>
      <c r="DX345" s="528">
        <f>ROUND(((DW345-(DW345/6))/$DD$3)*$DE$3,2)</f>
        <v>0</v>
      </c>
      <c r="DY345" s="529"/>
      <c r="DZ345" s="530">
        <f>IF(DY345="",DX345,
IF(AND($DW$10&gt;=VLOOKUP(DY345,$DV$5:$DZ$9,2,0),$DW$10&lt;=VLOOKUP(DY345,$DV$5:$DZ$9,3,0)),
(DX345*(1-VLOOKUP(DY345,$DV$5:$DZ$9,4,0))),
DX345))</f>
        <v>0</v>
      </c>
      <c r="EG345" s="165"/>
      <c r="EH345" s="738" t="s">
        <v>3641</v>
      </c>
      <c r="EI345" s="166">
        <v>0</v>
      </c>
      <c r="EJ345" s="522">
        <f t="shared" ref="EJ345:EJ386" si="246">ROUND(((EI345-(EI345/6))/$DD$3)*$DE$3,2)</f>
        <v>0</v>
      </c>
      <c r="EK345" s="523"/>
      <c r="EL345" s="524">
        <f t="shared" ref="EL345:EL386" si="247">IF(EK345="",EJ345,
IF(AND($EI$10&gt;=VLOOKUP(EK345,$EH$5:$EL$9,2,0),$EI$10&lt;=VLOOKUP(EK345,$EH$5:$EL$9,3,0)),
(EJ345*(1-VLOOKUP(EK345,$EH$5:$EL$9,4,0))),
EJ345))</f>
        <v>0</v>
      </c>
    </row>
    <row r="346" spans="12:142">
      <c r="L346" s="765" t="s">
        <v>5480</v>
      </c>
      <c r="M346" s="254" t="s">
        <v>134</v>
      </c>
      <c r="N346" s="599" t="s">
        <v>4290</v>
      </c>
      <c r="O346" s="422" t="s">
        <v>728</v>
      </c>
      <c r="P346" s="21"/>
      <c r="Q346" s="155"/>
      <c r="R346" s="152"/>
      <c r="S346" s="160"/>
      <c r="AY346" s="224" t="s">
        <v>124</v>
      </c>
      <c r="AZ346" s="62" t="s">
        <v>1724</v>
      </c>
      <c r="BA346" s="139" t="str">
        <f t="shared" si="245"/>
        <v>ДП ЛАДА-КОНЦЕПТ.2/0.купе.</v>
      </c>
      <c r="BW346" s="249" t="s">
        <v>2600</v>
      </c>
      <c r="BX346" s="248" t="s">
        <v>832</v>
      </c>
      <c r="BY346" s="139" t="str">
        <f t="shared" si="237"/>
        <v>ДП Ліса.3/3.Бронза</v>
      </c>
      <c r="CA346" s="146" t="s">
        <v>3267</v>
      </c>
      <c r="CB346" s="97"/>
      <c r="CC346" s="97"/>
      <c r="DD346" s="250" t="s">
        <v>1557</v>
      </c>
      <c r="DE346" s="166">
        <v>8770</v>
      </c>
      <c r="DF346" s="528">
        <f t="shared" si="226"/>
        <v>8770</v>
      </c>
      <c r="DG346" s="529"/>
      <c r="DH346" s="530">
        <f t="shared" si="227"/>
        <v>8770</v>
      </c>
      <c r="DP346" s="249" t="s">
        <v>2521</v>
      </c>
      <c r="DQ346" s="164">
        <v>550</v>
      </c>
      <c r="DR346" s="531">
        <f t="shared" si="238"/>
        <v>550</v>
      </c>
      <c r="DS346" s="526"/>
      <c r="DT346" s="527">
        <f t="shared" si="239"/>
        <v>550</v>
      </c>
      <c r="DU346" s="166"/>
      <c r="DV346" s="738" t="s">
        <v>5821</v>
      </c>
      <c r="DW346" s="166">
        <v>0</v>
      </c>
      <c r="DX346" s="522">
        <f t="shared" si="243"/>
        <v>0</v>
      </c>
      <c r="DY346" s="523"/>
      <c r="DZ346" s="524">
        <f t="shared" si="244"/>
        <v>0</v>
      </c>
      <c r="EG346" s="165"/>
      <c r="EH346" s="739" t="s">
        <v>3642</v>
      </c>
      <c r="EI346" s="164">
        <v>2130</v>
      </c>
      <c r="EJ346" s="531">
        <f t="shared" si="246"/>
        <v>2130</v>
      </c>
      <c r="EK346" s="526"/>
      <c r="EL346" s="527">
        <f t="shared" si="247"/>
        <v>2130</v>
      </c>
    </row>
    <row r="347" spans="12:142">
      <c r="L347" s="45"/>
      <c r="M347" s="48"/>
      <c r="N347" s="94"/>
      <c r="O347" s="423"/>
      <c r="Q347" s="49"/>
      <c r="R347" s="98"/>
      <c r="S347" s="94"/>
      <c r="AY347" s="234" t="s">
        <v>125</v>
      </c>
      <c r="AZ347" s="137" t="s">
        <v>1722</v>
      </c>
      <c r="BA347" s="138" t="str">
        <f t="shared" si="245"/>
        <v>ДП ЛАДА-КОНЦЕПТ.2/2.фальц.</v>
      </c>
      <c r="BW347" s="251" t="s">
        <v>2601</v>
      </c>
      <c r="BX347" s="246" t="s">
        <v>458</v>
      </c>
      <c r="BY347" s="135" t="str">
        <f t="shared" si="237"/>
        <v>ДП Ліса.3/4.Сатин</v>
      </c>
      <c r="CA347" s="146" t="s">
        <v>3267</v>
      </c>
      <c r="CB347" s="478" t="s">
        <v>4337</v>
      </c>
      <c r="CC347" s="239" t="str">
        <f>CONCATENATE(CA347,".",CB347)</f>
        <v>ДП ЛАДА B.б/з фальц..робоча..Magnet цл б/з завіс.</v>
      </c>
      <c r="DD347" s="250" t="s">
        <v>1558</v>
      </c>
      <c r="DE347" s="166">
        <v>8770</v>
      </c>
      <c r="DF347" s="528">
        <f t="shared" si="226"/>
        <v>8770</v>
      </c>
      <c r="DG347" s="529"/>
      <c r="DH347" s="530">
        <f t="shared" si="227"/>
        <v>8770</v>
      </c>
      <c r="DP347" s="249" t="s">
        <v>6081</v>
      </c>
      <c r="DQ347" s="164">
        <v>550</v>
      </c>
      <c r="DR347" s="531">
        <f>ROUND(((DQ347-(DQ347/6))/$DD$3)*$DE$3,2)</f>
        <v>550</v>
      </c>
      <c r="DS347" s="526"/>
      <c r="DT347" s="527">
        <f>IF(DS347="",DR347,
IF(AND($DQ$10&gt;=VLOOKUP(DS347,$DP$5:$DT$9,2,0),$DQ$10&lt;=VLOOKUP(DS347,$DP$5:$DT$9,3,0)),
(DR347*(1-VLOOKUP(DS347,$DP$5:$DT$9,4,0))),
DR347))</f>
        <v>550</v>
      </c>
      <c r="DU347" s="166"/>
      <c r="DV347" s="738" t="s">
        <v>5824</v>
      </c>
      <c r="DW347" s="163">
        <v>0</v>
      </c>
      <c r="DX347" s="528">
        <f>ROUND(((DW347-(DW347/6))/$DD$3)*$DE$3,2)</f>
        <v>0</v>
      </c>
      <c r="DY347" s="529"/>
      <c r="DZ347" s="530">
        <f>IF(DY347="",DX347,
IF(AND($DW$10&gt;=VLOOKUP(DY347,$DV$5:$DZ$9,2,0),$DW$10&lt;=VLOOKUP(DY347,$DV$5:$DZ$9,3,0)),
(DX347*(1-VLOOKUP(DY347,$DV$5:$DZ$9,4,0))),
DX347))</f>
        <v>0</v>
      </c>
      <c r="EG347" s="165"/>
      <c r="EH347" s="738" t="s">
        <v>3643</v>
      </c>
      <c r="EI347" s="166">
        <v>0</v>
      </c>
      <c r="EJ347" s="522">
        <f t="shared" si="246"/>
        <v>0</v>
      </c>
      <c r="EK347" s="523"/>
      <c r="EL347" s="524">
        <f t="shared" si="247"/>
        <v>0</v>
      </c>
    </row>
    <row r="348" spans="12:142">
      <c r="L348" s="552"/>
      <c r="M348" s="553"/>
      <c r="N348" s="553"/>
      <c r="O348" s="553"/>
      <c r="P348" s="553"/>
      <c r="Q348" s="553"/>
      <c r="R348" s="553"/>
      <c r="S348" s="553"/>
      <c r="AY348" s="234" t="s">
        <v>125</v>
      </c>
      <c r="AZ348" s="137" t="s">
        <v>1723</v>
      </c>
      <c r="BA348" s="138" t="str">
        <f t="shared" si="245"/>
        <v>ДП ЛАДА-КОНЦЕПТ.2/2.б/з фальц.</v>
      </c>
      <c r="BW348" s="250" t="s">
        <v>2601</v>
      </c>
      <c r="BX348" s="770" t="s">
        <v>3851</v>
      </c>
      <c r="BY348" s="138" t="str">
        <f t="shared" si="237"/>
        <v>ДП Ліса.3/4.Графіт</v>
      </c>
      <c r="CA348" s="146" t="s">
        <v>3267</v>
      </c>
      <c r="CB348" s="478" t="s">
        <v>4339</v>
      </c>
      <c r="CC348" s="239" t="str">
        <f>CONCATENATE(CA348,".",CB348)</f>
        <v>ДП ЛАДА B.б/з фальц..робоча..Magnet ст б/з завіс.</v>
      </c>
      <c r="DD348" s="250" t="s">
        <v>1559</v>
      </c>
      <c r="DE348" s="166">
        <v>8770</v>
      </c>
      <c r="DF348" s="528">
        <f t="shared" si="226"/>
        <v>8770</v>
      </c>
      <c r="DG348" s="529"/>
      <c r="DH348" s="530">
        <f t="shared" si="227"/>
        <v>8770</v>
      </c>
      <c r="DP348" s="250" t="s">
        <v>2522</v>
      </c>
      <c r="DQ348" s="166">
        <v>0</v>
      </c>
      <c r="DR348" s="522">
        <f t="shared" si="238"/>
        <v>0</v>
      </c>
      <c r="DS348" s="523"/>
      <c r="DT348" s="524">
        <f t="shared" si="239"/>
        <v>0</v>
      </c>
      <c r="DU348" s="166"/>
      <c r="DV348" s="738" t="s">
        <v>5822</v>
      </c>
      <c r="DW348" s="166">
        <v>0</v>
      </c>
      <c r="DX348" s="522">
        <f t="shared" si="243"/>
        <v>0</v>
      </c>
      <c r="DY348" s="523"/>
      <c r="DZ348" s="524">
        <f t="shared" si="244"/>
        <v>0</v>
      </c>
      <c r="EG348" s="165"/>
      <c r="EH348" s="739" t="s">
        <v>3644</v>
      </c>
      <c r="EI348" s="164">
        <v>2280</v>
      </c>
      <c r="EJ348" s="531">
        <f t="shared" si="246"/>
        <v>2280</v>
      </c>
      <c r="EK348" s="526"/>
      <c r="EL348" s="527">
        <f t="shared" si="247"/>
        <v>2280</v>
      </c>
    </row>
    <row r="349" spans="12:142">
      <c r="L349" s="45"/>
      <c r="M349" s="48"/>
      <c r="N349" s="94"/>
      <c r="O349" s="423"/>
      <c r="Q349" s="49"/>
      <c r="R349" s="98"/>
      <c r="S349" s="94"/>
      <c r="AY349" s="224" t="s">
        <v>125</v>
      </c>
      <c r="AZ349" s="62" t="s">
        <v>1724</v>
      </c>
      <c r="BA349" s="139" t="str">
        <f t="shared" si="245"/>
        <v>ДП ЛАДА-КОНЦЕПТ.2/2.купе.</v>
      </c>
      <c r="BW349" s="249" t="s">
        <v>2601</v>
      </c>
      <c r="BX349" s="248" t="s">
        <v>832</v>
      </c>
      <c r="BY349" s="139" t="str">
        <f t="shared" si="237"/>
        <v>ДП Ліса.3/4.Бронза</v>
      </c>
      <c r="CA349" s="146" t="s">
        <v>3267</v>
      </c>
      <c r="CB349" s="97"/>
      <c r="CC349" s="97"/>
      <c r="DD349" s="250" t="s">
        <v>1560</v>
      </c>
      <c r="DE349" s="166">
        <v>8770</v>
      </c>
      <c r="DF349" s="528">
        <f t="shared" si="226"/>
        <v>8770</v>
      </c>
      <c r="DG349" s="529"/>
      <c r="DH349" s="530">
        <f t="shared" si="227"/>
        <v>8770</v>
      </c>
      <c r="DP349" s="740" t="s">
        <v>3933</v>
      </c>
      <c r="DQ349" s="166">
        <v>550</v>
      </c>
      <c r="DR349" s="522">
        <f t="shared" si="238"/>
        <v>550</v>
      </c>
      <c r="DS349" s="523"/>
      <c r="DT349" s="524">
        <f t="shared" si="239"/>
        <v>550</v>
      </c>
      <c r="DU349" s="166"/>
      <c r="DV349" s="738" t="s">
        <v>5825</v>
      </c>
      <c r="DW349" s="163">
        <v>0</v>
      </c>
      <c r="DX349" s="528">
        <f>ROUND(((DW349-(DW349/6))/$DD$3)*$DE$3,2)</f>
        <v>0</v>
      </c>
      <c r="DY349" s="529"/>
      <c r="DZ349" s="530">
        <f>IF(DY349="",DX349,
IF(AND($DW$10&gt;=VLOOKUP(DY349,$DV$5:$DZ$9,2,0),$DW$10&lt;=VLOOKUP(DY349,$DV$5:$DZ$9,3,0)),
(DX349*(1-VLOOKUP(DY349,$DV$5:$DZ$9,4,0))),
DX349))</f>
        <v>0</v>
      </c>
      <c r="EG349" s="165"/>
      <c r="EH349" s="738" t="s">
        <v>5138</v>
      </c>
      <c r="EI349" s="166">
        <v>0</v>
      </c>
      <c r="EJ349" s="522">
        <f>ROUND(((EI349-(EI349/6))/$DD$3)*$DE$3,2)</f>
        <v>0</v>
      </c>
      <c r="EK349" s="523"/>
      <c r="EL349" s="524">
        <f>IF(EK349="",EJ349,
IF(AND($EI$10&gt;=VLOOKUP(EK349,$EH$5:$EL$9,2,0),$EI$10&lt;=VLOOKUP(EK349,$EH$5:$EL$9,3,0)),
(EJ349*(1-VLOOKUP(EK349,$EH$5:$EL$9,4,0))),
EJ349))</f>
        <v>0</v>
      </c>
    </row>
    <row r="350" spans="12:142">
      <c r="L350" s="763" t="s">
        <v>3111</v>
      </c>
      <c r="M350" s="817" t="s">
        <v>131</v>
      </c>
      <c r="N350" s="100" t="s">
        <v>2173</v>
      </c>
      <c r="O350" s="818" t="s">
        <v>729</v>
      </c>
      <c r="P350" s="21"/>
      <c r="Q350" s="153"/>
      <c r="R350" s="101"/>
      <c r="S350" s="100"/>
      <c r="AY350" s="234" t="s">
        <v>126</v>
      </c>
      <c r="AZ350" s="137" t="s">
        <v>1722</v>
      </c>
      <c r="BA350" s="138" t="str">
        <f t="shared" si="245"/>
        <v>ДП ЛАДА-КОНЦЕПТ.3/0.фальц.</v>
      </c>
      <c r="BW350" s="432"/>
      <c r="BX350" s="432"/>
      <c r="BY350" s="432"/>
      <c r="CA350" s="146" t="s">
        <v>3267</v>
      </c>
      <c r="CB350" s="478" t="s">
        <v>4343</v>
      </c>
      <c r="CC350" s="239" t="str">
        <f>CONCATENATE(CA350,".",CB350)</f>
        <v>ДП ЛАДА B.б/з фальц..робоча..Magnet цл +2завіс 3D</v>
      </c>
      <c r="DD350" s="250" t="s">
        <v>1561</v>
      </c>
      <c r="DE350" s="166">
        <v>8770</v>
      </c>
      <c r="DF350" s="528">
        <f t="shared" si="226"/>
        <v>8770</v>
      </c>
      <c r="DG350" s="529"/>
      <c r="DH350" s="530">
        <f t="shared" si="227"/>
        <v>8770</v>
      </c>
      <c r="DP350" s="249" t="s">
        <v>2523</v>
      </c>
      <c r="DQ350" s="164">
        <v>550</v>
      </c>
      <c r="DR350" s="531">
        <f t="shared" si="238"/>
        <v>550</v>
      </c>
      <c r="DS350" s="526"/>
      <c r="DT350" s="527">
        <f t="shared" si="239"/>
        <v>550</v>
      </c>
      <c r="DU350" s="166"/>
      <c r="DV350" s="738" t="s">
        <v>4559</v>
      </c>
      <c r="DW350" s="166">
        <v>550</v>
      </c>
      <c r="DX350" s="522">
        <f t="shared" si="243"/>
        <v>550</v>
      </c>
      <c r="DY350" s="523"/>
      <c r="DZ350" s="524">
        <f t="shared" si="244"/>
        <v>550</v>
      </c>
      <c r="EG350" s="165"/>
      <c r="EH350" s="739" t="s">
        <v>5139</v>
      </c>
      <c r="EI350" s="164">
        <v>2460</v>
      </c>
      <c r="EJ350" s="531">
        <f>ROUND(((EI350-(EI350/6))/$DD$3)*$DE$3,2)</f>
        <v>2460</v>
      </c>
      <c r="EK350" s="526"/>
      <c r="EL350" s="527">
        <f>IF(EK350="",EJ350,
IF(AND($EI$10&gt;=VLOOKUP(EK350,$EH$5:$EL$9,2,0),$EI$10&lt;=VLOOKUP(EK350,$EH$5:$EL$9,3,0)),
(EJ350*(1-VLOOKUP(EK350,$EH$5:$EL$9,4,0))),
EJ350))</f>
        <v>2460</v>
      </c>
    </row>
    <row r="351" spans="12:142">
      <c r="L351" s="764" t="s">
        <v>3113</v>
      </c>
      <c r="M351" s="21" t="s">
        <v>974</v>
      </c>
      <c r="N351" s="159" t="s">
        <v>2343</v>
      </c>
      <c r="O351" s="819" t="s">
        <v>729</v>
      </c>
      <c r="P351" s="21"/>
      <c r="Q351" s="154"/>
      <c r="R351" s="151"/>
      <c r="S351" s="159"/>
      <c r="AY351" s="234" t="s">
        <v>126</v>
      </c>
      <c r="AZ351" s="137" t="s">
        <v>1723</v>
      </c>
      <c r="BA351" s="138" t="str">
        <f t="shared" si="245"/>
        <v>ДП ЛАДА-КОНЦЕПТ.3/0.б/з фальц.</v>
      </c>
      <c r="BW351" s="251" t="s">
        <v>124</v>
      </c>
      <c r="BX351" s="246" t="s">
        <v>458</v>
      </c>
      <c r="BY351" s="135" t="str">
        <f t="shared" ref="BY351:BY409" si="248">CONCATENATE(BW351,".",BX351)</f>
        <v>ДП ЛАДА-КОНЦЕПТ.2/0.Сатин</v>
      </c>
      <c r="CA351" s="146" t="s">
        <v>3267</v>
      </c>
      <c r="CB351" s="478" t="s">
        <v>4347</v>
      </c>
      <c r="CC351" s="239" t="str">
        <f>CONCATENATE(CA351,".",CB351)</f>
        <v>ДП ЛАДА B.б/з фальц..робоча..Magnet ст +2завіс 3D</v>
      </c>
      <c r="DD351" s="250" t="s">
        <v>1562</v>
      </c>
      <c r="DE351" s="166">
        <v>8770</v>
      </c>
      <c r="DF351" s="528">
        <f t="shared" si="226"/>
        <v>8770</v>
      </c>
      <c r="DG351" s="529"/>
      <c r="DH351" s="530">
        <f t="shared" si="227"/>
        <v>8770</v>
      </c>
      <c r="DP351" s="249" t="s">
        <v>6082</v>
      </c>
      <c r="DQ351" s="164">
        <v>550</v>
      </c>
      <c r="DR351" s="531">
        <f>ROUND(((DQ351-(DQ351/6))/$DD$3)*$DE$3,2)</f>
        <v>550</v>
      </c>
      <c r="DS351" s="526"/>
      <c r="DT351" s="527">
        <f>IF(DS351="",DR351,
IF(AND($DQ$10&gt;=VLOOKUP(DS351,$DP$5:$DT$9,2,0),$DQ$10&lt;=VLOOKUP(DS351,$DP$5:$DT$9,3,0)),
(DR351*(1-VLOOKUP(DS351,$DP$5:$DT$9,4,0))),
DR351))</f>
        <v>550</v>
      </c>
      <c r="DU351" s="166"/>
      <c r="DV351" s="738" t="s">
        <v>4560</v>
      </c>
      <c r="DW351" s="166">
        <v>550</v>
      </c>
      <c r="DX351" s="522">
        <f t="shared" si="243"/>
        <v>550</v>
      </c>
      <c r="DY351" s="523"/>
      <c r="DZ351" s="524">
        <f t="shared" si="244"/>
        <v>550</v>
      </c>
      <c r="EG351" s="165"/>
      <c r="EH351" s="738" t="s">
        <v>3645</v>
      </c>
      <c r="EI351" s="166">
        <v>0</v>
      </c>
      <c r="EJ351" s="522">
        <f t="shared" si="246"/>
        <v>0</v>
      </c>
      <c r="EK351" s="523"/>
      <c r="EL351" s="524">
        <f t="shared" si="247"/>
        <v>0</v>
      </c>
    </row>
    <row r="352" spans="12:142">
      <c r="L352" s="752" t="s">
        <v>3112</v>
      </c>
      <c r="M352" s="21" t="s">
        <v>410</v>
      </c>
      <c r="N352" s="159" t="s">
        <v>2344</v>
      </c>
      <c r="O352" s="819" t="s">
        <v>729</v>
      </c>
      <c r="P352" s="21"/>
      <c r="Q352" s="154"/>
      <c r="R352" s="151"/>
      <c r="S352" s="159"/>
      <c r="AY352" s="224" t="s">
        <v>126</v>
      </c>
      <c r="AZ352" s="62" t="s">
        <v>1724</v>
      </c>
      <c r="BA352" s="139" t="str">
        <f t="shared" si="245"/>
        <v>ДП ЛАДА-КОНЦЕПТ.3/0.купе.</v>
      </c>
      <c r="BW352" s="250" t="s">
        <v>124</v>
      </c>
      <c r="BX352" s="770" t="s">
        <v>3851</v>
      </c>
      <c r="BY352" s="138" t="str">
        <f t="shared" si="248"/>
        <v>ДП ЛАДА-КОНЦЕПТ.2/0.Графіт</v>
      </c>
      <c r="CA352" s="146" t="s">
        <v>3267</v>
      </c>
      <c r="CB352" s="97"/>
      <c r="CC352" s="97"/>
      <c r="DD352" s="249" t="s">
        <v>1563</v>
      </c>
      <c r="DE352" s="164">
        <v>8770</v>
      </c>
      <c r="DF352" s="528">
        <f t="shared" si="226"/>
        <v>8770</v>
      </c>
      <c r="DG352" s="529"/>
      <c r="DH352" s="530">
        <f t="shared" si="227"/>
        <v>8770</v>
      </c>
      <c r="DP352" s="250" t="s">
        <v>2524</v>
      </c>
      <c r="DQ352" s="166">
        <v>0</v>
      </c>
      <c r="DR352" s="522">
        <f t="shared" si="238"/>
        <v>0</v>
      </c>
      <c r="DS352" s="523"/>
      <c r="DT352" s="524">
        <f t="shared" si="239"/>
        <v>0</v>
      </c>
      <c r="DU352" s="166"/>
      <c r="DV352" s="738" t="s">
        <v>4561</v>
      </c>
      <c r="DW352" s="166">
        <v>800</v>
      </c>
      <c r="DX352" s="522">
        <f>ROUND(((DW352-(DW352/6))/$DD$3)*$DE$3,2)</f>
        <v>800</v>
      </c>
      <c r="DY352" s="523"/>
      <c r="DZ352" s="524">
        <f>IF(DY352="",DX352,
IF(AND($DW$10&gt;=VLOOKUP(DY352,$DV$5:$DZ$9,2,0),$DW$10&lt;=VLOOKUP(DY352,$DV$5:$DZ$9,3,0)),
(DX352*(1-VLOOKUP(DY352,$DV$5:$DZ$9,4,0))),
DX352))</f>
        <v>800</v>
      </c>
      <c r="EG352" s="165"/>
      <c r="EH352" s="739" t="s">
        <v>3646</v>
      </c>
      <c r="EI352" s="164">
        <v>2460</v>
      </c>
      <c r="EJ352" s="531">
        <f t="shared" si="246"/>
        <v>2460</v>
      </c>
      <c r="EK352" s="526"/>
      <c r="EL352" s="527">
        <f t="shared" si="247"/>
        <v>2460</v>
      </c>
    </row>
    <row r="353" spans="12:142">
      <c r="L353" s="752" t="s">
        <v>3117</v>
      </c>
      <c r="M353" s="21" t="s">
        <v>411</v>
      </c>
      <c r="N353" s="435" t="s">
        <v>3124</v>
      </c>
      <c r="O353" s="819" t="s">
        <v>729</v>
      </c>
      <c r="P353" s="21"/>
      <c r="Q353" s="154"/>
      <c r="R353" s="151"/>
      <c r="S353" s="159"/>
      <c r="AY353" s="234" t="s">
        <v>127</v>
      </c>
      <c r="AZ353" s="137" t="s">
        <v>1722</v>
      </c>
      <c r="BA353" s="138" t="str">
        <f t="shared" si="245"/>
        <v>ДП ЛАДА-КОНЦЕПТ.3/3.фальц.</v>
      </c>
      <c r="BW353" s="249" t="s">
        <v>124</v>
      </c>
      <c r="BX353" s="248" t="s">
        <v>832</v>
      </c>
      <c r="BY353" s="139" t="str">
        <f t="shared" si="248"/>
        <v>ДП ЛАДА-КОНЦЕПТ.2/0.Бронза</v>
      </c>
      <c r="CA353" s="146" t="s">
        <v>3267</v>
      </c>
      <c r="CB353" s="478" t="s">
        <v>4349</v>
      </c>
      <c r="CC353" s="239" t="str">
        <f>CONCATENATE(CA353,".",CB353)</f>
        <v>ДП ЛАДА B.б/з фальц..робоча..Magnet цл +3завіс 3D</v>
      </c>
      <c r="DD353" s="740" t="s">
        <v>5140</v>
      </c>
      <c r="DE353" s="166">
        <v>9200</v>
      </c>
      <c r="DF353" s="528">
        <f t="shared" si="226"/>
        <v>9200</v>
      </c>
      <c r="DG353" s="529"/>
      <c r="DH353" s="530">
        <f t="shared" si="227"/>
        <v>9200</v>
      </c>
      <c r="DP353" s="740" t="s">
        <v>3934</v>
      </c>
      <c r="DQ353" s="166">
        <v>550</v>
      </c>
      <c r="DR353" s="522">
        <f t="shared" si="238"/>
        <v>550</v>
      </c>
      <c r="DS353" s="523"/>
      <c r="DT353" s="524">
        <f t="shared" si="239"/>
        <v>550</v>
      </c>
      <c r="DU353" s="166"/>
      <c r="DV353" s="739" t="s">
        <v>4562</v>
      </c>
      <c r="DW353" s="164">
        <v>800</v>
      </c>
      <c r="DX353" s="525">
        <f>ROUND(((DW353-(DW353/6))/$DD$3)*$DE$3,2)</f>
        <v>800</v>
      </c>
      <c r="DY353" s="526"/>
      <c r="DZ353" s="527">
        <f>IF(DY353="",DX353,
IF(AND($DW$10&gt;=VLOOKUP(DY353,$DV$5:$DZ$9,2,0),$DW$10&lt;=VLOOKUP(DY353,$DV$5:$DZ$9,3,0)),
(DX353*(1-VLOOKUP(DY353,$DV$5:$DZ$9,4,0))),
DX353))</f>
        <v>800</v>
      </c>
      <c r="EG353" s="165"/>
      <c r="EH353" s="256"/>
      <c r="EI353" s="257"/>
      <c r="EJ353" s="517"/>
      <c r="EK353" s="532"/>
      <c r="EL353" s="259"/>
    </row>
    <row r="354" spans="12:142">
      <c r="L354" s="752" t="s">
        <v>3114</v>
      </c>
      <c r="M354" s="21" t="s">
        <v>412</v>
      </c>
      <c r="N354" s="159" t="s">
        <v>2345</v>
      </c>
      <c r="O354" s="819" t="s">
        <v>729</v>
      </c>
      <c r="P354" s="21"/>
      <c r="Q354" s="154"/>
      <c r="R354" s="151"/>
      <c r="S354" s="159"/>
      <c r="AY354" s="234" t="s">
        <v>127</v>
      </c>
      <c r="AZ354" s="137" t="s">
        <v>1723</v>
      </c>
      <c r="BA354" s="138" t="str">
        <f t="shared" si="245"/>
        <v>ДП ЛАДА-КОНЦЕПТ.3/3.б/з фальц.</v>
      </c>
      <c r="BW354" s="249" t="s">
        <v>124</v>
      </c>
      <c r="BX354" s="248" t="s">
        <v>6046</v>
      </c>
      <c r="BY354" s="139" t="str">
        <f>CONCATENATE(BW354,".",BX354)</f>
        <v>ДП ЛАДА-КОНЦЕПТ.2/0.Лакобель</v>
      </c>
      <c r="CA354" s="147" t="s">
        <v>3267</v>
      </c>
      <c r="CB354" s="590" t="s">
        <v>4350</v>
      </c>
      <c r="CC354" s="240" t="str">
        <f>CONCATENATE(CA354,".",CB354)</f>
        <v>ДП ЛАДА B.б/з фальц..робоча..Magnet ст +3завіс 3D</v>
      </c>
      <c r="DD354" s="740" t="s">
        <v>5141</v>
      </c>
      <c r="DE354" s="166">
        <v>9200</v>
      </c>
      <c r="DF354" s="528">
        <f t="shared" si="226"/>
        <v>9200</v>
      </c>
      <c r="DG354" s="529"/>
      <c r="DH354" s="530">
        <f t="shared" si="227"/>
        <v>9200</v>
      </c>
      <c r="DP354" s="249" t="s">
        <v>2525</v>
      </c>
      <c r="DQ354" s="164">
        <v>550</v>
      </c>
      <c r="DR354" s="531">
        <f t="shared" si="238"/>
        <v>550</v>
      </c>
      <c r="DS354" s="526"/>
      <c r="DT354" s="527">
        <f t="shared" si="239"/>
        <v>550</v>
      </c>
      <c r="DU354" s="166"/>
      <c r="DV354" s="738" t="s">
        <v>6279</v>
      </c>
      <c r="DW354" s="166">
        <v>1</v>
      </c>
      <c r="DX354" s="522">
        <f t="shared" si="243"/>
        <v>1</v>
      </c>
      <c r="DY354" s="523"/>
      <c r="DZ354" s="524">
        <f t="shared" si="244"/>
        <v>1</v>
      </c>
      <c r="EG354" s="165"/>
      <c r="EH354" s="737" t="s">
        <v>4984</v>
      </c>
      <c r="EI354" s="163">
        <v>0</v>
      </c>
      <c r="EJ354" s="537">
        <f t="shared" si="246"/>
        <v>0</v>
      </c>
      <c r="EK354" s="529"/>
      <c r="EL354" s="530">
        <f t="shared" si="247"/>
        <v>0</v>
      </c>
    </row>
    <row r="355" spans="12:142">
      <c r="L355" s="750" t="s">
        <v>3118</v>
      </c>
      <c r="M355" s="254" t="s">
        <v>413</v>
      </c>
      <c r="N355" s="599" t="s">
        <v>3125</v>
      </c>
      <c r="O355" s="422" t="s">
        <v>729</v>
      </c>
      <c r="P355" s="21"/>
      <c r="Q355" s="155"/>
      <c r="R355" s="152"/>
      <c r="S355" s="160"/>
      <c r="AY355" s="224" t="s">
        <v>127</v>
      </c>
      <c r="AZ355" s="62" t="s">
        <v>1724</v>
      </c>
      <c r="BA355" s="139" t="str">
        <f t="shared" si="245"/>
        <v>ДП ЛАДА-КОНЦЕПТ.3/3.купе.</v>
      </c>
      <c r="BW355" s="251" t="s">
        <v>125</v>
      </c>
      <c r="BX355" s="246" t="s">
        <v>458</v>
      </c>
      <c r="BY355" s="135" t="str">
        <f t="shared" si="248"/>
        <v>ДП ЛАДА-КОНЦЕПТ.2/2.Сатин</v>
      </c>
      <c r="CA355" s="145" t="s">
        <v>3268</v>
      </c>
      <c r="CB355" s="134" t="s">
        <v>4106</v>
      </c>
      <c r="CC355" s="135" t="str">
        <f>CONCATENATE(CA355,".",CB355)</f>
        <v>ДП ЛАДА B.купе..робоча..(ні)</v>
      </c>
      <c r="DD355" s="740" t="s">
        <v>5142</v>
      </c>
      <c r="DE355" s="166">
        <v>9200</v>
      </c>
      <c r="DF355" s="528">
        <f t="shared" si="226"/>
        <v>9200</v>
      </c>
      <c r="DG355" s="529"/>
      <c r="DH355" s="530">
        <f t="shared" si="227"/>
        <v>9200</v>
      </c>
      <c r="DP355" s="249" t="s">
        <v>6083</v>
      </c>
      <c r="DQ355" s="164">
        <v>550</v>
      </c>
      <c r="DR355" s="531">
        <f>ROUND(((DQ355-(DQ355/6))/$DD$3)*$DE$3,2)</f>
        <v>550</v>
      </c>
      <c r="DS355" s="526"/>
      <c r="DT355" s="527">
        <f>IF(DS355="",DR355,
IF(AND($DQ$10&gt;=VLOOKUP(DS355,$DP$5:$DT$9,2,0),$DQ$10&lt;=VLOOKUP(DS355,$DP$5:$DT$9,3,0)),
(DR355*(1-VLOOKUP(DS355,$DP$5:$DT$9,4,0))),
DR355))</f>
        <v>550</v>
      </c>
      <c r="DU355" s="166"/>
      <c r="DV355" s="739" t="s">
        <v>6280</v>
      </c>
      <c r="DW355" s="164">
        <v>1</v>
      </c>
      <c r="DX355" s="525">
        <f t="shared" si="243"/>
        <v>1</v>
      </c>
      <c r="DY355" s="526"/>
      <c r="DZ355" s="527">
        <f t="shared" si="244"/>
        <v>1</v>
      </c>
      <c r="EG355" s="165"/>
      <c r="EH355" s="739" t="s">
        <v>4985</v>
      </c>
      <c r="EI355" s="164">
        <v>1840</v>
      </c>
      <c r="EJ355" s="531">
        <f t="shared" si="246"/>
        <v>1840</v>
      </c>
      <c r="EK355" s="526"/>
      <c r="EL355" s="527">
        <f t="shared" si="247"/>
        <v>1840</v>
      </c>
    </row>
    <row r="356" spans="12:142">
      <c r="L356" s="142" t="s">
        <v>71</v>
      </c>
      <c r="M356" s="817" t="s">
        <v>414</v>
      </c>
      <c r="N356" s="100" t="s">
        <v>2338</v>
      </c>
      <c r="O356" s="818" t="s">
        <v>728</v>
      </c>
      <c r="P356" s="21"/>
      <c r="Q356" s="153"/>
      <c r="R356" s="101"/>
      <c r="S356" s="100"/>
      <c r="AY356" s="234" t="s">
        <v>650</v>
      </c>
      <c r="AZ356" s="137" t="s">
        <v>1722</v>
      </c>
      <c r="BA356" s="138" t="str">
        <f t="shared" si="245"/>
        <v>ДП ЛАДА-КОНЦЕПТ.4/0.фальц.</v>
      </c>
      <c r="BW356" s="250" t="s">
        <v>125</v>
      </c>
      <c r="BX356" s="770" t="s">
        <v>3851</v>
      </c>
      <c r="BY356" s="138" t="str">
        <f t="shared" si="248"/>
        <v>ДП ЛАДА-КОНЦЕПТ.2/2.Графіт</v>
      </c>
      <c r="CA356" s="146" t="s">
        <v>3268</v>
      </c>
      <c r="CB356" s="21"/>
      <c r="CC356" s="21"/>
      <c r="DD356" s="740" t="s">
        <v>5143</v>
      </c>
      <c r="DE356" s="166">
        <v>9200</v>
      </c>
      <c r="DF356" s="528">
        <f t="shared" si="226"/>
        <v>9200</v>
      </c>
      <c r="DG356" s="529"/>
      <c r="DH356" s="530">
        <f t="shared" si="227"/>
        <v>9200</v>
      </c>
      <c r="DP356" s="250" t="s">
        <v>2526</v>
      </c>
      <c r="DQ356" s="166">
        <v>0</v>
      </c>
      <c r="DR356" s="522">
        <f t="shared" si="238"/>
        <v>0</v>
      </c>
      <c r="DS356" s="523"/>
      <c r="DT356" s="524">
        <f t="shared" si="239"/>
        <v>0</v>
      </c>
      <c r="DU356" s="166"/>
      <c r="DV356" s="737" t="s">
        <v>4563</v>
      </c>
      <c r="DW356" s="163">
        <v>0</v>
      </c>
      <c r="DX356" s="528">
        <f t="shared" si="243"/>
        <v>0</v>
      </c>
      <c r="DY356" s="529"/>
      <c r="DZ356" s="530">
        <f t="shared" si="244"/>
        <v>0</v>
      </c>
      <c r="EG356" s="165"/>
      <c r="EH356" s="738" t="s">
        <v>3647</v>
      </c>
      <c r="EI356" s="166">
        <v>0</v>
      </c>
      <c r="EJ356" s="522">
        <f t="shared" si="246"/>
        <v>0</v>
      </c>
      <c r="EK356" s="523"/>
      <c r="EL356" s="524">
        <f t="shared" si="247"/>
        <v>0</v>
      </c>
    </row>
    <row r="357" spans="12:142">
      <c r="L357" s="752" t="s">
        <v>3119</v>
      </c>
      <c r="M357" s="21" t="s">
        <v>415</v>
      </c>
      <c r="N357" s="435" t="s">
        <v>3126</v>
      </c>
      <c r="O357" s="819" t="s">
        <v>728</v>
      </c>
      <c r="P357" s="21"/>
      <c r="Q357" s="154"/>
      <c r="R357" s="151"/>
      <c r="S357" s="159"/>
      <c r="AY357" s="234" t="s">
        <v>650</v>
      </c>
      <c r="AZ357" s="137" t="s">
        <v>1723</v>
      </c>
      <c r="BA357" s="138" t="str">
        <f t="shared" si="245"/>
        <v>ДП ЛАДА-КОНЦЕПТ.4/0.б/з фальц.</v>
      </c>
      <c r="BW357" s="249" t="s">
        <v>125</v>
      </c>
      <c r="BX357" s="248" t="s">
        <v>832</v>
      </c>
      <c r="BY357" s="139" t="str">
        <f t="shared" si="248"/>
        <v>ДП ЛАДА-КОНЦЕПТ.2/2.Бронза</v>
      </c>
      <c r="CA357" s="146" t="s">
        <v>3268</v>
      </c>
      <c r="CB357" s="137" t="s">
        <v>462</v>
      </c>
      <c r="CC357" s="138" t="str">
        <f>CONCATENATE(CA357,".",CB357)</f>
        <v>ДП ЛАДА B.купе..робоча..Ручка-Захват</v>
      </c>
      <c r="DD357" s="740" t="s">
        <v>5144</v>
      </c>
      <c r="DE357" s="166">
        <v>9200</v>
      </c>
      <c r="DF357" s="528">
        <f t="shared" si="226"/>
        <v>9200</v>
      </c>
      <c r="DG357" s="529"/>
      <c r="DH357" s="530">
        <f t="shared" si="227"/>
        <v>9200</v>
      </c>
      <c r="DP357" s="740" t="s">
        <v>3935</v>
      </c>
      <c r="DQ357" s="166">
        <v>550</v>
      </c>
      <c r="DR357" s="522">
        <f t="shared" si="238"/>
        <v>550</v>
      </c>
      <c r="DS357" s="523"/>
      <c r="DT357" s="524">
        <f t="shared" si="239"/>
        <v>550</v>
      </c>
      <c r="DU357" s="166"/>
      <c r="DV357" s="738" t="s">
        <v>4564</v>
      </c>
      <c r="DW357" s="166">
        <v>0</v>
      </c>
      <c r="DX357" s="522">
        <f t="shared" si="243"/>
        <v>0</v>
      </c>
      <c r="DY357" s="523"/>
      <c r="DZ357" s="524">
        <f t="shared" si="244"/>
        <v>0</v>
      </c>
      <c r="EG357" s="165"/>
      <c r="EH357" s="739" t="s">
        <v>3648</v>
      </c>
      <c r="EI357" s="164">
        <v>1840</v>
      </c>
      <c r="EJ357" s="531">
        <f t="shared" si="246"/>
        <v>1840</v>
      </c>
      <c r="EK357" s="526"/>
      <c r="EL357" s="527">
        <f t="shared" si="247"/>
        <v>1840</v>
      </c>
    </row>
    <row r="358" spans="12:142">
      <c r="L358" s="154" t="s">
        <v>72</v>
      </c>
      <c r="M358" s="21" t="s">
        <v>416</v>
      </c>
      <c r="N358" s="159" t="s">
        <v>2339</v>
      </c>
      <c r="O358" s="819" t="s">
        <v>728</v>
      </c>
      <c r="P358" s="21"/>
      <c r="Q358" s="154"/>
      <c r="R358" s="151"/>
      <c r="S358" s="159"/>
      <c r="AY358" s="224" t="s">
        <v>650</v>
      </c>
      <c r="AZ358" s="62" t="s">
        <v>1724</v>
      </c>
      <c r="BA358" s="139" t="str">
        <f t="shared" si="245"/>
        <v>ДП ЛАДА-КОНЦЕПТ.4/0.купе.</v>
      </c>
      <c r="BW358" s="251" t="s">
        <v>126</v>
      </c>
      <c r="BX358" s="246" t="s">
        <v>458</v>
      </c>
      <c r="BY358" s="135" t="str">
        <f t="shared" si="248"/>
        <v>ДП ЛАДА-КОНЦЕПТ.3/0.Сатин</v>
      </c>
      <c r="CA358" s="146" t="s">
        <v>3268</v>
      </c>
      <c r="CB358" s="137" t="s">
        <v>684</v>
      </c>
      <c r="CC358" s="138" t="str">
        <f>CONCATENATE(CA358,".",CB358)</f>
        <v>ДП ЛАДА B.купе..робоча..Ручка-Замок</v>
      </c>
      <c r="DD358" s="740" t="s">
        <v>5145</v>
      </c>
      <c r="DE358" s="166">
        <v>9200</v>
      </c>
      <c r="DF358" s="528">
        <f t="shared" si="226"/>
        <v>9200</v>
      </c>
      <c r="DG358" s="529"/>
      <c r="DH358" s="530">
        <f t="shared" si="227"/>
        <v>9200</v>
      </c>
      <c r="DP358" s="249" t="s">
        <v>2527</v>
      </c>
      <c r="DQ358" s="164">
        <v>550</v>
      </c>
      <c r="DR358" s="531">
        <f t="shared" si="238"/>
        <v>550</v>
      </c>
      <c r="DS358" s="526"/>
      <c r="DT358" s="527">
        <f t="shared" si="239"/>
        <v>550</v>
      </c>
      <c r="DU358" s="166"/>
      <c r="DV358" s="739" t="s">
        <v>4565</v>
      </c>
      <c r="DW358" s="164">
        <v>0</v>
      </c>
      <c r="DX358" s="531">
        <f t="shared" ref="DX358:DX364" si="249">ROUND(((DW358-(DW358/6))/$DD$3)*$DE$3,2)</f>
        <v>0</v>
      </c>
      <c r="DY358" s="526"/>
      <c r="DZ358" s="527">
        <f t="shared" ref="DZ358:DZ364" si="250">IF(DY358="",DX358,
IF(AND($DW$10&gt;=VLOOKUP(DY358,$DV$5:$DZ$9,2,0),$DW$10&lt;=VLOOKUP(DY358,$DV$5:$DZ$9,3,0)),
(DX358*(1-VLOOKUP(DY358,$DV$5:$DZ$9,4,0))),
DX358))</f>
        <v>0</v>
      </c>
      <c r="EG358" s="165"/>
      <c r="EH358" s="738" t="s">
        <v>3649</v>
      </c>
      <c r="EI358" s="166">
        <v>0</v>
      </c>
      <c r="EJ358" s="522">
        <f>ROUND(((EI358-(EI358/6))/$DD$3)*$DE$3,2)</f>
        <v>0</v>
      </c>
      <c r="EK358" s="523"/>
      <c r="EL358" s="524">
        <f>IF(EK358="",EJ358,
IF(AND($EI$10&gt;=VLOOKUP(EK358,$EH$5:$EL$9,2,0),$EI$10&lt;=VLOOKUP(EK358,$EH$5:$EL$9,3,0)),
(EJ358*(1-VLOOKUP(EK358,$EH$5:$EL$9,4,0))),
EJ358))</f>
        <v>0</v>
      </c>
    </row>
    <row r="359" spans="12:142">
      <c r="L359" s="764" t="s">
        <v>3120</v>
      </c>
      <c r="M359" s="21" t="s">
        <v>417</v>
      </c>
      <c r="N359" s="435" t="s">
        <v>3127</v>
      </c>
      <c r="O359" s="819" t="s">
        <v>728</v>
      </c>
      <c r="P359" s="21"/>
      <c r="Q359" s="154"/>
      <c r="R359" s="151"/>
      <c r="S359" s="159"/>
      <c r="AY359" s="234" t="s">
        <v>1061</v>
      </c>
      <c r="AZ359" s="137" t="s">
        <v>1722</v>
      </c>
      <c r="BA359" s="138" t="str">
        <f t="shared" si="245"/>
        <v>ДП ЛАДА-КОНЦЕПТ.4/4.фальц.</v>
      </c>
      <c r="BW359" s="250" t="s">
        <v>126</v>
      </c>
      <c r="BX359" s="770" t="s">
        <v>3851</v>
      </c>
      <c r="BY359" s="138" t="str">
        <f t="shared" si="248"/>
        <v>ДП ЛАДА-КОНЦЕПТ.3/0.Графіт</v>
      </c>
      <c r="CA359" s="432"/>
      <c r="CB359" s="222"/>
      <c r="CC359" s="223"/>
      <c r="DD359" s="740" t="s">
        <v>5146</v>
      </c>
      <c r="DE359" s="166">
        <v>9200</v>
      </c>
      <c r="DF359" s="528">
        <f t="shared" si="226"/>
        <v>9200</v>
      </c>
      <c r="DG359" s="529"/>
      <c r="DH359" s="530">
        <f t="shared" si="227"/>
        <v>9200</v>
      </c>
      <c r="DP359" s="249" t="s">
        <v>6084</v>
      </c>
      <c r="DQ359" s="164">
        <v>550</v>
      </c>
      <c r="DR359" s="531">
        <f>ROUND(((DQ359-(DQ359/6))/$DD$3)*$DE$3,2)</f>
        <v>550</v>
      </c>
      <c r="DS359" s="526"/>
      <c r="DT359" s="527">
        <f>IF(DS359="",DR359,
IF(AND($DQ$10&gt;=VLOOKUP(DS359,$DP$5:$DT$9,2,0),$DQ$10&lt;=VLOOKUP(DS359,$DP$5:$DT$9,3,0)),
(DR359*(1-VLOOKUP(DS359,$DP$5:$DT$9,4,0))),
DR359))</f>
        <v>550</v>
      </c>
      <c r="DU359" s="166"/>
      <c r="DV359" s="738" t="s">
        <v>4566</v>
      </c>
      <c r="DW359" s="166">
        <v>800</v>
      </c>
      <c r="DX359" s="522">
        <f t="shared" si="249"/>
        <v>800</v>
      </c>
      <c r="DY359" s="523"/>
      <c r="DZ359" s="524">
        <f t="shared" si="250"/>
        <v>800</v>
      </c>
      <c r="EG359" s="165"/>
      <c r="EH359" s="739" t="s">
        <v>3650</v>
      </c>
      <c r="EI359" s="164">
        <v>1840</v>
      </c>
      <c r="EJ359" s="531">
        <f>ROUND(((EI359-(EI359/6))/$DD$3)*$DE$3,2)</f>
        <v>1840</v>
      </c>
      <c r="EK359" s="526"/>
      <c r="EL359" s="527">
        <f>IF(EK359="",EJ359,
IF(AND($EI$10&gt;=VLOOKUP(EK359,$EH$5:$EL$9,2,0),$EI$10&lt;=VLOOKUP(EK359,$EH$5:$EL$9,3,0)),
(EJ359*(1-VLOOKUP(EK359,$EH$5:$EL$9,4,0))),
EJ359))</f>
        <v>1840</v>
      </c>
    </row>
    <row r="360" spans="12:142">
      <c r="L360" s="752" t="s">
        <v>3115</v>
      </c>
      <c r="M360" s="21" t="s">
        <v>1887</v>
      </c>
      <c r="N360" s="820" t="s">
        <v>2340</v>
      </c>
      <c r="O360" s="819" t="s">
        <v>728</v>
      </c>
      <c r="P360" s="21"/>
      <c r="Q360" s="154"/>
      <c r="R360" s="151"/>
      <c r="S360" s="159"/>
      <c r="AY360" s="234" t="s">
        <v>1061</v>
      </c>
      <c r="AZ360" s="137" t="s">
        <v>1723</v>
      </c>
      <c r="BA360" s="138" t="str">
        <f t="shared" si="245"/>
        <v>ДП ЛАДА-КОНЦЕПТ.4/4.б/з фальц.</v>
      </c>
      <c r="BW360" s="249" t="s">
        <v>126</v>
      </c>
      <c r="BX360" s="248" t="s">
        <v>832</v>
      </c>
      <c r="BY360" s="139" t="str">
        <f t="shared" si="248"/>
        <v>ДП ЛАДА-КОНЦЕПТ.3/0.Бронза</v>
      </c>
      <c r="CA360" s="146" t="s">
        <v>3269</v>
      </c>
      <c r="CB360" s="137" t="s">
        <v>4106</v>
      </c>
      <c r="CC360" s="138" t="str">
        <f>CONCATENATE(CA360,".",CB360)</f>
        <v>ДП ЛАДА C.фальц..робоча..(ні)</v>
      </c>
      <c r="DD360" s="740" t="s">
        <v>5147</v>
      </c>
      <c r="DE360" s="166">
        <v>9200</v>
      </c>
      <c r="DF360" s="528">
        <f t="shared" ref="DF360:DF368" si="251">ROUND(((DE360-(DE360/6))/$DD$3)*$DE$3,2)</f>
        <v>9200</v>
      </c>
      <c r="DG360" s="529"/>
      <c r="DH360" s="530">
        <f t="shared" ref="DH360:DH368" si="252">IF(DG360="",DF360,
IF(AND($DE$10&gt;=VLOOKUP(DG360,$DD$5:$DH$9,2,0),$DE$10&lt;=VLOOKUP(DG360,$DD$5:$DH$9,3,0)),
(DF360*(1-VLOOKUP(DG360,$DD$5:$DH$9,4,0))),
DF360))</f>
        <v>9200</v>
      </c>
      <c r="DP360" s="250" t="s">
        <v>2528</v>
      </c>
      <c r="DQ360" s="166">
        <v>0</v>
      </c>
      <c r="DR360" s="522">
        <f t="shared" si="238"/>
        <v>0</v>
      </c>
      <c r="DS360" s="523"/>
      <c r="DT360" s="524">
        <f t="shared" si="239"/>
        <v>0</v>
      </c>
      <c r="DU360" s="166"/>
      <c r="DV360" s="738" t="s">
        <v>4567</v>
      </c>
      <c r="DW360" s="166">
        <v>800</v>
      </c>
      <c r="DX360" s="522">
        <f t="shared" si="249"/>
        <v>800</v>
      </c>
      <c r="DY360" s="523"/>
      <c r="DZ360" s="524">
        <f t="shared" si="250"/>
        <v>800</v>
      </c>
      <c r="EG360" s="165"/>
      <c r="EH360" s="738" t="s">
        <v>3651</v>
      </c>
      <c r="EI360" s="166">
        <v>0</v>
      </c>
      <c r="EJ360" s="522">
        <f>ROUND(((EI360-(EI360/6))/$DD$3)*$DE$3,2)</f>
        <v>0</v>
      </c>
      <c r="EK360" s="523"/>
      <c r="EL360" s="524">
        <f>IF(EK360="",EJ360,
IF(AND($EI$10&gt;=VLOOKUP(EK360,$EH$5:$EL$9,2,0),$EI$10&lt;=VLOOKUP(EK360,$EH$5:$EL$9,3,0)),
(EJ360*(1-VLOOKUP(EK360,$EH$5:$EL$9,4,0))),
EJ360))</f>
        <v>0</v>
      </c>
    </row>
    <row r="361" spans="12:142">
      <c r="L361" s="752" t="s">
        <v>3121</v>
      </c>
      <c r="M361" s="21" t="s">
        <v>1888</v>
      </c>
      <c r="N361" s="821" t="s">
        <v>3128</v>
      </c>
      <c r="O361" s="819" t="s">
        <v>728</v>
      </c>
      <c r="P361" s="21"/>
      <c r="Q361" s="154"/>
      <c r="R361" s="151"/>
      <c r="S361" s="159"/>
      <c r="AY361" s="224" t="s">
        <v>1061</v>
      </c>
      <c r="AZ361" s="62" t="s">
        <v>1724</v>
      </c>
      <c r="BA361" s="139" t="str">
        <f t="shared" si="245"/>
        <v>ДП ЛАДА-КОНЦЕПТ.4/4.купе.</v>
      </c>
      <c r="BW361" s="249" t="s">
        <v>126</v>
      </c>
      <c r="BX361" s="248" t="s">
        <v>6046</v>
      </c>
      <c r="BY361" s="139" t="str">
        <f>CONCATENATE(BW361,".",BX361)</f>
        <v>ДП ЛАДА-КОНЦЕПТ.3/0.Лакобель</v>
      </c>
      <c r="CA361" s="146" t="s">
        <v>3269</v>
      </c>
      <c r="CB361" s="21"/>
      <c r="CC361" s="21"/>
      <c r="DD361" s="740" t="s">
        <v>5148</v>
      </c>
      <c r="DE361" s="166">
        <v>9200</v>
      </c>
      <c r="DF361" s="528">
        <f t="shared" si="251"/>
        <v>9200</v>
      </c>
      <c r="DG361" s="529"/>
      <c r="DH361" s="530">
        <f t="shared" si="252"/>
        <v>9200</v>
      </c>
      <c r="DP361" s="740" t="s">
        <v>3936</v>
      </c>
      <c r="DQ361" s="166">
        <v>550</v>
      </c>
      <c r="DR361" s="522">
        <f t="shared" si="238"/>
        <v>550</v>
      </c>
      <c r="DS361" s="523"/>
      <c r="DT361" s="524">
        <f t="shared" si="239"/>
        <v>550</v>
      </c>
      <c r="DU361" s="166"/>
      <c r="DV361" s="738" t="s">
        <v>4568</v>
      </c>
      <c r="DW361" s="166">
        <v>800</v>
      </c>
      <c r="DX361" s="522">
        <f t="shared" si="249"/>
        <v>800</v>
      </c>
      <c r="DY361" s="523"/>
      <c r="DZ361" s="524">
        <f t="shared" si="250"/>
        <v>800</v>
      </c>
      <c r="EG361" s="165"/>
      <c r="EH361" s="739" t="s">
        <v>3652</v>
      </c>
      <c r="EI361" s="164">
        <v>2130</v>
      </c>
      <c r="EJ361" s="531">
        <f>ROUND(((EI361-(EI361/6))/$DD$3)*$DE$3,2)</f>
        <v>2130</v>
      </c>
      <c r="EK361" s="526"/>
      <c r="EL361" s="527">
        <f>IF(EK361="",EJ361,
IF(AND($EI$10&gt;=VLOOKUP(EK361,$EH$5:$EL$9,2,0),$EI$10&lt;=VLOOKUP(EK361,$EH$5:$EL$9,3,0)),
(EJ361*(1-VLOOKUP(EK361,$EH$5:$EL$9,4,0))),
EJ361))</f>
        <v>2130</v>
      </c>
    </row>
    <row r="362" spans="12:142">
      <c r="L362" s="764" t="s">
        <v>3116</v>
      </c>
      <c r="M362" s="21" t="s">
        <v>418</v>
      </c>
      <c r="N362" s="159" t="s">
        <v>2341</v>
      </c>
      <c r="O362" s="819" t="s">
        <v>728</v>
      </c>
      <c r="P362" s="21"/>
      <c r="Q362" s="154"/>
      <c r="R362" s="151"/>
      <c r="S362" s="159"/>
      <c r="AY362" s="234" t="s">
        <v>1062</v>
      </c>
      <c r="AZ362" s="137" t="s">
        <v>1722</v>
      </c>
      <c r="BA362" s="138" t="str">
        <f t="shared" si="245"/>
        <v>ДП ЛАДА-КОНЦЕПТ.5/1.фальц.</v>
      </c>
      <c r="BW362" s="251" t="s">
        <v>127</v>
      </c>
      <c r="BX362" s="246" t="s">
        <v>458</v>
      </c>
      <c r="BY362" s="135" t="str">
        <f t="shared" si="248"/>
        <v>ДП ЛАДА-КОНЦЕПТ.3/3.Сатин</v>
      </c>
      <c r="CA362" s="146" t="s">
        <v>3269</v>
      </c>
      <c r="CB362" s="783" t="s">
        <v>5754</v>
      </c>
      <c r="CC362" s="138" t="str">
        <f t="shared" ref="CC362:CC367" si="253">CONCATENATE(CA362,".",CB362)</f>
        <v>ДП ЛАДА C.фальц..робоча..Stand цл Лів +3завіс</v>
      </c>
      <c r="DD362" s="740" t="s">
        <v>5149</v>
      </c>
      <c r="DE362" s="166">
        <v>9200</v>
      </c>
      <c r="DF362" s="528">
        <f t="shared" si="251"/>
        <v>9200</v>
      </c>
      <c r="DG362" s="529"/>
      <c r="DH362" s="530">
        <f t="shared" si="252"/>
        <v>9200</v>
      </c>
      <c r="DP362" s="249" t="s">
        <v>2530</v>
      </c>
      <c r="DQ362" s="164">
        <v>550</v>
      </c>
      <c r="DR362" s="531">
        <f t="shared" si="238"/>
        <v>550</v>
      </c>
      <c r="DS362" s="526"/>
      <c r="DT362" s="527">
        <f t="shared" si="239"/>
        <v>550</v>
      </c>
      <c r="DU362" s="166"/>
      <c r="DV362" s="738" t="s">
        <v>4569</v>
      </c>
      <c r="DW362" s="166">
        <v>800</v>
      </c>
      <c r="DX362" s="522">
        <f t="shared" si="249"/>
        <v>800</v>
      </c>
      <c r="DY362" s="523"/>
      <c r="DZ362" s="524">
        <f t="shared" si="250"/>
        <v>800</v>
      </c>
      <c r="EG362" s="165"/>
      <c r="EH362" s="738" t="s">
        <v>3653</v>
      </c>
      <c r="EI362" s="166">
        <v>0</v>
      </c>
      <c r="EJ362" s="522">
        <f t="shared" si="246"/>
        <v>0</v>
      </c>
      <c r="EK362" s="523"/>
      <c r="EL362" s="524">
        <f t="shared" si="247"/>
        <v>0</v>
      </c>
    </row>
    <row r="363" spans="12:142">
      <c r="L363" s="764" t="s">
        <v>3122</v>
      </c>
      <c r="M363" s="21" t="s">
        <v>419</v>
      </c>
      <c r="N363" s="435" t="s">
        <v>3129</v>
      </c>
      <c r="O363" s="819" t="s">
        <v>728</v>
      </c>
      <c r="P363" s="21"/>
      <c r="Q363" s="154"/>
      <c r="R363" s="151"/>
      <c r="S363" s="159"/>
      <c r="AY363" s="234" t="s">
        <v>1062</v>
      </c>
      <c r="AZ363" s="137" t="s">
        <v>1723</v>
      </c>
      <c r="BA363" s="138" t="str">
        <f t="shared" si="245"/>
        <v>ДП ЛАДА-КОНЦЕПТ.5/1.б/з фальц.</v>
      </c>
      <c r="BW363" s="250" t="s">
        <v>127</v>
      </c>
      <c r="BX363" s="770" t="s">
        <v>3851</v>
      </c>
      <c r="BY363" s="138" t="str">
        <f t="shared" si="248"/>
        <v>ДП ЛАДА-КОНЦЕПТ.3/3.Графіт</v>
      </c>
      <c r="CA363" s="146" t="s">
        <v>3269</v>
      </c>
      <c r="CB363" s="783" t="s">
        <v>5755</v>
      </c>
      <c r="CC363" s="138" t="str">
        <f t="shared" si="253"/>
        <v>ДП ЛАДА C.фальц..робоча..Stand цл Пр +3завіс</v>
      </c>
      <c r="DD363" s="740" t="s">
        <v>5150</v>
      </c>
      <c r="DE363" s="166">
        <v>9200</v>
      </c>
      <c r="DF363" s="528">
        <f t="shared" si="251"/>
        <v>9200</v>
      </c>
      <c r="DG363" s="529"/>
      <c r="DH363" s="530">
        <f t="shared" si="252"/>
        <v>9200</v>
      </c>
      <c r="DP363" s="249" t="s">
        <v>6085</v>
      </c>
      <c r="DQ363" s="164">
        <v>550</v>
      </c>
      <c r="DR363" s="531">
        <f>ROUND(((DQ363-(DQ363/6))/$DD$3)*$DE$3,2)</f>
        <v>550</v>
      </c>
      <c r="DS363" s="526"/>
      <c r="DT363" s="527">
        <f>IF(DS363="",DR363,
IF(AND($DQ$10&gt;=VLOOKUP(DS363,$DP$5:$DT$9,2,0),$DQ$10&lt;=VLOOKUP(DS363,$DP$5:$DT$9,3,0)),
(DR363*(1-VLOOKUP(DS363,$DP$5:$DT$9,4,0))),
DR363))</f>
        <v>550</v>
      </c>
      <c r="DU363" s="166"/>
      <c r="DV363" s="738" t="s">
        <v>4570</v>
      </c>
      <c r="DW363" s="166">
        <v>800</v>
      </c>
      <c r="DX363" s="522">
        <f t="shared" si="249"/>
        <v>800</v>
      </c>
      <c r="DY363" s="523"/>
      <c r="DZ363" s="524">
        <f t="shared" si="250"/>
        <v>800</v>
      </c>
      <c r="EG363" s="165"/>
      <c r="EH363" s="739" t="s">
        <v>3654</v>
      </c>
      <c r="EI363" s="164">
        <v>2220</v>
      </c>
      <c r="EJ363" s="531">
        <f t="shared" si="246"/>
        <v>2220</v>
      </c>
      <c r="EK363" s="526"/>
      <c r="EL363" s="527">
        <f t="shared" si="247"/>
        <v>2220</v>
      </c>
    </row>
    <row r="364" spans="12:142">
      <c r="L364" s="154" t="s">
        <v>1889</v>
      </c>
      <c r="M364" s="21" t="s">
        <v>1890</v>
      </c>
      <c r="N364" s="159" t="s">
        <v>2342</v>
      </c>
      <c r="O364" s="819" t="s">
        <v>728</v>
      </c>
      <c r="P364" s="21"/>
      <c r="Q364" s="154"/>
      <c r="R364" s="151"/>
      <c r="S364" s="159"/>
      <c r="AY364" s="224" t="s">
        <v>1062</v>
      </c>
      <c r="AZ364" s="62" t="s">
        <v>1724</v>
      </c>
      <c r="BA364" s="139" t="str">
        <f t="shared" si="245"/>
        <v>ДП ЛАДА-КОНЦЕПТ.5/1.купе.</v>
      </c>
      <c r="BW364" s="249" t="s">
        <v>127</v>
      </c>
      <c r="BX364" s="248" t="s">
        <v>832</v>
      </c>
      <c r="BY364" s="139" t="str">
        <f t="shared" si="248"/>
        <v>ДП ЛАДА-КОНЦЕПТ.3/3.Бронза</v>
      </c>
      <c r="CA364" s="146" t="s">
        <v>3269</v>
      </c>
      <c r="CB364" s="783" t="s">
        <v>5756</v>
      </c>
      <c r="CC364" s="138" t="str">
        <f t="shared" si="253"/>
        <v>ДП ЛАДА C.фальц..робоча..Stand кл Лів +3завіс</v>
      </c>
      <c r="DD364" s="740" t="s">
        <v>5151</v>
      </c>
      <c r="DE364" s="166">
        <v>9200</v>
      </c>
      <c r="DF364" s="528">
        <f t="shared" si="251"/>
        <v>9200</v>
      </c>
      <c r="DG364" s="529"/>
      <c r="DH364" s="530">
        <f t="shared" si="252"/>
        <v>9200</v>
      </c>
      <c r="DP364" s="250" t="s">
        <v>2532</v>
      </c>
      <c r="DQ364" s="166">
        <v>0</v>
      </c>
      <c r="DR364" s="522">
        <f t="shared" si="238"/>
        <v>0</v>
      </c>
      <c r="DS364" s="523"/>
      <c r="DT364" s="524">
        <f t="shared" si="239"/>
        <v>0</v>
      </c>
      <c r="DU364" s="166"/>
      <c r="DV364" s="739" t="s">
        <v>4571</v>
      </c>
      <c r="DW364" s="166">
        <v>800</v>
      </c>
      <c r="DX364" s="525">
        <f t="shared" si="249"/>
        <v>800</v>
      </c>
      <c r="DY364" s="526"/>
      <c r="DZ364" s="527">
        <f t="shared" si="250"/>
        <v>800</v>
      </c>
      <c r="EG364" s="165"/>
      <c r="EH364" s="738" t="s">
        <v>3655</v>
      </c>
      <c r="EI364" s="166">
        <v>0</v>
      </c>
      <c r="EJ364" s="522">
        <f t="shared" si="246"/>
        <v>0</v>
      </c>
      <c r="EK364" s="523"/>
      <c r="EL364" s="524">
        <f t="shared" si="247"/>
        <v>0</v>
      </c>
    </row>
    <row r="365" spans="12:142">
      <c r="L365" s="765" t="s">
        <v>3123</v>
      </c>
      <c r="M365" s="254" t="s">
        <v>56</v>
      </c>
      <c r="N365" s="599" t="s">
        <v>3130</v>
      </c>
      <c r="O365" s="422" t="s">
        <v>728</v>
      </c>
      <c r="P365" s="21"/>
      <c r="Q365" s="155"/>
      <c r="R365" s="152"/>
      <c r="S365" s="160"/>
      <c r="AY365" s="234" t="s">
        <v>1063</v>
      </c>
      <c r="AZ365" s="137" t="s">
        <v>1722</v>
      </c>
      <c r="BA365" s="138" t="str">
        <f t="shared" si="245"/>
        <v>ДП ЛАДА-КОНЦЕПТ.5/2.фальц.</v>
      </c>
      <c r="BW365" s="251" t="s">
        <v>650</v>
      </c>
      <c r="BX365" s="246" t="s">
        <v>458</v>
      </c>
      <c r="BY365" s="135" t="str">
        <f t="shared" si="248"/>
        <v>ДП ЛАДА-КОНЦЕПТ.4/0.Сатин</v>
      </c>
      <c r="CA365" s="146" t="s">
        <v>3269</v>
      </c>
      <c r="CB365" s="783" t="s">
        <v>5757</v>
      </c>
      <c r="CC365" s="138" t="str">
        <f t="shared" si="253"/>
        <v>ДП ЛАДА C.фальц..робоча..Stand кл Пр +3завіс</v>
      </c>
      <c r="DD365" s="740" t="s">
        <v>5152</v>
      </c>
      <c r="DE365" s="166">
        <v>9200</v>
      </c>
      <c r="DF365" s="528">
        <f t="shared" si="251"/>
        <v>9200</v>
      </c>
      <c r="DG365" s="529"/>
      <c r="DH365" s="530">
        <f t="shared" si="252"/>
        <v>9200</v>
      </c>
      <c r="DP365" s="740" t="s">
        <v>3937</v>
      </c>
      <c r="DQ365" s="166">
        <v>550</v>
      </c>
      <c r="DR365" s="522">
        <f t="shared" si="238"/>
        <v>550</v>
      </c>
      <c r="DS365" s="523"/>
      <c r="DT365" s="524">
        <f t="shared" si="239"/>
        <v>550</v>
      </c>
      <c r="DU365" s="166"/>
      <c r="DV365" s="739" t="s">
        <v>6281</v>
      </c>
      <c r="DW365" s="164">
        <v>0</v>
      </c>
      <c r="DX365" s="531">
        <f t="shared" si="243"/>
        <v>0</v>
      </c>
      <c r="DY365" s="526"/>
      <c r="DZ365" s="527">
        <f t="shared" si="244"/>
        <v>0</v>
      </c>
      <c r="EG365" s="165"/>
      <c r="EH365" s="739" t="s">
        <v>3656</v>
      </c>
      <c r="EI365" s="164">
        <v>2370</v>
      </c>
      <c r="EJ365" s="531">
        <f t="shared" si="246"/>
        <v>2370</v>
      </c>
      <c r="EK365" s="526"/>
      <c r="EL365" s="527">
        <f t="shared" si="247"/>
        <v>2370</v>
      </c>
    </row>
    <row r="366" spans="12:142">
      <c r="L366" s="751" t="s">
        <v>2174</v>
      </c>
      <c r="M366" s="817" t="s">
        <v>57</v>
      </c>
      <c r="N366" s="100" t="s">
        <v>2174</v>
      </c>
      <c r="O366" s="818" t="s">
        <v>729</v>
      </c>
      <c r="P366" s="21"/>
      <c r="Q366" s="153"/>
      <c r="R366" s="101"/>
      <c r="S366" s="100"/>
      <c r="AY366" s="234" t="s">
        <v>1063</v>
      </c>
      <c r="AZ366" s="137" t="s">
        <v>1723</v>
      </c>
      <c r="BA366" s="138" t="str">
        <f t="shared" si="245"/>
        <v>ДП ЛАДА-КОНЦЕПТ.5/2.б/з фальц.</v>
      </c>
      <c r="BW366" s="250" t="s">
        <v>650</v>
      </c>
      <c r="BX366" s="770" t="s">
        <v>3851</v>
      </c>
      <c r="BY366" s="138" t="str">
        <f t="shared" si="248"/>
        <v>ДП ЛАДА-КОНЦЕПТ.4/0.Графіт</v>
      </c>
      <c r="CA366" s="146" t="s">
        <v>3269</v>
      </c>
      <c r="CB366" s="783" t="s">
        <v>5758</v>
      </c>
      <c r="CC366" s="138" t="str">
        <f t="shared" si="253"/>
        <v>ДП ЛАДА C.фальц..робоча..Stand ст Лів +3завіс</v>
      </c>
      <c r="DD366" s="740" t="s">
        <v>5153</v>
      </c>
      <c r="DE366" s="166">
        <v>9200</v>
      </c>
      <c r="DF366" s="528">
        <f t="shared" si="251"/>
        <v>9200</v>
      </c>
      <c r="DG366" s="529"/>
      <c r="DH366" s="530">
        <f t="shared" si="252"/>
        <v>9200</v>
      </c>
      <c r="DP366" s="249" t="s">
        <v>2533</v>
      </c>
      <c r="DQ366" s="164">
        <v>550</v>
      </c>
      <c r="DR366" s="531">
        <f t="shared" si="238"/>
        <v>550</v>
      </c>
      <c r="DS366" s="526"/>
      <c r="DT366" s="527">
        <f t="shared" si="239"/>
        <v>550</v>
      </c>
      <c r="DU366" s="166"/>
      <c r="DV366" s="738" t="s">
        <v>6282</v>
      </c>
      <c r="DW366" s="166">
        <v>1</v>
      </c>
      <c r="DX366" s="522">
        <f t="shared" si="243"/>
        <v>1</v>
      </c>
      <c r="DY366" s="523"/>
      <c r="DZ366" s="524">
        <f t="shared" si="244"/>
        <v>1</v>
      </c>
      <c r="EG366" s="165"/>
      <c r="EH366" s="738" t="s">
        <v>5154</v>
      </c>
      <c r="EI366" s="166">
        <v>0</v>
      </c>
      <c r="EJ366" s="522">
        <f>ROUND(((EI366-(EI366/6))/$DD$3)*$DE$3,2)</f>
        <v>0</v>
      </c>
      <c r="EK366" s="523"/>
      <c r="EL366" s="524">
        <f>IF(EK366="",EJ366,
IF(AND($EI$10&gt;=VLOOKUP(EK366,$EH$5:$EL$9,2,0),$EI$10&lt;=VLOOKUP(EK366,$EH$5:$EL$9,3,0)),
(EJ366*(1-VLOOKUP(EK366,$EH$5:$EL$9,4,0))),
EJ366))</f>
        <v>0</v>
      </c>
    </row>
    <row r="367" spans="12:142">
      <c r="L367" s="752" t="s">
        <v>3131</v>
      </c>
      <c r="M367" s="21" t="s">
        <v>58</v>
      </c>
      <c r="N367" s="435" t="s">
        <v>3131</v>
      </c>
      <c r="O367" s="819" t="s">
        <v>729</v>
      </c>
      <c r="P367" s="21"/>
      <c r="Q367" s="154"/>
      <c r="R367" s="151"/>
      <c r="S367" s="159"/>
      <c r="AY367" s="224" t="s">
        <v>1063</v>
      </c>
      <c r="AZ367" s="62" t="s">
        <v>1724</v>
      </c>
      <c r="BA367" s="139" t="str">
        <f t="shared" si="245"/>
        <v>ДП ЛАДА-КОНЦЕПТ.5/2.купе.</v>
      </c>
      <c r="BW367" s="249" t="s">
        <v>650</v>
      </c>
      <c r="BX367" s="248" t="s">
        <v>832</v>
      </c>
      <c r="BY367" s="139" t="str">
        <f t="shared" si="248"/>
        <v>ДП ЛАДА-КОНЦЕПТ.4/0.Бронза</v>
      </c>
      <c r="CA367" s="146" t="s">
        <v>3269</v>
      </c>
      <c r="CB367" s="783" t="s">
        <v>5759</v>
      </c>
      <c r="CC367" s="138" t="str">
        <f t="shared" si="253"/>
        <v>ДП ЛАДА C.фальц..робоча..Stand ст Пр +3завіс</v>
      </c>
      <c r="DD367" s="740" t="s">
        <v>5155</v>
      </c>
      <c r="DE367" s="166">
        <v>9200</v>
      </c>
      <c r="DF367" s="528">
        <f t="shared" si="251"/>
        <v>9200</v>
      </c>
      <c r="DG367" s="529"/>
      <c r="DH367" s="530">
        <f t="shared" si="252"/>
        <v>9200</v>
      </c>
      <c r="DP367" s="249" t="s">
        <v>6086</v>
      </c>
      <c r="DQ367" s="164">
        <v>550</v>
      </c>
      <c r="DR367" s="531">
        <f>ROUND(((DQ367-(DQ367/6))/$DD$3)*$DE$3,2)</f>
        <v>550</v>
      </c>
      <c r="DS367" s="526"/>
      <c r="DT367" s="527">
        <f>IF(DS367="",DR367,
IF(AND($DQ$10&gt;=VLOOKUP(DS367,$DP$5:$DT$9,2,0),$DQ$10&lt;=VLOOKUP(DS367,$DP$5:$DT$9,3,0)),
(DR367*(1-VLOOKUP(DS367,$DP$5:$DT$9,4,0))),
DR367))</f>
        <v>550</v>
      </c>
      <c r="DU367" s="166"/>
      <c r="DV367" s="738" t="s">
        <v>6283</v>
      </c>
      <c r="DW367" s="166">
        <v>1</v>
      </c>
      <c r="DX367" s="522">
        <f t="shared" si="243"/>
        <v>1</v>
      </c>
      <c r="DY367" s="523"/>
      <c r="DZ367" s="524">
        <f t="shared" si="244"/>
        <v>1</v>
      </c>
      <c r="EG367" s="165"/>
      <c r="EH367" s="739" t="s">
        <v>5156</v>
      </c>
      <c r="EI367" s="164">
        <v>2560</v>
      </c>
      <c r="EJ367" s="531">
        <f>ROUND(((EI367-(EI367/6))/$DD$3)*$DE$3,2)</f>
        <v>2560</v>
      </c>
      <c r="EK367" s="526"/>
      <c r="EL367" s="527">
        <f>IF(EK367="",EJ367,
IF(AND($EI$10&gt;=VLOOKUP(EK367,$EH$5:$EL$9,2,0),$EI$10&lt;=VLOOKUP(EK367,$EH$5:$EL$9,3,0)),
(EJ367*(1-VLOOKUP(EK367,$EH$5:$EL$9,4,0))),
EJ367))</f>
        <v>2560</v>
      </c>
    </row>
    <row r="368" spans="12:142">
      <c r="L368" s="765" t="s">
        <v>3132</v>
      </c>
      <c r="M368" s="254" t="s">
        <v>59</v>
      </c>
      <c r="N368" s="599" t="s">
        <v>3132</v>
      </c>
      <c r="O368" s="422" t="s">
        <v>729</v>
      </c>
      <c r="P368" s="21"/>
      <c r="Q368" s="155"/>
      <c r="R368" s="152"/>
      <c r="S368" s="160"/>
      <c r="AY368" s="234" t="s">
        <v>1064</v>
      </c>
      <c r="AZ368" s="137" t="s">
        <v>1722</v>
      </c>
      <c r="BA368" s="138" t="str">
        <f t="shared" si="245"/>
        <v>ДП ЛАДА-КОНЦЕПТ.5/3.фальц.</v>
      </c>
      <c r="BW368" s="249" t="s">
        <v>650</v>
      </c>
      <c r="BX368" s="248" t="s">
        <v>6046</v>
      </c>
      <c r="BY368" s="139" t="str">
        <f>CONCATENATE(BW368,".",BX368)</f>
        <v>ДП ЛАДА-КОНЦЕПТ.4/0.Лакобель</v>
      </c>
      <c r="CA368" s="146" t="s">
        <v>3269</v>
      </c>
      <c r="CC368" s="138"/>
      <c r="DD368" s="741" t="s">
        <v>5157</v>
      </c>
      <c r="DE368" s="164">
        <v>9200</v>
      </c>
      <c r="DF368" s="528">
        <f t="shared" si="251"/>
        <v>9200</v>
      </c>
      <c r="DG368" s="529"/>
      <c r="DH368" s="530">
        <f t="shared" si="252"/>
        <v>9200</v>
      </c>
      <c r="DP368" s="250" t="s">
        <v>2534</v>
      </c>
      <c r="DQ368" s="166">
        <v>0</v>
      </c>
      <c r="DR368" s="522">
        <f t="shared" si="238"/>
        <v>0</v>
      </c>
      <c r="DS368" s="523"/>
      <c r="DT368" s="524">
        <f t="shared" si="239"/>
        <v>0</v>
      </c>
      <c r="DU368" s="166"/>
      <c r="DV368" s="738" t="s">
        <v>6284</v>
      </c>
      <c r="DW368" s="166">
        <v>1</v>
      </c>
      <c r="DX368" s="522">
        <f t="shared" si="243"/>
        <v>1</v>
      </c>
      <c r="DY368" s="523"/>
      <c r="DZ368" s="524">
        <f t="shared" si="244"/>
        <v>1</v>
      </c>
      <c r="EG368" s="165"/>
      <c r="EH368" s="738" t="s">
        <v>3657</v>
      </c>
      <c r="EI368" s="166">
        <v>0</v>
      </c>
      <c r="EJ368" s="522">
        <f t="shared" si="246"/>
        <v>0</v>
      </c>
      <c r="EK368" s="523"/>
      <c r="EL368" s="524">
        <f t="shared" si="247"/>
        <v>0</v>
      </c>
    </row>
    <row r="369" spans="12:142">
      <c r="L369" s="736" t="s">
        <v>5620</v>
      </c>
      <c r="M369" s="254" t="s">
        <v>5621</v>
      </c>
      <c r="N369" s="599" t="s">
        <v>5622</v>
      </c>
      <c r="O369" s="422" t="s">
        <v>729</v>
      </c>
      <c r="P369" s="21"/>
      <c r="Q369" s="153"/>
      <c r="R369" s="101"/>
      <c r="S369" s="100"/>
      <c r="AY369" s="234" t="s">
        <v>1064</v>
      </c>
      <c r="AZ369" s="137" t="s">
        <v>1723</v>
      </c>
      <c r="BA369" s="138" t="str">
        <f t="shared" si="245"/>
        <v>ДП ЛАДА-КОНЦЕПТ.5/3.б/з фальц.</v>
      </c>
      <c r="BW369" s="251" t="s">
        <v>1061</v>
      </c>
      <c r="BX369" s="246" t="s">
        <v>458</v>
      </c>
      <c r="BY369" s="135" t="str">
        <f t="shared" si="248"/>
        <v>ДП ЛАДА-КОНЦЕПТ.4/4.Сатин</v>
      </c>
      <c r="CA369" s="146" t="s">
        <v>3269</v>
      </c>
      <c r="CB369" s="137" t="s">
        <v>4304</v>
      </c>
      <c r="CC369" s="138" t="str">
        <f>CONCATENATE(CA369,".",CB369)</f>
        <v>ДП ЛАДА C.фальц..робоча..Soft цл +3завіс</v>
      </c>
      <c r="DD369" s="641"/>
      <c r="DE369" s="642"/>
      <c r="DF369" s="643"/>
      <c r="DG369" s="644"/>
      <c r="DH369" s="645"/>
      <c r="DP369" s="740" t="s">
        <v>3938</v>
      </c>
      <c r="DQ369" s="166">
        <v>550</v>
      </c>
      <c r="DR369" s="522">
        <f t="shared" si="238"/>
        <v>550</v>
      </c>
      <c r="DS369" s="523"/>
      <c r="DT369" s="524">
        <f t="shared" si="239"/>
        <v>550</v>
      </c>
      <c r="DU369" s="166"/>
      <c r="DV369" s="738" t="s">
        <v>6285</v>
      </c>
      <c r="DW369" s="166">
        <v>1</v>
      </c>
      <c r="DX369" s="522">
        <f t="shared" si="243"/>
        <v>1</v>
      </c>
      <c r="DY369" s="523"/>
      <c r="DZ369" s="524">
        <f t="shared" si="244"/>
        <v>1</v>
      </c>
      <c r="EG369" s="165"/>
      <c r="EH369" s="739" t="s">
        <v>3658</v>
      </c>
      <c r="EI369" s="164">
        <v>2560</v>
      </c>
      <c r="EJ369" s="531">
        <f t="shared" si="246"/>
        <v>2560</v>
      </c>
      <c r="EK369" s="526"/>
      <c r="EL369" s="527">
        <f t="shared" si="247"/>
        <v>2560</v>
      </c>
    </row>
    <row r="370" spans="12:142">
      <c r="L370" s="736" t="s">
        <v>5623</v>
      </c>
      <c r="M370" s="254" t="s">
        <v>5624</v>
      </c>
      <c r="N370" s="599" t="s">
        <v>6045</v>
      </c>
      <c r="O370" s="422" t="s">
        <v>729</v>
      </c>
      <c r="P370" s="21"/>
      <c r="Q370" s="154"/>
      <c r="R370" s="151"/>
      <c r="S370" s="159"/>
      <c r="AY370" s="224" t="s">
        <v>1064</v>
      </c>
      <c r="AZ370" s="62" t="s">
        <v>1724</v>
      </c>
      <c r="BA370" s="139" t="str">
        <f t="shared" si="245"/>
        <v>ДП ЛАДА-КОНЦЕПТ.5/3.купе.</v>
      </c>
      <c r="BW370" s="250" t="s">
        <v>1061</v>
      </c>
      <c r="BX370" s="770" t="s">
        <v>3851</v>
      </c>
      <c r="BY370" s="138" t="str">
        <f t="shared" si="248"/>
        <v>ДП ЛАДА-КОНЦЕПТ.4/4.Графіт</v>
      </c>
      <c r="CA370" s="146" t="s">
        <v>3269</v>
      </c>
      <c r="CB370" s="137" t="s">
        <v>4307</v>
      </c>
      <c r="CC370" s="138" t="str">
        <f>CONCATENATE(CA370,".",CB370)</f>
        <v>ДП ЛАДА C.фальц..робоча..Soft ст +3завіс</v>
      </c>
      <c r="DD370" s="251" t="s">
        <v>1469</v>
      </c>
      <c r="DE370" s="163">
        <v>6790.0000000000009</v>
      </c>
      <c r="DF370" s="528">
        <f>ROUND(((DE370-(DE370/6))/$DD$3)*$DE$3,2)</f>
        <v>6790</v>
      </c>
      <c r="DG370" s="529"/>
      <c r="DH370" s="530">
        <f>IF(DG370="",DF370,
IF(AND($DE$10&gt;=VLOOKUP(DG370,$DD$5:$DH$9,2,0),$DE$10&lt;=VLOOKUP(DG370,$DD$5:$DH$9,3,0)),
(DF370*(1-VLOOKUP(DG370,$DD$5:$DH$9,4,0))),
DF370))</f>
        <v>6790</v>
      </c>
      <c r="DP370" s="249" t="s">
        <v>2535</v>
      </c>
      <c r="DQ370" s="164">
        <v>550</v>
      </c>
      <c r="DR370" s="531">
        <f t="shared" si="238"/>
        <v>550</v>
      </c>
      <c r="DS370" s="526"/>
      <c r="DT370" s="527">
        <f t="shared" si="239"/>
        <v>550</v>
      </c>
      <c r="DU370" s="166"/>
      <c r="DV370" s="738" t="s">
        <v>6286</v>
      </c>
      <c r="DW370" s="166">
        <v>1</v>
      </c>
      <c r="DX370" s="522">
        <f t="shared" si="243"/>
        <v>1</v>
      </c>
      <c r="DY370" s="523"/>
      <c r="DZ370" s="524">
        <f t="shared" si="244"/>
        <v>1</v>
      </c>
      <c r="EG370" s="165"/>
      <c r="EH370" s="256"/>
      <c r="EI370" s="257"/>
      <c r="EJ370" s="517"/>
      <c r="EK370" s="532"/>
      <c r="EL370" s="259"/>
    </row>
    <row r="371" spans="12:142">
      <c r="L371" s="751" t="s">
        <v>2073</v>
      </c>
      <c r="M371" s="817" t="s">
        <v>2332</v>
      </c>
      <c r="N371" s="766" t="s">
        <v>2326</v>
      </c>
      <c r="O371" s="818" t="s">
        <v>728</v>
      </c>
      <c r="P371" s="21"/>
      <c r="Q371" s="154"/>
      <c r="R371" s="151"/>
      <c r="S371" s="159"/>
      <c r="AY371" s="432"/>
      <c r="AZ371" s="222"/>
      <c r="BA371" s="223"/>
      <c r="BW371" s="249" t="s">
        <v>1061</v>
      </c>
      <c r="BX371" s="248" t="s">
        <v>832</v>
      </c>
      <c r="BY371" s="139" t="str">
        <f t="shared" si="248"/>
        <v>ДП ЛАДА-КОНЦЕПТ.4/4.Бронза</v>
      </c>
      <c r="CA371" s="146" t="s">
        <v>3269</v>
      </c>
      <c r="CB371" s="21"/>
      <c r="CC371" s="21"/>
      <c r="DD371" s="250" t="s">
        <v>1470</v>
      </c>
      <c r="DE371" s="166">
        <v>6790.0000000000009</v>
      </c>
      <c r="DF371" s="528">
        <f t="shared" ref="DF371:DF408" si="254">ROUND(((DE371-(DE371/6))/$DD$3)*$DE$3,2)</f>
        <v>6790</v>
      </c>
      <c r="DG371" s="523"/>
      <c r="DH371" s="530">
        <f t="shared" ref="DH371:DH408" si="255">IF(DG371="",DF371,
IF(AND($DE$10&gt;=VLOOKUP(DG371,$DD$5:$DH$9,2,0),$DE$10&lt;=VLOOKUP(DG371,$DD$5:$DH$9,3,0)),
(DF371*(1-VLOOKUP(DG371,$DD$5:$DH$9,4,0))),
DF371))</f>
        <v>6790</v>
      </c>
      <c r="DP371" s="249" t="s">
        <v>6087</v>
      </c>
      <c r="DQ371" s="164">
        <v>550</v>
      </c>
      <c r="DR371" s="531">
        <f>ROUND(((DQ371-(DQ371/6))/$DD$3)*$DE$3,2)</f>
        <v>550</v>
      </c>
      <c r="DS371" s="526"/>
      <c r="DT371" s="527">
        <f>IF(DS371="",DR371,
IF(AND($DQ$10&gt;=VLOOKUP(DS371,$DP$5:$DT$9,2,0),$DQ$10&lt;=VLOOKUP(DS371,$DP$5:$DT$9,3,0)),
(DR371*(1-VLOOKUP(DS371,$DP$5:$DT$9,4,0))),
DR371))</f>
        <v>550</v>
      </c>
      <c r="DU371" s="166"/>
      <c r="DV371" s="739" t="s">
        <v>6287</v>
      </c>
      <c r="DW371" s="166">
        <v>1</v>
      </c>
      <c r="DX371" s="525">
        <f t="shared" si="243"/>
        <v>1</v>
      </c>
      <c r="DY371" s="526"/>
      <c r="DZ371" s="527">
        <f t="shared" si="244"/>
        <v>1</v>
      </c>
      <c r="EG371" s="165"/>
      <c r="EH371" s="737" t="s">
        <v>4986</v>
      </c>
      <c r="EI371" s="163">
        <v>0</v>
      </c>
      <c r="EJ371" s="537">
        <f t="shared" si="246"/>
        <v>0</v>
      </c>
      <c r="EK371" s="529"/>
      <c r="EL371" s="530">
        <f t="shared" si="247"/>
        <v>0</v>
      </c>
    </row>
    <row r="372" spans="12:142">
      <c r="L372" s="752" t="s">
        <v>2074</v>
      </c>
      <c r="M372" s="21" t="s">
        <v>2333</v>
      </c>
      <c r="N372" s="435" t="s">
        <v>2327</v>
      </c>
      <c r="O372" s="819" t="s">
        <v>728</v>
      </c>
      <c r="P372" s="21"/>
      <c r="Q372" s="154"/>
      <c r="R372" s="151"/>
      <c r="S372" s="159"/>
      <c r="AY372" s="231" t="s">
        <v>128</v>
      </c>
      <c r="AZ372" s="137" t="s">
        <v>1722</v>
      </c>
      <c r="BA372" s="138" t="str">
        <f t="shared" ref="BA372:BA396" si="256">CONCATENATE(AY372,".",AZ372)</f>
        <v>ДП ЛАДА-НОВА.4/0.фальц.</v>
      </c>
      <c r="BW372" s="251" t="s">
        <v>1062</v>
      </c>
      <c r="BX372" s="786" t="s">
        <v>4220</v>
      </c>
      <c r="BY372" s="135" t="str">
        <f t="shared" si="248"/>
        <v>ДП ЛАДА-КОНЦЕПТ.5/1.Малюнок</v>
      </c>
      <c r="CA372" s="146" t="s">
        <v>3269</v>
      </c>
      <c r="CB372" s="137" t="s">
        <v>4316</v>
      </c>
      <c r="CC372" s="138" t="str">
        <f>CONCATENATE(CA372,".",CB372)</f>
        <v>ДП ЛАДА C.фальц..робоча..Magnet цл +3завіс</v>
      </c>
      <c r="DD372" s="250" t="s">
        <v>1471</v>
      </c>
      <c r="DE372" s="166">
        <v>6790.0000000000009</v>
      </c>
      <c r="DF372" s="528">
        <f t="shared" si="254"/>
        <v>6790</v>
      </c>
      <c r="DG372" s="523"/>
      <c r="DH372" s="530">
        <f t="shared" si="255"/>
        <v>6790</v>
      </c>
      <c r="DP372" s="250" t="s">
        <v>2536</v>
      </c>
      <c r="DQ372" s="166">
        <v>0</v>
      </c>
      <c r="DR372" s="522">
        <f t="shared" si="238"/>
        <v>0</v>
      </c>
      <c r="DS372" s="523"/>
      <c r="DT372" s="524">
        <f t="shared" si="239"/>
        <v>0</v>
      </c>
      <c r="DU372" s="166"/>
      <c r="DV372" s="165" t="s">
        <v>1676</v>
      </c>
      <c r="DW372" s="166">
        <v>0</v>
      </c>
      <c r="DX372" s="522">
        <f t="shared" si="243"/>
        <v>0</v>
      </c>
      <c r="DY372" s="523"/>
      <c r="DZ372" s="524">
        <f t="shared" si="244"/>
        <v>0</v>
      </c>
      <c r="EG372" s="165"/>
      <c r="EH372" s="739" t="s">
        <v>4987</v>
      </c>
      <c r="EI372" s="164">
        <v>1930</v>
      </c>
      <c r="EJ372" s="531">
        <f t="shared" si="246"/>
        <v>1930</v>
      </c>
      <c r="EK372" s="526"/>
      <c r="EL372" s="527">
        <f t="shared" si="247"/>
        <v>1930</v>
      </c>
    </row>
    <row r="373" spans="12:142">
      <c r="L373" s="752" t="s">
        <v>2075</v>
      </c>
      <c r="M373" s="21" t="s">
        <v>2334</v>
      </c>
      <c r="N373" s="435" t="s">
        <v>2328</v>
      </c>
      <c r="O373" s="819" t="s">
        <v>728</v>
      </c>
      <c r="P373" s="21"/>
      <c r="Q373" s="154"/>
      <c r="R373" s="151"/>
      <c r="S373" s="159"/>
      <c r="AY373" s="234" t="s">
        <v>128</v>
      </c>
      <c r="AZ373" s="137" t="s">
        <v>1723</v>
      </c>
      <c r="BA373" s="138" t="str">
        <f t="shared" si="256"/>
        <v>ДП ЛАДА-НОВА.4/0.б/з фальц.</v>
      </c>
      <c r="BW373" s="250" t="s">
        <v>1062</v>
      </c>
      <c r="BX373" s="770" t="s">
        <v>3851</v>
      </c>
      <c r="BY373" s="138" t="str">
        <f t="shared" si="248"/>
        <v>ДП ЛАДА-КОНЦЕПТ.5/1.Графіт</v>
      </c>
      <c r="CA373" s="147" t="s">
        <v>3269</v>
      </c>
      <c r="CB373" s="62" t="s">
        <v>4319</v>
      </c>
      <c r="CC373" s="139" t="str">
        <f>CONCATENATE(CA373,".",CB373)</f>
        <v>ДП ЛАДА C.фальц..робоча..Magnet ст +3завіс</v>
      </c>
      <c r="DD373" s="250" t="s">
        <v>1472</v>
      </c>
      <c r="DE373" s="166">
        <v>6790.0000000000009</v>
      </c>
      <c r="DF373" s="528">
        <f t="shared" si="254"/>
        <v>6790</v>
      </c>
      <c r="DG373" s="523"/>
      <c r="DH373" s="530">
        <f t="shared" si="255"/>
        <v>6790</v>
      </c>
      <c r="DP373" s="740" t="s">
        <v>3939</v>
      </c>
      <c r="DQ373" s="166">
        <v>550</v>
      </c>
      <c r="DR373" s="522">
        <f t="shared" si="238"/>
        <v>550</v>
      </c>
      <c r="DS373" s="523"/>
      <c r="DT373" s="524">
        <f t="shared" si="239"/>
        <v>550</v>
      </c>
      <c r="DU373" s="166"/>
      <c r="DV373" s="108" t="s">
        <v>1677</v>
      </c>
      <c r="DW373" s="164">
        <v>560</v>
      </c>
      <c r="DX373" s="531">
        <f t="shared" si="243"/>
        <v>560</v>
      </c>
      <c r="DY373" s="526"/>
      <c r="DZ373" s="527">
        <f t="shared" si="244"/>
        <v>560</v>
      </c>
      <c r="EG373" s="165"/>
      <c r="EH373" s="738" t="s">
        <v>3659</v>
      </c>
      <c r="EI373" s="166">
        <v>0</v>
      </c>
      <c r="EJ373" s="522">
        <f t="shared" si="246"/>
        <v>0</v>
      </c>
      <c r="EK373" s="523"/>
      <c r="EL373" s="524">
        <f t="shared" si="247"/>
        <v>0</v>
      </c>
    </row>
    <row r="374" spans="12:142">
      <c r="L374" s="752" t="s">
        <v>2076</v>
      </c>
      <c r="M374" s="21" t="s">
        <v>2335</v>
      </c>
      <c r="N374" s="435" t="s">
        <v>2329</v>
      </c>
      <c r="O374" s="819" t="s">
        <v>728</v>
      </c>
      <c r="P374" s="21"/>
      <c r="Q374" s="155"/>
      <c r="R374" s="152"/>
      <c r="S374" s="160"/>
      <c r="AY374" s="224" t="s">
        <v>128</v>
      </c>
      <c r="AZ374" s="62" t="s">
        <v>1724</v>
      </c>
      <c r="BA374" s="139" t="str">
        <f t="shared" si="256"/>
        <v>ДП ЛАДА-НОВА.4/0.купе.</v>
      </c>
      <c r="BW374" s="249" t="s">
        <v>1062</v>
      </c>
      <c r="BX374" s="248" t="s">
        <v>832</v>
      </c>
      <c r="BY374" s="139" t="str">
        <f t="shared" si="248"/>
        <v>ДП ЛАДА-КОНЦЕПТ.5/1.Бронза</v>
      </c>
      <c r="CA374" s="145" t="s">
        <v>3270</v>
      </c>
      <c r="CB374" s="134" t="s">
        <v>4106</v>
      </c>
      <c r="CC374" s="135" t="str">
        <f>CONCATENATE(CA374,".",CB374)</f>
        <v>ДП ЛАДА C.фальц..неробоча..(ні)</v>
      </c>
      <c r="DD374" s="250" t="s">
        <v>1473</v>
      </c>
      <c r="DE374" s="166">
        <v>6790.0000000000009</v>
      </c>
      <c r="DF374" s="528">
        <f t="shared" si="254"/>
        <v>6790</v>
      </c>
      <c r="DG374" s="523"/>
      <c r="DH374" s="530">
        <f t="shared" si="255"/>
        <v>6790</v>
      </c>
      <c r="DP374" s="249" t="s">
        <v>2537</v>
      </c>
      <c r="DQ374" s="164">
        <v>550</v>
      </c>
      <c r="DR374" s="531">
        <f t="shared" si="238"/>
        <v>550</v>
      </c>
      <c r="DS374" s="526"/>
      <c r="DT374" s="527">
        <f t="shared" si="239"/>
        <v>550</v>
      </c>
      <c r="DU374" s="166"/>
      <c r="DV374" s="647"/>
      <c r="DW374" s="648"/>
      <c r="DX374" s="654"/>
      <c r="DY374" s="655"/>
      <c r="DZ374" s="656"/>
      <c r="EG374" s="165"/>
      <c r="EH374" s="739" t="s">
        <v>3660</v>
      </c>
      <c r="EI374" s="164">
        <v>1930</v>
      </c>
      <c r="EJ374" s="531">
        <f t="shared" si="246"/>
        <v>1930</v>
      </c>
      <c r="EK374" s="526"/>
      <c r="EL374" s="527">
        <f t="shared" si="247"/>
        <v>1930</v>
      </c>
    </row>
    <row r="375" spans="12:142">
      <c r="L375" s="752" t="s">
        <v>2077</v>
      </c>
      <c r="M375" s="21" t="s">
        <v>2336</v>
      </c>
      <c r="N375" s="435" t="s">
        <v>2330</v>
      </c>
      <c r="O375" s="819" t="s">
        <v>728</v>
      </c>
      <c r="P375" s="21"/>
      <c r="Q375" s="153"/>
      <c r="R375" s="101"/>
      <c r="S375" s="100"/>
      <c r="AY375" s="234" t="s">
        <v>276</v>
      </c>
      <c r="AZ375" s="137" t="s">
        <v>1722</v>
      </c>
      <c r="BA375" s="138" t="str">
        <f t="shared" si="256"/>
        <v>ДП ЛАДА-НОВА.4/3.фальц.</v>
      </c>
      <c r="BW375" s="251" t="s">
        <v>1063</v>
      </c>
      <c r="BX375" s="786" t="s">
        <v>4220</v>
      </c>
      <c r="BY375" s="135" t="str">
        <f t="shared" si="248"/>
        <v>ДП ЛАДА-КОНЦЕПТ.5/2.Малюнок</v>
      </c>
      <c r="CA375" s="146" t="s">
        <v>3270</v>
      </c>
      <c r="CB375" s="21"/>
      <c r="CC375" s="21"/>
      <c r="DD375" s="250" t="s">
        <v>1474</v>
      </c>
      <c r="DE375" s="166">
        <v>6730.0000000000009</v>
      </c>
      <c r="DF375" s="528">
        <f t="shared" si="254"/>
        <v>6730</v>
      </c>
      <c r="DG375" s="523"/>
      <c r="DH375" s="530">
        <f t="shared" si="255"/>
        <v>6730</v>
      </c>
      <c r="DP375" s="249" t="s">
        <v>6088</v>
      </c>
      <c r="DQ375" s="164">
        <v>550</v>
      </c>
      <c r="DR375" s="531">
        <f>ROUND(((DQ375-(DQ375/6))/$DD$3)*$DE$3,2)</f>
        <v>550</v>
      </c>
      <c r="DS375" s="526"/>
      <c r="DT375" s="527">
        <f>IF(DS375="",DR375,
IF(AND($DQ$10&gt;=VLOOKUP(DS375,$DP$5:$DT$9,2,0),$DQ$10&lt;=VLOOKUP(DS375,$DP$5:$DT$9,3,0)),
(DR375*(1-VLOOKUP(DS375,$DP$5:$DT$9,4,0))),
DR375))</f>
        <v>550</v>
      </c>
      <c r="DU375" s="166"/>
      <c r="DV375" s="736" t="s">
        <v>4153</v>
      </c>
      <c r="DW375" s="105">
        <v>0</v>
      </c>
      <c r="DX375" s="403">
        <f t="shared" ref="DX375:DX405" si="257">ROUND(((DW375-(DW375/6))/$DD$3)*$DE$3,2)</f>
        <v>0</v>
      </c>
      <c r="DY375" s="514"/>
      <c r="DZ375" s="511">
        <f t="shared" ref="DZ375:DZ405" si="258">IF(DY375="",DX375,
IF(AND($DW$10&gt;=VLOOKUP(DY375,$DV$5:$DZ$9,2,0),$DW$10&lt;=VLOOKUP(DY375,$DV$5:$DZ$9,3,0)),
(DX375*(1-VLOOKUP(DY375,$DV$5:$DZ$9,4,0))),
DX375))</f>
        <v>0</v>
      </c>
      <c r="EG375" s="165"/>
      <c r="EH375" s="738" t="s">
        <v>3661</v>
      </c>
      <c r="EI375" s="166">
        <v>0</v>
      </c>
      <c r="EJ375" s="522">
        <f>ROUND(((EI375-(EI375/6))/$DD$3)*$DE$3,2)</f>
        <v>0</v>
      </c>
      <c r="EK375" s="523"/>
      <c r="EL375" s="524">
        <f>IF(EK375="",EJ375,
IF(AND($EI$10&gt;=VLOOKUP(EK375,$EH$5:$EL$9,2,0),$EI$10&lt;=VLOOKUP(EK375,$EH$5:$EL$9,3,0)),
(EJ375*(1-VLOOKUP(EK375,$EH$5:$EL$9,4,0))),
EJ375))</f>
        <v>0</v>
      </c>
    </row>
    <row r="376" spans="12:142">
      <c r="L376" s="750" t="s">
        <v>2078</v>
      </c>
      <c r="M376" s="254" t="s">
        <v>2337</v>
      </c>
      <c r="N376" s="599" t="s">
        <v>2331</v>
      </c>
      <c r="O376" s="422" t="s">
        <v>728</v>
      </c>
      <c r="P376" s="21"/>
      <c r="Q376" s="154"/>
      <c r="R376" s="151"/>
      <c r="S376" s="159"/>
      <c r="AY376" s="234" t="s">
        <v>276</v>
      </c>
      <c r="AZ376" s="137" t="s">
        <v>1723</v>
      </c>
      <c r="BA376" s="138" t="str">
        <f t="shared" si="256"/>
        <v>ДП ЛАДА-НОВА.4/3.б/з фальц.</v>
      </c>
      <c r="BW376" s="250" t="s">
        <v>1063</v>
      </c>
      <c r="BX376" s="770" t="s">
        <v>3851</v>
      </c>
      <c r="BY376" s="138" t="str">
        <f t="shared" si="248"/>
        <v>ДП ЛАДА-КОНЦЕПТ.5/2.Графіт</v>
      </c>
      <c r="CA376" s="146" t="s">
        <v>3270</v>
      </c>
      <c r="CB376" s="783" t="s">
        <v>4325</v>
      </c>
      <c r="CC376" s="138" t="str">
        <f>CONCATENATE(CA376,".",CB376)</f>
        <v>ДП ЛАДА C.фальц..неробоча..Пл Stand +3завіс</v>
      </c>
      <c r="DD376" s="250" t="s">
        <v>1475</v>
      </c>
      <c r="DE376" s="166">
        <v>6730.0000000000009</v>
      </c>
      <c r="DF376" s="528">
        <f t="shared" si="254"/>
        <v>6730</v>
      </c>
      <c r="DG376" s="523"/>
      <c r="DH376" s="530">
        <f t="shared" si="255"/>
        <v>6730</v>
      </c>
      <c r="DP376" s="538"/>
      <c r="DQ376" s="539"/>
      <c r="DR376" s="650"/>
      <c r="DS376" s="651"/>
      <c r="DT376" s="652"/>
      <c r="DU376" s="166"/>
      <c r="DV376" s="737" t="s">
        <v>5826</v>
      </c>
      <c r="DW376" s="163">
        <v>0</v>
      </c>
      <c r="DX376" s="528">
        <f t="shared" si="257"/>
        <v>0</v>
      </c>
      <c r="DY376" s="529"/>
      <c r="DZ376" s="530">
        <f t="shared" si="258"/>
        <v>0</v>
      </c>
      <c r="EG376" s="165"/>
      <c r="EH376" s="739" t="s">
        <v>3662</v>
      </c>
      <c r="EI376" s="164">
        <v>1930</v>
      </c>
      <c r="EJ376" s="531">
        <f>ROUND(((EI376-(EI376/6))/$DD$3)*$DE$3,2)</f>
        <v>1930</v>
      </c>
      <c r="EK376" s="526"/>
      <c r="EL376" s="527">
        <f>IF(EK376="",EJ376,
IF(AND($EI$10&gt;=VLOOKUP(EK376,$EH$5:$EL$9,2,0),$EI$10&lt;=VLOOKUP(EK376,$EH$5:$EL$9,3,0)),
(EJ376*(1-VLOOKUP(EK376,$EH$5:$EL$9,4,0))),
EJ376))</f>
        <v>1930</v>
      </c>
    </row>
    <row r="377" spans="12:142">
      <c r="L377" s="751" t="s">
        <v>3138</v>
      </c>
      <c r="M377" s="817" t="s">
        <v>132</v>
      </c>
      <c r="N377" s="822" t="s">
        <v>2175</v>
      </c>
      <c r="O377" s="818" t="s">
        <v>728</v>
      </c>
      <c r="P377" s="21"/>
      <c r="Q377" s="154"/>
      <c r="R377" s="151"/>
      <c r="S377" s="159"/>
      <c r="AY377" s="224" t="s">
        <v>276</v>
      </c>
      <c r="AZ377" s="62" t="s">
        <v>1724</v>
      </c>
      <c r="BA377" s="139" t="str">
        <f t="shared" si="256"/>
        <v>ДП ЛАДА-НОВА.4/3.купе.</v>
      </c>
      <c r="BW377" s="249" t="s">
        <v>1063</v>
      </c>
      <c r="BX377" s="248" t="s">
        <v>832</v>
      </c>
      <c r="BY377" s="139" t="str">
        <f t="shared" si="248"/>
        <v>ДП ЛАДА-КОНЦЕПТ.5/2.Бронза</v>
      </c>
      <c r="CA377" s="146" t="s">
        <v>3270</v>
      </c>
      <c r="CB377" s="783" t="s">
        <v>4333</v>
      </c>
      <c r="CC377" s="138" t="str">
        <f>CONCATENATE(CA377,".",CB377)</f>
        <v>ДП ЛАДА C.фальц..неробоча..Пл Soft +3завіс</v>
      </c>
      <c r="DD377" s="249" t="s">
        <v>1476</v>
      </c>
      <c r="DE377" s="164">
        <v>6730.0000000000009</v>
      </c>
      <c r="DF377" s="528">
        <f t="shared" si="254"/>
        <v>6730</v>
      </c>
      <c r="DG377" s="526"/>
      <c r="DH377" s="530">
        <f t="shared" si="255"/>
        <v>6730</v>
      </c>
      <c r="DP377" s="251" t="s">
        <v>2602</v>
      </c>
      <c r="DQ377" s="163">
        <v>0</v>
      </c>
      <c r="DR377" s="528">
        <f t="shared" ref="DR377:DR399" si="259">ROUND(((DQ377-(DQ377/6))/$DD$3)*$DE$3,2)</f>
        <v>0</v>
      </c>
      <c r="DS377" s="529"/>
      <c r="DT377" s="530">
        <f t="shared" ref="DT377:DT399" si="260">IF(DS377="",DR377,
IF(AND($DQ$10&gt;=VLOOKUP(DS377,$DP$5:$DT$9,2,0),$DQ$10&lt;=VLOOKUP(DS377,$DP$5:$DT$9,3,0)),
(DR377*(1-VLOOKUP(DS377,$DP$5:$DT$9,4,0))),
DR377))</f>
        <v>0</v>
      </c>
      <c r="DU377" s="166"/>
      <c r="DV377" s="737" t="s">
        <v>5827</v>
      </c>
      <c r="DW377" s="163">
        <v>0</v>
      </c>
      <c r="DX377" s="528">
        <f>ROUND(((DW377-(DW377/6))/$DD$3)*$DE$3,2)</f>
        <v>0</v>
      </c>
      <c r="DY377" s="529"/>
      <c r="DZ377" s="530">
        <f>IF(DY377="",DX377,
IF(AND($DW$10&gt;=VLOOKUP(DY377,$DV$5:$DZ$9,2,0),$DW$10&lt;=VLOOKUP(DY377,$DV$5:$DZ$9,3,0)),
(DX377*(1-VLOOKUP(DY377,$DV$5:$DZ$9,4,0))),
DX377))</f>
        <v>0</v>
      </c>
      <c r="EG377" s="165"/>
      <c r="EH377" s="738" t="s">
        <v>3663</v>
      </c>
      <c r="EI377" s="166">
        <v>0</v>
      </c>
      <c r="EJ377" s="522">
        <f>ROUND(((EI377-(EI377/6))/$DD$3)*$DE$3,2)</f>
        <v>0</v>
      </c>
      <c r="EK377" s="523"/>
      <c r="EL377" s="524">
        <f>IF(EK377="",EJ377,
IF(AND($EI$10&gt;=VLOOKUP(EK377,$EH$5:$EL$9,2,0),$EI$10&lt;=VLOOKUP(EK377,$EH$5:$EL$9,3,0)),
(EJ377*(1-VLOOKUP(EK377,$EH$5:$EL$9,4,0))),
EJ377))</f>
        <v>0</v>
      </c>
    </row>
    <row r="378" spans="12:142">
      <c r="L378" s="764" t="s">
        <v>3139</v>
      </c>
      <c r="M378" s="21" t="s">
        <v>135</v>
      </c>
      <c r="N378" s="435" t="s">
        <v>5494</v>
      </c>
      <c r="O378" s="819" t="s">
        <v>728</v>
      </c>
      <c r="P378" s="21"/>
      <c r="Q378" s="750"/>
      <c r="R378" s="152"/>
      <c r="S378" s="160"/>
      <c r="AY378" s="234" t="s">
        <v>595</v>
      </c>
      <c r="AZ378" s="137" t="s">
        <v>1722</v>
      </c>
      <c r="BA378" s="138" t="str">
        <f t="shared" si="256"/>
        <v>ДП ЛАДА-НОВА.4/6.фальц.</v>
      </c>
      <c r="BW378" s="251" t="s">
        <v>1064</v>
      </c>
      <c r="BX378" s="786" t="s">
        <v>4220</v>
      </c>
      <c r="BY378" s="135" t="str">
        <f t="shared" si="248"/>
        <v>ДП ЛАДА-КОНЦЕПТ.5/3.Малюнок</v>
      </c>
      <c r="CA378" s="147" t="s">
        <v>3270</v>
      </c>
      <c r="CB378" s="152" t="s">
        <v>4336</v>
      </c>
      <c r="CC378" s="139" t="str">
        <f>CONCATENATE(CA378,".",CB378)</f>
        <v>ДП ЛАДА C.фальц..неробоча..Пл Magnet +3завіс</v>
      </c>
      <c r="DD378" s="250" t="s">
        <v>1948</v>
      </c>
      <c r="DE378" s="166">
        <v>7740</v>
      </c>
      <c r="DF378" s="528">
        <f t="shared" si="254"/>
        <v>7740</v>
      </c>
      <c r="DG378" s="523"/>
      <c r="DH378" s="530">
        <f t="shared" si="255"/>
        <v>7740</v>
      </c>
      <c r="DP378" s="740" t="s">
        <v>3940</v>
      </c>
      <c r="DQ378" s="166">
        <v>550</v>
      </c>
      <c r="DR378" s="522">
        <f t="shared" si="259"/>
        <v>550</v>
      </c>
      <c r="DS378" s="523"/>
      <c r="DT378" s="524">
        <f t="shared" si="260"/>
        <v>550</v>
      </c>
      <c r="DU378" s="166"/>
      <c r="DV378" s="738" t="s">
        <v>5828</v>
      </c>
      <c r="DW378" s="166">
        <v>0</v>
      </c>
      <c r="DX378" s="522">
        <f t="shared" si="257"/>
        <v>0</v>
      </c>
      <c r="DY378" s="523"/>
      <c r="DZ378" s="524">
        <f t="shared" si="258"/>
        <v>0</v>
      </c>
      <c r="EG378" s="165"/>
      <c r="EH378" s="739" t="s">
        <v>3664</v>
      </c>
      <c r="EI378" s="164">
        <v>2210</v>
      </c>
      <c r="EJ378" s="531">
        <f>ROUND(((EI378-(EI378/6))/$DD$3)*$DE$3,2)</f>
        <v>2210</v>
      </c>
      <c r="EK378" s="526"/>
      <c r="EL378" s="527">
        <f>IF(EK378="",EJ378,
IF(AND($EI$10&gt;=VLOOKUP(EK378,$EH$5:$EL$9,2,0),$EI$10&lt;=VLOOKUP(EK378,$EH$5:$EL$9,3,0)),
(EJ378*(1-VLOOKUP(EK378,$EH$5:$EL$9,4,0))),
EJ378))</f>
        <v>2210</v>
      </c>
    </row>
    <row r="379" spans="12:142">
      <c r="L379" s="154" t="s">
        <v>556</v>
      </c>
      <c r="M379" s="21" t="s">
        <v>556</v>
      </c>
      <c r="N379" s="159" t="s">
        <v>2176</v>
      </c>
      <c r="O379" s="819" t="s">
        <v>728</v>
      </c>
      <c r="Q379" s="756"/>
      <c r="R379" s="98"/>
      <c r="S379" s="94"/>
      <c r="AY379" s="234" t="s">
        <v>595</v>
      </c>
      <c r="AZ379" s="137" t="s">
        <v>1723</v>
      </c>
      <c r="BA379" s="138" t="str">
        <f t="shared" si="256"/>
        <v>ДП ЛАДА-НОВА.4/6.б/з фальц.</v>
      </c>
      <c r="BW379" s="250" t="s">
        <v>1064</v>
      </c>
      <c r="BX379" s="770" t="s">
        <v>3851</v>
      </c>
      <c r="BY379" s="138" t="str">
        <f t="shared" si="248"/>
        <v>ДП ЛАДА-КОНЦЕПТ.5/3.Графіт</v>
      </c>
      <c r="CA379" s="146" t="s">
        <v>3271</v>
      </c>
      <c r="CB379" s="137" t="s">
        <v>4106</v>
      </c>
      <c r="CC379" s="239" t="str">
        <f>CONCATENATE(CA379,".",CB379)</f>
        <v>ДП ЛАДА C.б/з фальц..робоча..(ні)</v>
      </c>
      <c r="DD379" s="250" t="s">
        <v>1949</v>
      </c>
      <c r="DE379" s="166">
        <v>7740</v>
      </c>
      <c r="DF379" s="528">
        <f t="shared" si="254"/>
        <v>7740</v>
      </c>
      <c r="DG379" s="523"/>
      <c r="DH379" s="530">
        <f t="shared" si="255"/>
        <v>7740</v>
      </c>
      <c r="DP379" s="249" t="s">
        <v>2603</v>
      </c>
      <c r="DQ379" s="164">
        <v>550</v>
      </c>
      <c r="DR379" s="531">
        <f t="shared" si="259"/>
        <v>550</v>
      </c>
      <c r="DS379" s="526"/>
      <c r="DT379" s="527">
        <f t="shared" si="260"/>
        <v>550</v>
      </c>
      <c r="DU379" s="166"/>
      <c r="DV379" s="738" t="s">
        <v>5830</v>
      </c>
      <c r="DW379" s="163">
        <v>0</v>
      </c>
      <c r="DX379" s="528">
        <f>ROUND(((DW379-(DW379/6))/$DD$3)*$DE$3,2)</f>
        <v>0</v>
      </c>
      <c r="DY379" s="529"/>
      <c r="DZ379" s="530">
        <f>IF(DY379="",DX379,
IF(AND($DW$10&gt;=VLOOKUP(DY379,$DV$5:$DZ$9,2,0),$DW$10&lt;=VLOOKUP(DY379,$DV$5:$DZ$9,3,0)),
(DX379*(1-VLOOKUP(DY379,$DV$5:$DZ$9,4,0))),
DX379))</f>
        <v>0</v>
      </c>
      <c r="EG379" s="165"/>
      <c r="EH379" s="738" t="s">
        <v>3665</v>
      </c>
      <c r="EI379" s="166">
        <v>0</v>
      </c>
      <c r="EJ379" s="522">
        <f t="shared" si="246"/>
        <v>0</v>
      </c>
      <c r="EK379" s="523"/>
      <c r="EL379" s="524">
        <f t="shared" si="247"/>
        <v>0</v>
      </c>
    </row>
    <row r="380" spans="12:142">
      <c r="L380" s="765" t="s">
        <v>3158</v>
      </c>
      <c r="M380" s="254" t="s">
        <v>136</v>
      </c>
      <c r="N380" s="160" t="s">
        <v>2177</v>
      </c>
      <c r="O380" s="422" t="s">
        <v>728</v>
      </c>
      <c r="P380" s="553"/>
      <c r="Q380" s="553"/>
      <c r="R380" s="553"/>
      <c r="S380" s="553"/>
      <c r="AY380" s="224" t="s">
        <v>595</v>
      </c>
      <c r="AZ380" s="62" t="s">
        <v>1724</v>
      </c>
      <c r="BA380" s="139" t="str">
        <f t="shared" si="256"/>
        <v>ДП ЛАДА-НОВА.4/6.купе.</v>
      </c>
      <c r="BW380" s="250" t="s">
        <v>1064</v>
      </c>
      <c r="BX380" s="247" t="s">
        <v>832</v>
      </c>
      <c r="BY380" s="138" t="str">
        <f t="shared" si="248"/>
        <v>ДП ЛАДА-КОНЦЕПТ.5/3.Бронза</v>
      </c>
      <c r="CA380" s="146" t="s">
        <v>3271</v>
      </c>
      <c r="CB380" s="97"/>
      <c r="CC380" s="97"/>
      <c r="DD380" s="250" t="s">
        <v>1950</v>
      </c>
      <c r="DE380" s="166">
        <v>7740</v>
      </c>
      <c r="DF380" s="528">
        <f t="shared" si="254"/>
        <v>7740</v>
      </c>
      <c r="DG380" s="523"/>
      <c r="DH380" s="530">
        <f t="shared" si="255"/>
        <v>7740</v>
      </c>
      <c r="DP380" s="249" t="s">
        <v>6076</v>
      </c>
      <c r="DQ380" s="164">
        <v>550</v>
      </c>
      <c r="DR380" s="531">
        <f>ROUND(((DQ380-(DQ380/6))/$DD$3)*$DE$3,2)</f>
        <v>550</v>
      </c>
      <c r="DS380" s="526"/>
      <c r="DT380" s="527">
        <f>IF(DS380="",DR380,
IF(AND($DQ$10&gt;=VLOOKUP(DS380,$DP$5:$DT$9,2,0),$DQ$10&lt;=VLOOKUP(DS380,$DP$5:$DT$9,3,0)),
(DR380*(1-VLOOKUP(DS380,$DP$5:$DT$9,4,0))),
DR380))</f>
        <v>550</v>
      </c>
      <c r="DU380" s="166"/>
      <c r="DV380" s="738" t="s">
        <v>5829</v>
      </c>
      <c r="DW380" s="166">
        <v>0</v>
      </c>
      <c r="DX380" s="522">
        <f t="shared" si="257"/>
        <v>0</v>
      </c>
      <c r="DY380" s="523"/>
      <c r="DZ380" s="524">
        <f t="shared" si="258"/>
        <v>0</v>
      </c>
      <c r="EG380" s="165"/>
      <c r="EH380" s="739" t="s">
        <v>3666</v>
      </c>
      <c r="EI380" s="164">
        <v>2310</v>
      </c>
      <c r="EJ380" s="531">
        <f t="shared" si="246"/>
        <v>2310</v>
      </c>
      <c r="EK380" s="526"/>
      <c r="EL380" s="527">
        <f t="shared" si="247"/>
        <v>2310</v>
      </c>
    </row>
    <row r="381" spans="12:142">
      <c r="L381" s="49"/>
      <c r="M381" s="48"/>
      <c r="N381" s="94"/>
      <c r="O381" s="423"/>
      <c r="Q381" s="45"/>
      <c r="R381" s="98"/>
      <c r="S381" s="94"/>
      <c r="AY381" s="234" t="s">
        <v>596</v>
      </c>
      <c r="AZ381" s="137" t="s">
        <v>1722</v>
      </c>
      <c r="BA381" s="138" t="str">
        <f t="shared" si="256"/>
        <v>ДП ЛАДА-НОВА.4/9.фальц.</v>
      </c>
      <c r="BW381" s="432"/>
      <c r="BX381" s="432"/>
      <c r="BY381" s="432"/>
      <c r="CA381" s="146" t="s">
        <v>3271</v>
      </c>
      <c r="CB381" s="478" t="s">
        <v>4337</v>
      </c>
      <c r="CC381" s="239" t="str">
        <f>CONCATENATE(CA381,".",CB381)</f>
        <v>ДП ЛАДА C.б/з фальц..робоча..Magnet цл б/з завіс.</v>
      </c>
      <c r="DD381" s="250" t="s">
        <v>1951</v>
      </c>
      <c r="DE381" s="166">
        <v>7740</v>
      </c>
      <c r="DF381" s="528">
        <f t="shared" si="254"/>
        <v>7740</v>
      </c>
      <c r="DG381" s="523"/>
      <c r="DH381" s="530">
        <f t="shared" si="255"/>
        <v>7740</v>
      </c>
      <c r="DP381" s="250" t="s">
        <v>2604</v>
      </c>
      <c r="DQ381" s="166">
        <v>0</v>
      </c>
      <c r="DR381" s="522">
        <f t="shared" si="259"/>
        <v>0</v>
      </c>
      <c r="DS381" s="523"/>
      <c r="DT381" s="524">
        <f t="shared" si="260"/>
        <v>0</v>
      </c>
      <c r="DU381" s="166"/>
      <c r="DV381" s="738" t="s">
        <v>5831</v>
      </c>
      <c r="DW381" s="163">
        <v>0</v>
      </c>
      <c r="DX381" s="528">
        <f>ROUND(((DW381-(DW381/6))/$DD$3)*$DE$3,2)</f>
        <v>0</v>
      </c>
      <c r="DY381" s="529"/>
      <c r="DZ381" s="530">
        <f>IF(DY381="",DX381,
IF(AND($DW$10&gt;=VLOOKUP(DY381,$DV$5:$DZ$9,2,0),$DW$10&lt;=VLOOKUP(DY381,$DV$5:$DZ$9,3,0)),
(DX381*(1-VLOOKUP(DY381,$DV$5:$DZ$9,4,0))),
DX381))</f>
        <v>0</v>
      </c>
      <c r="EG381" s="165"/>
      <c r="EH381" s="738" t="s">
        <v>3667</v>
      </c>
      <c r="EI381" s="166">
        <v>0</v>
      </c>
      <c r="EJ381" s="522">
        <f t="shared" si="246"/>
        <v>0</v>
      </c>
      <c r="EK381" s="523"/>
      <c r="EL381" s="524">
        <f t="shared" si="247"/>
        <v>0</v>
      </c>
    </row>
    <row r="382" spans="12:142">
      <c r="L382" s="552"/>
      <c r="M382" s="553"/>
      <c r="N382" s="553"/>
      <c r="O382" s="553"/>
      <c r="P382" s="21"/>
      <c r="Q382" s="142"/>
      <c r="R382" s="101"/>
      <c r="S382" s="100"/>
      <c r="AY382" s="234" t="s">
        <v>596</v>
      </c>
      <c r="AZ382" s="137" t="s">
        <v>1723</v>
      </c>
      <c r="BA382" s="138" t="str">
        <f t="shared" si="256"/>
        <v>ДП ЛАДА-НОВА.4/9.б/з фальц.</v>
      </c>
      <c r="BW382" s="250" t="s">
        <v>128</v>
      </c>
      <c r="BX382" s="770" t="s">
        <v>4106</v>
      </c>
      <c r="BY382" s="138" t="str">
        <f t="shared" si="248"/>
        <v>ДП ЛАДА-НОВА.4/0.(ні)</v>
      </c>
      <c r="CA382" s="146" t="s">
        <v>3271</v>
      </c>
      <c r="CB382" s="478" t="s">
        <v>4339</v>
      </c>
      <c r="CC382" s="239" t="str">
        <f>CONCATENATE(CA382,".",CB382)</f>
        <v>ДП ЛАДА C.б/з фальц..робоча..Magnet ст б/з завіс.</v>
      </c>
      <c r="DD382" s="250" t="s">
        <v>1952</v>
      </c>
      <c r="DE382" s="166">
        <v>7740</v>
      </c>
      <c r="DF382" s="528">
        <f t="shared" si="254"/>
        <v>7740</v>
      </c>
      <c r="DG382" s="523"/>
      <c r="DH382" s="530">
        <f t="shared" si="255"/>
        <v>7740</v>
      </c>
      <c r="DP382" s="740" t="s">
        <v>3941</v>
      </c>
      <c r="DQ382" s="166">
        <v>550</v>
      </c>
      <c r="DR382" s="522">
        <f t="shared" si="259"/>
        <v>550</v>
      </c>
      <c r="DS382" s="523"/>
      <c r="DT382" s="524">
        <f t="shared" si="260"/>
        <v>550</v>
      </c>
      <c r="DU382" s="166"/>
      <c r="DV382" s="738" t="s">
        <v>4572</v>
      </c>
      <c r="DW382" s="166">
        <v>550</v>
      </c>
      <c r="DX382" s="522">
        <f t="shared" si="257"/>
        <v>550</v>
      </c>
      <c r="DY382" s="523"/>
      <c r="DZ382" s="524">
        <f t="shared" si="258"/>
        <v>550</v>
      </c>
      <c r="EG382" s="165"/>
      <c r="EH382" s="739" t="s">
        <v>3668</v>
      </c>
      <c r="EI382" s="164">
        <v>2460</v>
      </c>
      <c r="EJ382" s="531">
        <f t="shared" si="246"/>
        <v>2460</v>
      </c>
      <c r="EK382" s="526"/>
      <c r="EL382" s="527">
        <f t="shared" si="247"/>
        <v>2460</v>
      </c>
    </row>
    <row r="383" spans="12:142">
      <c r="L383" s="49"/>
      <c r="M383" s="48"/>
      <c r="N383" s="94"/>
      <c r="O383" s="423"/>
      <c r="P383" s="21"/>
      <c r="Q383" s="143"/>
      <c r="R383" s="151"/>
      <c r="S383" s="159"/>
      <c r="AY383" s="224" t="s">
        <v>596</v>
      </c>
      <c r="AZ383" s="62" t="s">
        <v>1724</v>
      </c>
      <c r="BA383" s="139" t="str">
        <f t="shared" si="256"/>
        <v>ДП ЛАДА-НОВА.4/9.купе.</v>
      </c>
      <c r="BW383" s="251" t="s">
        <v>276</v>
      </c>
      <c r="BX383" s="246" t="s">
        <v>458</v>
      </c>
      <c r="BY383" s="135" t="str">
        <f t="shared" si="248"/>
        <v>ДП ЛАДА-НОВА.4/3.Сатин</v>
      </c>
      <c r="CA383" s="146" t="s">
        <v>3271</v>
      </c>
      <c r="CB383" s="97"/>
      <c r="CC383" s="97"/>
      <c r="DD383" s="250" t="s">
        <v>1953</v>
      </c>
      <c r="DE383" s="166">
        <v>7670</v>
      </c>
      <c r="DF383" s="528">
        <f t="shared" si="254"/>
        <v>7670</v>
      </c>
      <c r="DG383" s="523"/>
      <c r="DH383" s="530">
        <f t="shared" si="255"/>
        <v>7670</v>
      </c>
      <c r="DP383" s="249" t="s">
        <v>2605</v>
      </c>
      <c r="DQ383" s="164">
        <v>550</v>
      </c>
      <c r="DR383" s="531">
        <f t="shared" si="259"/>
        <v>550</v>
      </c>
      <c r="DS383" s="526"/>
      <c r="DT383" s="527">
        <f t="shared" si="260"/>
        <v>550</v>
      </c>
      <c r="DU383" s="166"/>
      <c r="DV383" s="738" t="s">
        <v>4573</v>
      </c>
      <c r="DW383" s="166">
        <v>550</v>
      </c>
      <c r="DX383" s="522">
        <f t="shared" si="257"/>
        <v>550</v>
      </c>
      <c r="DY383" s="523"/>
      <c r="DZ383" s="524">
        <f t="shared" si="258"/>
        <v>550</v>
      </c>
      <c r="EG383" s="165"/>
      <c r="EH383" s="738" t="s">
        <v>5158</v>
      </c>
      <c r="EI383" s="166">
        <v>0</v>
      </c>
      <c r="EJ383" s="522">
        <f>ROUND(((EI383-(EI383/6))/$DD$3)*$DE$3,2)</f>
        <v>0</v>
      </c>
      <c r="EK383" s="523"/>
      <c r="EL383" s="524">
        <f>IF(EK383="",EJ383,
IF(AND($EI$10&gt;=VLOOKUP(EK383,$EH$5:$EL$9,2,0),$EI$10&lt;=VLOOKUP(EK383,$EH$5:$EL$9,3,0)),
(EJ383*(1-VLOOKUP(EK383,$EH$5:$EL$9,4,0))),
EJ383))</f>
        <v>0</v>
      </c>
    </row>
    <row r="384" spans="12:142">
      <c r="L384" s="153" t="s">
        <v>3159</v>
      </c>
      <c r="M384" s="817" t="s">
        <v>700</v>
      </c>
      <c r="N384" s="100" t="s">
        <v>3840</v>
      </c>
      <c r="O384" s="818" t="s">
        <v>728</v>
      </c>
      <c r="P384" s="21"/>
      <c r="Q384" s="143"/>
      <c r="R384" s="151"/>
      <c r="S384" s="159"/>
      <c r="AY384" s="154" t="s">
        <v>651</v>
      </c>
      <c r="AZ384" s="137" t="s">
        <v>1722</v>
      </c>
      <c r="BA384" s="138" t="str">
        <f t="shared" si="256"/>
        <v>ДП ЛАДА-НОВА.6А/1.фальц.</v>
      </c>
      <c r="BW384" s="250" t="s">
        <v>276</v>
      </c>
      <c r="BX384" s="770" t="s">
        <v>3851</v>
      </c>
      <c r="BY384" s="138" t="str">
        <f t="shared" si="248"/>
        <v>ДП ЛАДА-НОВА.4/3.Графіт</v>
      </c>
      <c r="CA384" s="146" t="s">
        <v>3271</v>
      </c>
      <c r="CB384" s="478" t="s">
        <v>4343</v>
      </c>
      <c r="CC384" s="239" t="str">
        <f>CONCATENATE(CA384,".",CB384)</f>
        <v>ДП ЛАДА C.б/з фальц..робоча..Magnet цл +2завіс 3D</v>
      </c>
      <c r="DD384" s="250" t="s">
        <v>1954</v>
      </c>
      <c r="DE384" s="166">
        <v>7670</v>
      </c>
      <c r="DF384" s="528">
        <f t="shared" si="254"/>
        <v>7670</v>
      </c>
      <c r="DG384" s="523"/>
      <c r="DH384" s="530">
        <f t="shared" si="255"/>
        <v>7670</v>
      </c>
      <c r="DP384" s="250" t="s">
        <v>2606</v>
      </c>
      <c r="DQ384" s="166">
        <v>0</v>
      </c>
      <c r="DR384" s="522">
        <f t="shared" si="259"/>
        <v>0</v>
      </c>
      <c r="DS384" s="523"/>
      <c r="DT384" s="524">
        <f t="shared" si="260"/>
        <v>0</v>
      </c>
      <c r="DU384" s="166"/>
      <c r="DV384" s="738" t="s">
        <v>4574</v>
      </c>
      <c r="DW384" s="166">
        <v>800</v>
      </c>
      <c r="DX384" s="522">
        <f>ROUND(((DW384-(DW384/6))/$DD$3)*$DE$3,2)</f>
        <v>800</v>
      </c>
      <c r="DY384" s="523"/>
      <c r="DZ384" s="524">
        <f>IF(DY384="",DX384,
IF(AND($DW$10&gt;=VLOOKUP(DY384,$DV$5:$DZ$9,2,0),$DW$10&lt;=VLOOKUP(DY384,$DV$5:$DZ$9,3,0)),
(DX384*(1-VLOOKUP(DY384,$DV$5:$DZ$9,4,0))),
DX384))</f>
        <v>800</v>
      </c>
      <c r="EG384" s="165"/>
      <c r="EH384" s="739" t="s">
        <v>5159</v>
      </c>
      <c r="EI384" s="164">
        <v>2670</v>
      </c>
      <c r="EJ384" s="531">
        <f>ROUND(((EI384-(EI384/6))/$DD$3)*$DE$3,2)</f>
        <v>2670</v>
      </c>
      <c r="EK384" s="526"/>
      <c r="EL384" s="527">
        <f>IF(EK384="",EJ384,
IF(AND($EI$10&gt;=VLOOKUP(EK384,$EH$5:$EL$9,2,0),$EI$10&lt;=VLOOKUP(EK384,$EH$5:$EL$9,3,0)),
(EJ384*(1-VLOOKUP(EK384,$EH$5:$EL$9,4,0))),
EJ384))</f>
        <v>2670</v>
      </c>
    </row>
    <row r="385" spans="12:142">
      <c r="L385" s="154" t="s">
        <v>3160</v>
      </c>
      <c r="M385" s="21" t="s">
        <v>65</v>
      </c>
      <c r="N385" s="159" t="s">
        <v>3841</v>
      </c>
      <c r="O385" s="819" t="s">
        <v>728</v>
      </c>
      <c r="P385" s="21"/>
      <c r="Q385" s="143"/>
      <c r="R385" s="151"/>
      <c r="S385" s="159"/>
      <c r="AY385" s="154" t="s">
        <v>651</v>
      </c>
      <c r="AZ385" s="137" t="s">
        <v>1723</v>
      </c>
      <c r="BA385" s="138" t="str">
        <f t="shared" si="256"/>
        <v>ДП ЛАДА-НОВА.6А/1.б/з фальц.</v>
      </c>
      <c r="BW385" s="249" t="s">
        <v>276</v>
      </c>
      <c r="BX385" s="248" t="s">
        <v>832</v>
      </c>
      <c r="BY385" s="139" t="str">
        <f t="shared" si="248"/>
        <v>ДП ЛАДА-НОВА.4/3.Бронза</v>
      </c>
      <c r="CA385" s="146" t="s">
        <v>3271</v>
      </c>
      <c r="CB385" s="478" t="s">
        <v>4347</v>
      </c>
      <c r="CC385" s="239" t="str">
        <f>CONCATENATE(CA385,".",CB385)</f>
        <v>ДП ЛАДА C.б/з фальц..робоча..Magnet ст +2завіс 3D</v>
      </c>
      <c r="DD385" s="249" t="s">
        <v>1955</v>
      </c>
      <c r="DE385" s="164">
        <v>7670</v>
      </c>
      <c r="DF385" s="528">
        <f t="shared" si="254"/>
        <v>7670</v>
      </c>
      <c r="DG385" s="526"/>
      <c r="DH385" s="530">
        <f t="shared" si="255"/>
        <v>7670</v>
      </c>
      <c r="DP385" s="740" t="s">
        <v>3942</v>
      </c>
      <c r="DQ385" s="166">
        <v>550</v>
      </c>
      <c r="DR385" s="522">
        <f t="shared" si="259"/>
        <v>550</v>
      </c>
      <c r="DS385" s="523"/>
      <c r="DT385" s="524">
        <f t="shared" si="260"/>
        <v>550</v>
      </c>
      <c r="DU385" s="166"/>
      <c r="DV385" s="739" t="s">
        <v>4575</v>
      </c>
      <c r="DW385" s="164">
        <v>800</v>
      </c>
      <c r="DX385" s="525">
        <f>ROUND(((DW385-(DW385/6))/$DD$3)*$DE$3,2)</f>
        <v>800</v>
      </c>
      <c r="DY385" s="526"/>
      <c r="DZ385" s="527">
        <f>IF(DY385="",DX385,
IF(AND($DW$10&gt;=VLOOKUP(DY385,$DV$5:$DZ$9,2,0),$DW$10&lt;=VLOOKUP(DY385,$DV$5:$DZ$9,3,0)),
(DX385*(1-VLOOKUP(DY385,$DV$5:$DZ$9,4,0))),
DX385))</f>
        <v>800</v>
      </c>
      <c r="EG385" s="165"/>
      <c r="EH385" s="738" t="s">
        <v>3669</v>
      </c>
      <c r="EI385" s="166">
        <v>0</v>
      </c>
      <c r="EJ385" s="522">
        <f t="shared" si="246"/>
        <v>0</v>
      </c>
      <c r="EK385" s="523"/>
      <c r="EL385" s="524">
        <f t="shared" si="247"/>
        <v>0</v>
      </c>
    </row>
    <row r="386" spans="12:142">
      <c r="L386" s="154" t="s">
        <v>3161</v>
      </c>
      <c r="M386" s="21" t="s">
        <v>66</v>
      </c>
      <c r="N386" s="159" t="s">
        <v>3842</v>
      </c>
      <c r="O386" s="819" t="s">
        <v>728</v>
      </c>
      <c r="P386" s="21"/>
      <c r="Q386" s="143"/>
      <c r="R386" s="151"/>
      <c r="S386" s="159"/>
      <c r="AY386" s="155" t="s">
        <v>651</v>
      </c>
      <c r="AZ386" s="62" t="s">
        <v>1724</v>
      </c>
      <c r="BA386" s="139" t="str">
        <f t="shared" si="256"/>
        <v>ДП ЛАДА-НОВА.6А/1.купе.</v>
      </c>
      <c r="BW386" s="249" t="s">
        <v>276</v>
      </c>
      <c r="BX386" s="248" t="s">
        <v>6046</v>
      </c>
      <c r="BY386" s="139" t="str">
        <f>CONCATENATE(BW386,".",BX386)</f>
        <v>ДП ЛАДА-НОВА.4/3.Лакобель</v>
      </c>
      <c r="CA386" s="146" t="s">
        <v>3271</v>
      </c>
      <c r="CB386" s="97"/>
      <c r="CC386" s="97"/>
      <c r="DD386" s="250" t="s">
        <v>1516</v>
      </c>
      <c r="DE386" s="166">
        <v>8050</v>
      </c>
      <c r="DF386" s="528">
        <f t="shared" si="254"/>
        <v>8050</v>
      </c>
      <c r="DG386" s="523"/>
      <c r="DH386" s="530">
        <f t="shared" si="255"/>
        <v>8050</v>
      </c>
      <c r="DP386" s="249" t="s">
        <v>2607</v>
      </c>
      <c r="DQ386" s="164">
        <v>550</v>
      </c>
      <c r="DR386" s="531">
        <f t="shared" si="259"/>
        <v>550</v>
      </c>
      <c r="DS386" s="526"/>
      <c r="DT386" s="527">
        <f t="shared" si="260"/>
        <v>550</v>
      </c>
      <c r="DU386" s="166"/>
      <c r="DV386" s="738" t="s">
        <v>6288</v>
      </c>
      <c r="DW386" s="166">
        <v>1</v>
      </c>
      <c r="DX386" s="522">
        <f t="shared" si="257"/>
        <v>1</v>
      </c>
      <c r="DY386" s="523"/>
      <c r="DZ386" s="524">
        <f t="shared" si="258"/>
        <v>1</v>
      </c>
      <c r="EG386" s="165"/>
      <c r="EH386" s="739" t="s">
        <v>3670</v>
      </c>
      <c r="EI386" s="164">
        <v>2670</v>
      </c>
      <c r="EJ386" s="531">
        <f t="shared" si="246"/>
        <v>2670</v>
      </c>
      <c r="EK386" s="526"/>
      <c r="EL386" s="527">
        <f t="shared" si="247"/>
        <v>2670</v>
      </c>
    </row>
    <row r="387" spans="12:142">
      <c r="L387" s="154" t="s">
        <v>3162</v>
      </c>
      <c r="M387" s="21" t="s">
        <v>67</v>
      </c>
      <c r="N387" s="159" t="s">
        <v>3843</v>
      </c>
      <c r="O387" s="819" t="s">
        <v>728</v>
      </c>
      <c r="P387" s="21"/>
      <c r="Q387" s="143"/>
      <c r="R387" s="151"/>
      <c r="S387" s="159"/>
      <c r="AY387" s="154" t="s">
        <v>652</v>
      </c>
      <c r="AZ387" s="137" t="s">
        <v>1722</v>
      </c>
      <c r="BA387" s="138" t="str">
        <f t="shared" si="256"/>
        <v>ДП ЛАДА-НОВА.6А/5.фальц.</v>
      </c>
      <c r="BW387" s="251" t="s">
        <v>595</v>
      </c>
      <c r="BX387" s="246" t="s">
        <v>458</v>
      </c>
      <c r="BY387" s="135" t="str">
        <f t="shared" si="248"/>
        <v>ДП ЛАДА-НОВА.4/6.Сатин</v>
      </c>
      <c r="CA387" s="146" t="s">
        <v>3271</v>
      </c>
      <c r="CB387" s="478" t="s">
        <v>4349</v>
      </c>
      <c r="CC387" s="239" t="str">
        <f>CONCATENATE(CA387,".",CB387)</f>
        <v>ДП ЛАДА C.б/з фальц..робоча..Magnet цл +3завіс 3D</v>
      </c>
      <c r="DD387" s="250" t="s">
        <v>1517</v>
      </c>
      <c r="DE387" s="166">
        <v>8050</v>
      </c>
      <c r="DF387" s="528">
        <f t="shared" si="254"/>
        <v>8050</v>
      </c>
      <c r="DG387" s="523"/>
      <c r="DH387" s="530">
        <f t="shared" si="255"/>
        <v>8050</v>
      </c>
      <c r="DP387" s="741" t="s">
        <v>4160</v>
      </c>
      <c r="DQ387" s="164">
        <v>0</v>
      </c>
      <c r="DR387" s="531">
        <f t="shared" si="259"/>
        <v>0</v>
      </c>
      <c r="DS387" s="526"/>
      <c r="DT387" s="527">
        <f t="shared" si="260"/>
        <v>0</v>
      </c>
      <c r="DU387" s="166"/>
      <c r="DV387" s="739" t="s">
        <v>6289</v>
      </c>
      <c r="DW387" s="164">
        <v>1</v>
      </c>
      <c r="DX387" s="525">
        <f t="shared" si="257"/>
        <v>1</v>
      </c>
      <c r="DY387" s="526"/>
      <c r="DZ387" s="527">
        <f t="shared" si="258"/>
        <v>1</v>
      </c>
      <c r="EG387" s="165"/>
      <c r="EH387" s="256"/>
      <c r="EI387" s="257"/>
      <c r="EJ387" s="517"/>
      <c r="EK387" s="532"/>
      <c r="EL387" s="259"/>
    </row>
    <row r="388" spans="12:142">
      <c r="L388" s="154" t="s">
        <v>3163</v>
      </c>
      <c r="M388" s="21" t="s">
        <v>730</v>
      </c>
      <c r="N388" s="159" t="s">
        <v>3844</v>
      </c>
      <c r="O388" s="819" t="s">
        <v>728</v>
      </c>
      <c r="P388" s="21"/>
      <c r="Q388" s="143"/>
      <c r="R388" s="151"/>
      <c r="S388" s="159"/>
      <c r="AY388" s="154" t="s">
        <v>652</v>
      </c>
      <c r="AZ388" s="137" t="s">
        <v>1723</v>
      </c>
      <c r="BA388" s="138" t="str">
        <f t="shared" si="256"/>
        <v>ДП ЛАДА-НОВА.6А/5.б/з фальц.</v>
      </c>
      <c r="BW388" s="250" t="s">
        <v>595</v>
      </c>
      <c r="BX388" s="770" t="s">
        <v>3851</v>
      </c>
      <c r="BY388" s="138" t="str">
        <f t="shared" si="248"/>
        <v>ДП ЛАДА-НОВА.4/6.Графіт</v>
      </c>
      <c r="CA388" s="147" t="s">
        <v>3271</v>
      </c>
      <c r="CB388" s="590" t="s">
        <v>4350</v>
      </c>
      <c r="CC388" s="240" t="str">
        <f>CONCATENATE(CA388,".",CB388)</f>
        <v>ДП ЛАДА C.б/з фальц..робоча..Magnet ст +3завіс 3D</v>
      </c>
      <c r="DD388" s="250" t="s">
        <v>1518</v>
      </c>
      <c r="DE388" s="166">
        <v>8050</v>
      </c>
      <c r="DF388" s="528">
        <f t="shared" si="254"/>
        <v>8050</v>
      </c>
      <c r="DG388" s="523"/>
      <c r="DH388" s="530">
        <f t="shared" si="255"/>
        <v>8050</v>
      </c>
      <c r="DP388" s="250" t="s">
        <v>2610</v>
      </c>
      <c r="DQ388" s="166">
        <v>0</v>
      </c>
      <c r="DR388" s="522">
        <f t="shared" si="259"/>
        <v>0</v>
      </c>
      <c r="DS388" s="523"/>
      <c r="DT388" s="524">
        <f t="shared" si="260"/>
        <v>0</v>
      </c>
      <c r="DU388" s="166"/>
      <c r="DV388" s="737" t="s">
        <v>4576</v>
      </c>
      <c r="DW388" s="163">
        <v>0</v>
      </c>
      <c r="DX388" s="528">
        <f t="shared" si="257"/>
        <v>0</v>
      </c>
      <c r="DY388" s="529"/>
      <c r="DZ388" s="530">
        <f t="shared" si="258"/>
        <v>0</v>
      </c>
      <c r="EG388" s="165"/>
      <c r="EH388" s="256"/>
      <c r="EI388" s="257"/>
      <c r="EJ388" s="517"/>
      <c r="EK388" s="532"/>
      <c r="EL388" s="259"/>
    </row>
    <row r="389" spans="12:142">
      <c r="L389" s="154" t="s">
        <v>3164</v>
      </c>
      <c r="M389" s="21" t="s">
        <v>798</v>
      </c>
      <c r="N389" s="159" t="s">
        <v>5485</v>
      </c>
      <c r="O389" s="819" t="s">
        <v>728</v>
      </c>
      <c r="P389" s="21"/>
      <c r="Q389" s="143"/>
      <c r="R389" s="151"/>
      <c r="S389" s="159"/>
      <c r="AY389" s="155" t="s">
        <v>652</v>
      </c>
      <c r="AZ389" s="62" t="s">
        <v>1724</v>
      </c>
      <c r="BA389" s="139" t="str">
        <f t="shared" si="256"/>
        <v>ДП ЛАДА-НОВА.6А/5.купе.</v>
      </c>
      <c r="BW389" s="249" t="s">
        <v>595</v>
      </c>
      <c r="BX389" s="248" t="s">
        <v>832</v>
      </c>
      <c r="BY389" s="139" t="str">
        <f t="shared" si="248"/>
        <v>ДП ЛАДА-НОВА.4/6.Бронза</v>
      </c>
      <c r="CA389" s="145" t="s">
        <v>3272</v>
      </c>
      <c r="CB389" s="134" t="s">
        <v>4106</v>
      </c>
      <c r="CC389" s="135" t="str">
        <f>CONCATENATE(CA389,".",CB389)</f>
        <v>ДП ЛАДА C.купе..робоча..(ні)</v>
      </c>
      <c r="DD389" s="250" t="s">
        <v>1519</v>
      </c>
      <c r="DE389" s="166">
        <v>8050</v>
      </c>
      <c r="DF389" s="528">
        <f t="shared" si="254"/>
        <v>8050</v>
      </c>
      <c r="DG389" s="523"/>
      <c r="DH389" s="530">
        <f t="shared" si="255"/>
        <v>8050</v>
      </c>
      <c r="DP389" s="740" t="s">
        <v>3943</v>
      </c>
      <c r="DQ389" s="166">
        <v>550</v>
      </c>
      <c r="DR389" s="522">
        <f t="shared" si="259"/>
        <v>550</v>
      </c>
      <c r="DS389" s="523"/>
      <c r="DT389" s="524">
        <f t="shared" si="260"/>
        <v>550</v>
      </c>
      <c r="DU389" s="166"/>
      <c r="DV389" s="738" t="s">
        <v>4577</v>
      </c>
      <c r="DW389" s="166">
        <v>0</v>
      </c>
      <c r="DX389" s="522">
        <f t="shared" si="257"/>
        <v>0</v>
      </c>
      <c r="DY389" s="523"/>
      <c r="DZ389" s="524">
        <f t="shared" si="258"/>
        <v>0</v>
      </c>
      <c r="EG389" s="165"/>
      <c r="EH389" s="736" t="s">
        <v>4988</v>
      </c>
      <c r="EI389" s="105">
        <v>0</v>
      </c>
      <c r="EJ389" s="536">
        <f t="shared" ref="EJ389:EJ405" si="261">ROUND(((EI389-(EI389/6))/$DD$3)*$DE$3,2)</f>
        <v>0</v>
      </c>
      <c r="EK389" s="514"/>
      <c r="EL389" s="511">
        <f t="shared" ref="EL389:EL405" si="262">IF(EK389="",EJ389,
IF(AND($EI$10&gt;=VLOOKUP(EK389,$EH$5:$EL$9,2,0),$EI$10&lt;=VLOOKUP(EK389,$EH$5:$EL$9,3,0)),
(EJ389*(1-VLOOKUP(EK389,$EH$5:$EL$9,4,0))),
EJ389))</f>
        <v>0</v>
      </c>
    </row>
    <row r="390" spans="12:142">
      <c r="L390" s="154" t="s">
        <v>3165</v>
      </c>
      <c r="M390" s="21" t="s">
        <v>799</v>
      </c>
      <c r="N390" s="159" t="s">
        <v>5486</v>
      </c>
      <c r="O390" s="819" t="s">
        <v>728</v>
      </c>
      <c r="P390" s="21"/>
      <c r="Q390" s="143"/>
      <c r="R390" s="151"/>
      <c r="S390" s="159"/>
      <c r="AY390" s="154" t="s">
        <v>653</v>
      </c>
      <c r="AZ390" s="137" t="s">
        <v>1722</v>
      </c>
      <c r="BA390" s="138" t="str">
        <f t="shared" si="256"/>
        <v>ДП ЛАДА-НОВА.7/1.фальц.</v>
      </c>
      <c r="BW390" s="249" t="s">
        <v>595</v>
      </c>
      <c r="BX390" s="248" t="s">
        <v>6046</v>
      </c>
      <c r="BY390" s="139" t="str">
        <f>CONCATENATE(BW390,".",BX390)</f>
        <v>ДП ЛАДА-НОВА.4/6.Лакобель</v>
      </c>
      <c r="CA390" s="146" t="s">
        <v>3272</v>
      </c>
      <c r="CB390" s="21"/>
      <c r="CC390" s="21"/>
      <c r="DD390" s="250" t="s">
        <v>1520</v>
      </c>
      <c r="DE390" s="166">
        <v>8050</v>
      </c>
      <c r="DF390" s="528">
        <f t="shared" si="254"/>
        <v>8050</v>
      </c>
      <c r="DG390" s="523"/>
      <c r="DH390" s="530">
        <f t="shared" si="255"/>
        <v>8050</v>
      </c>
      <c r="DP390" s="249" t="s">
        <v>2611</v>
      </c>
      <c r="DQ390" s="164">
        <v>550</v>
      </c>
      <c r="DR390" s="531">
        <f t="shared" si="259"/>
        <v>550</v>
      </c>
      <c r="DS390" s="526"/>
      <c r="DT390" s="527">
        <f t="shared" si="260"/>
        <v>550</v>
      </c>
      <c r="DU390" s="166"/>
      <c r="DV390" s="739" t="s">
        <v>4578</v>
      </c>
      <c r="DW390" s="164">
        <v>0</v>
      </c>
      <c r="DX390" s="531">
        <f>ROUND(((DW390-(DW390/6))/$DD$3)*$DE$3,2)</f>
        <v>0</v>
      </c>
      <c r="DY390" s="526"/>
      <c r="DZ390" s="527">
        <f>IF(DY390="",DX390,
IF(AND($DW$10&gt;=VLOOKUP(DY390,$DV$5:$DZ$9,2,0),$DW$10&lt;=VLOOKUP(DY390,$DV$5:$DZ$9,3,0)),
(DX390*(1-VLOOKUP(DY390,$DV$5:$DZ$9,4,0))),
DX390))</f>
        <v>0</v>
      </c>
      <c r="EG390" s="165"/>
      <c r="EH390" s="736" t="s">
        <v>3671</v>
      </c>
      <c r="EI390" s="105">
        <v>0</v>
      </c>
      <c r="EJ390" s="536">
        <f t="shared" si="261"/>
        <v>0</v>
      </c>
      <c r="EK390" s="514"/>
      <c r="EL390" s="511">
        <f t="shared" si="262"/>
        <v>0</v>
      </c>
    </row>
    <row r="391" spans="12:142">
      <c r="L391" s="154" t="s">
        <v>3166</v>
      </c>
      <c r="M391" s="21" t="s">
        <v>885</v>
      </c>
      <c r="N391" s="159" t="s">
        <v>5487</v>
      </c>
      <c r="O391" s="819" t="s">
        <v>728</v>
      </c>
      <c r="P391" s="21"/>
      <c r="Q391" s="143"/>
      <c r="R391" s="151"/>
      <c r="S391" s="159"/>
      <c r="AY391" s="154" t="s">
        <v>653</v>
      </c>
      <c r="AZ391" s="137" t="s">
        <v>1723</v>
      </c>
      <c r="BA391" s="138" t="str">
        <f t="shared" si="256"/>
        <v>ДП ЛАДА-НОВА.7/1.б/з фальц.</v>
      </c>
      <c r="BW391" s="251" t="s">
        <v>596</v>
      </c>
      <c r="BX391" s="246" t="s">
        <v>458</v>
      </c>
      <c r="BY391" s="135" t="str">
        <f t="shared" si="248"/>
        <v>ДП ЛАДА-НОВА.4/9.Сатин</v>
      </c>
      <c r="CA391" s="146" t="s">
        <v>3272</v>
      </c>
      <c r="CB391" s="137" t="s">
        <v>462</v>
      </c>
      <c r="CC391" s="138" t="str">
        <f>CONCATENATE(CA391,".",CB391)</f>
        <v>ДП ЛАДА C.купе..робоча..Ручка-Захват</v>
      </c>
      <c r="DD391" s="250" t="s">
        <v>1521</v>
      </c>
      <c r="DE391" s="166">
        <v>8010</v>
      </c>
      <c r="DF391" s="528">
        <f t="shared" si="254"/>
        <v>8010</v>
      </c>
      <c r="DG391" s="523"/>
      <c r="DH391" s="530">
        <f t="shared" si="255"/>
        <v>8010</v>
      </c>
      <c r="DP391" s="250" t="s">
        <v>2612</v>
      </c>
      <c r="DQ391" s="166">
        <v>0</v>
      </c>
      <c r="DR391" s="522">
        <f t="shared" si="259"/>
        <v>0</v>
      </c>
      <c r="DS391" s="523"/>
      <c r="DT391" s="524">
        <f t="shared" si="260"/>
        <v>0</v>
      </c>
      <c r="DU391" s="166"/>
      <c r="DV391" s="739" t="s">
        <v>6290</v>
      </c>
      <c r="DW391" s="164">
        <v>0</v>
      </c>
      <c r="DX391" s="531">
        <f t="shared" si="257"/>
        <v>0</v>
      </c>
      <c r="DY391" s="526"/>
      <c r="DZ391" s="527">
        <f t="shared" si="258"/>
        <v>0</v>
      </c>
      <c r="EG391" s="165"/>
      <c r="EH391" s="736" t="s">
        <v>3672</v>
      </c>
      <c r="EI391" s="105">
        <v>0</v>
      </c>
      <c r="EJ391" s="536">
        <f>ROUND(((EI391-(EI391/6))/$DD$3)*$DE$3,2)</f>
        <v>0</v>
      </c>
      <c r="EK391" s="514"/>
      <c r="EL391" s="511">
        <f>IF(EK391="",EJ391,
IF(AND($EI$10&gt;=VLOOKUP(EK391,$EH$5:$EL$9,2,0),$EI$10&lt;=VLOOKUP(EK391,$EH$5:$EL$9,3,0)),
(EJ391*(1-VLOOKUP(EK391,$EH$5:$EL$9,4,0))),
EJ391))</f>
        <v>0</v>
      </c>
    </row>
    <row r="392" spans="12:142">
      <c r="L392" s="154" t="s">
        <v>3167</v>
      </c>
      <c r="M392" s="21" t="s">
        <v>886</v>
      </c>
      <c r="N392" s="159" t="s">
        <v>5488</v>
      </c>
      <c r="O392" s="819" t="s">
        <v>728</v>
      </c>
      <c r="P392" s="21"/>
      <c r="Q392" s="143"/>
      <c r="R392" s="151"/>
      <c r="S392" s="159"/>
      <c r="AY392" s="155" t="s">
        <v>653</v>
      </c>
      <c r="AZ392" s="62" t="s">
        <v>1724</v>
      </c>
      <c r="BA392" s="139" t="str">
        <f t="shared" si="256"/>
        <v>ДП ЛАДА-НОВА.7/1.купе.</v>
      </c>
      <c r="BW392" s="250" t="s">
        <v>596</v>
      </c>
      <c r="BX392" s="770" t="s">
        <v>3851</v>
      </c>
      <c r="BY392" s="138" t="str">
        <f t="shared" si="248"/>
        <v>ДП ЛАДА-НОВА.4/9.Графіт</v>
      </c>
      <c r="CA392" s="146" t="s">
        <v>3272</v>
      </c>
      <c r="CB392" s="137" t="s">
        <v>684</v>
      </c>
      <c r="CC392" s="138" t="str">
        <f>CONCATENATE(CA392,".",CB392)</f>
        <v>ДП ЛАДА C.купе..робоча..Ручка-Замок</v>
      </c>
      <c r="DD392" s="250" t="s">
        <v>1522</v>
      </c>
      <c r="DE392" s="166">
        <v>8010</v>
      </c>
      <c r="DF392" s="528">
        <f t="shared" si="254"/>
        <v>8010</v>
      </c>
      <c r="DG392" s="523"/>
      <c r="DH392" s="530">
        <f t="shared" si="255"/>
        <v>8010</v>
      </c>
      <c r="DP392" s="740" t="s">
        <v>3944</v>
      </c>
      <c r="DQ392" s="166">
        <v>550</v>
      </c>
      <c r="DR392" s="522">
        <f t="shared" si="259"/>
        <v>550</v>
      </c>
      <c r="DS392" s="523"/>
      <c r="DT392" s="524">
        <f t="shared" si="260"/>
        <v>550</v>
      </c>
      <c r="DU392" s="166"/>
      <c r="DV392" s="738" t="s">
        <v>4579</v>
      </c>
      <c r="DW392" s="166">
        <v>800</v>
      </c>
      <c r="DX392" s="522">
        <f t="shared" ref="DX392:DX397" si="263">ROUND(((DW392-(DW392/6))/$DD$3)*$DE$3,2)</f>
        <v>800</v>
      </c>
      <c r="DY392" s="523"/>
      <c r="DZ392" s="524">
        <f t="shared" ref="DZ392:DZ397" si="264">IF(DY392="",DX392,
IF(AND($DW$10&gt;=VLOOKUP(DY392,$DV$5:$DZ$9,2,0),$DW$10&lt;=VLOOKUP(DY392,$DV$5:$DZ$9,3,0)),
(DX392*(1-VLOOKUP(DY392,$DV$5:$DZ$9,4,0))),
DX392))</f>
        <v>800</v>
      </c>
      <c r="EG392" s="165"/>
      <c r="EH392" s="736" t="s">
        <v>3673</v>
      </c>
      <c r="EI392" s="105">
        <v>0</v>
      </c>
      <c r="EJ392" s="536">
        <f>ROUND(((EI392-(EI392/6))/$DD$3)*$DE$3,2)</f>
        <v>0</v>
      </c>
      <c r="EK392" s="514"/>
      <c r="EL392" s="511">
        <f>IF(EK392="",EJ392,
IF(AND($EI$10&gt;=VLOOKUP(EK392,$EH$5:$EL$9,2,0),$EI$10&lt;=VLOOKUP(EK392,$EH$5:$EL$9,3,0)),
(EJ392*(1-VLOOKUP(EK392,$EH$5:$EL$9,4,0))),
EJ392))</f>
        <v>0</v>
      </c>
    </row>
    <row r="393" spans="12:142">
      <c r="L393" s="154" t="s">
        <v>3168</v>
      </c>
      <c r="M393" s="21" t="s">
        <v>887</v>
      </c>
      <c r="N393" s="159" t="s">
        <v>5489</v>
      </c>
      <c r="O393" s="819" t="s">
        <v>728</v>
      </c>
      <c r="P393" s="21"/>
      <c r="Q393" s="143"/>
      <c r="R393" s="151"/>
      <c r="S393" s="159"/>
      <c r="AY393" s="154" t="s">
        <v>654</v>
      </c>
      <c r="AZ393" s="137" t="s">
        <v>1722</v>
      </c>
      <c r="BA393" s="138" t="str">
        <f t="shared" si="256"/>
        <v>ДП ЛАДА-НОВА.7/2.фальц.</v>
      </c>
      <c r="BW393" s="249" t="s">
        <v>596</v>
      </c>
      <c r="BX393" s="248" t="s">
        <v>832</v>
      </c>
      <c r="BY393" s="139" t="str">
        <f t="shared" si="248"/>
        <v>ДП ЛАДА-НОВА.4/9.Бронза</v>
      </c>
      <c r="CA393" s="432"/>
      <c r="CB393" s="222"/>
      <c r="CC393" s="223"/>
      <c r="DD393" s="249" t="s">
        <v>1523</v>
      </c>
      <c r="DE393" s="164">
        <v>8010</v>
      </c>
      <c r="DF393" s="528">
        <f t="shared" si="254"/>
        <v>8010</v>
      </c>
      <c r="DG393" s="526"/>
      <c r="DH393" s="530">
        <f t="shared" si="255"/>
        <v>8010</v>
      </c>
      <c r="DP393" s="249" t="s">
        <v>2613</v>
      </c>
      <c r="DQ393" s="164">
        <v>550</v>
      </c>
      <c r="DR393" s="531">
        <f t="shared" si="259"/>
        <v>550</v>
      </c>
      <c r="DS393" s="526"/>
      <c r="DT393" s="527">
        <f t="shared" si="260"/>
        <v>550</v>
      </c>
      <c r="DU393" s="166"/>
      <c r="DV393" s="738" t="s">
        <v>4580</v>
      </c>
      <c r="DW393" s="166">
        <v>800</v>
      </c>
      <c r="DX393" s="522">
        <f t="shared" si="263"/>
        <v>800</v>
      </c>
      <c r="DY393" s="523"/>
      <c r="DZ393" s="524">
        <f t="shared" si="264"/>
        <v>800</v>
      </c>
      <c r="EG393" s="165"/>
      <c r="EH393" s="736" t="s">
        <v>3674</v>
      </c>
      <c r="EI393" s="105">
        <v>0</v>
      </c>
      <c r="EJ393" s="536">
        <f t="shared" si="261"/>
        <v>0</v>
      </c>
      <c r="EK393" s="514"/>
      <c r="EL393" s="511">
        <f t="shared" si="262"/>
        <v>0</v>
      </c>
    </row>
    <row r="394" spans="12:142">
      <c r="L394" s="154" t="s">
        <v>3169</v>
      </c>
      <c r="M394" s="21" t="s">
        <v>52</v>
      </c>
      <c r="N394" s="159" t="s">
        <v>5490</v>
      </c>
      <c r="O394" s="819" t="s">
        <v>728</v>
      </c>
      <c r="P394" s="21"/>
      <c r="Q394" s="752"/>
      <c r="R394" s="151"/>
      <c r="S394" s="159"/>
      <c r="AY394" s="154" t="s">
        <v>654</v>
      </c>
      <c r="AZ394" s="137" t="s">
        <v>1723</v>
      </c>
      <c r="BA394" s="138" t="str">
        <f t="shared" si="256"/>
        <v>ДП ЛАДА-НОВА.7/2.б/з фальц.</v>
      </c>
      <c r="BW394" s="249" t="s">
        <v>596</v>
      </c>
      <c r="BX394" s="248" t="s">
        <v>6046</v>
      </c>
      <c r="BY394" s="139" t="str">
        <f>CONCATENATE(BW394,".",BX394)</f>
        <v>ДП ЛАДА-НОВА.4/9.Лакобель</v>
      </c>
      <c r="CA394" s="146" t="s">
        <v>3273</v>
      </c>
      <c r="CB394" s="137" t="s">
        <v>4106</v>
      </c>
      <c r="CC394" s="138" t="str">
        <f>CONCATENATE(CA394,".",CB394)</f>
        <v>ДП ЛАДА D.фальц..робоча..(ні)</v>
      </c>
      <c r="DD394" s="250" t="s">
        <v>1564</v>
      </c>
      <c r="DE394" s="166">
        <v>8770</v>
      </c>
      <c r="DF394" s="528">
        <f t="shared" si="254"/>
        <v>8770</v>
      </c>
      <c r="DG394" s="523"/>
      <c r="DH394" s="530">
        <f t="shared" si="255"/>
        <v>8770</v>
      </c>
      <c r="DP394" s="250" t="s">
        <v>2614</v>
      </c>
      <c r="DQ394" s="166">
        <v>0</v>
      </c>
      <c r="DR394" s="522">
        <f t="shared" si="259"/>
        <v>0</v>
      </c>
      <c r="DS394" s="523"/>
      <c r="DT394" s="524">
        <f t="shared" si="260"/>
        <v>0</v>
      </c>
      <c r="DU394" s="166"/>
      <c r="DV394" s="738" t="s">
        <v>4581</v>
      </c>
      <c r="DW394" s="166">
        <v>800</v>
      </c>
      <c r="DX394" s="522">
        <f t="shared" si="263"/>
        <v>800</v>
      </c>
      <c r="DY394" s="523"/>
      <c r="DZ394" s="524">
        <f t="shared" si="264"/>
        <v>800</v>
      </c>
      <c r="EG394" s="165"/>
      <c r="EH394" s="736" t="s">
        <v>3675</v>
      </c>
      <c r="EI394" s="105">
        <v>0</v>
      </c>
      <c r="EJ394" s="536">
        <f t="shared" si="261"/>
        <v>0</v>
      </c>
      <c r="EK394" s="514"/>
      <c r="EL394" s="511">
        <f t="shared" si="262"/>
        <v>0</v>
      </c>
    </row>
    <row r="395" spans="12:142">
      <c r="L395" s="154" t="s">
        <v>3170</v>
      </c>
      <c r="M395" s="21" t="s">
        <v>53</v>
      </c>
      <c r="N395" s="159" t="s">
        <v>5491</v>
      </c>
      <c r="O395" s="819" t="s">
        <v>728</v>
      </c>
      <c r="P395" s="21"/>
      <c r="Q395" s="750"/>
      <c r="R395" s="152"/>
      <c r="S395" s="483"/>
      <c r="AY395" s="155" t="s">
        <v>654</v>
      </c>
      <c r="AZ395" s="62" t="s">
        <v>1724</v>
      </c>
      <c r="BA395" s="139" t="str">
        <f t="shared" si="256"/>
        <v>ДП ЛАДА-НОВА.7/2.купе.</v>
      </c>
      <c r="BW395" s="251" t="s">
        <v>651</v>
      </c>
      <c r="BX395" s="246" t="s">
        <v>458</v>
      </c>
      <c r="BY395" s="135" t="str">
        <f t="shared" si="248"/>
        <v>ДП ЛАДА-НОВА.6А/1.Сатин</v>
      </c>
      <c r="CA395" s="146" t="s">
        <v>3273</v>
      </c>
      <c r="CB395" s="21"/>
      <c r="CC395" s="21"/>
      <c r="DD395" s="250" t="s">
        <v>1565</v>
      </c>
      <c r="DE395" s="166">
        <v>8770</v>
      </c>
      <c r="DF395" s="528">
        <f t="shared" si="254"/>
        <v>8770</v>
      </c>
      <c r="DG395" s="523"/>
      <c r="DH395" s="530">
        <f t="shared" si="255"/>
        <v>8770</v>
      </c>
      <c r="DP395" s="740" t="s">
        <v>3945</v>
      </c>
      <c r="DQ395" s="166">
        <v>550</v>
      </c>
      <c r="DR395" s="522">
        <f t="shared" si="259"/>
        <v>550</v>
      </c>
      <c r="DS395" s="523"/>
      <c r="DT395" s="524">
        <f t="shared" si="260"/>
        <v>550</v>
      </c>
      <c r="DU395" s="166"/>
      <c r="DV395" s="738" t="s">
        <v>4582</v>
      </c>
      <c r="DW395" s="166">
        <v>800</v>
      </c>
      <c r="DX395" s="522">
        <f t="shared" si="263"/>
        <v>800</v>
      </c>
      <c r="DY395" s="523"/>
      <c r="DZ395" s="524">
        <f t="shared" si="264"/>
        <v>800</v>
      </c>
      <c r="EG395" s="165"/>
      <c r="EH395" s="736" t="s">
        <v>5160</v>
      </c>
      <c r="EI395" s="105">
        <v>0</v>
      </c>
      <c r="EJ395" s="536">
        <f t="shared" si="261"/>
        <v>0</v>
      </c>
      <c r="EK395" s="514"/>
      <c r="EL395" s="511">
        <f t="shared" si="262"/>
        <v>0</v>
      </c>
    </row>
    <row r="396" spans="12:142">
      <c r="L396" s="154" t="s">
        <v>3171</v>
      </c>
      <c r="M396" s="21" t="s">
        <v>54</v>
      </c>
      <c r="N396" s="159" t="s">
        <v>5492</v>
      </c>
      <c r="O396" s="819" t="s">
        <v>728</v>
      </c>
      <c r="Q396" s="49"/>
      <c r="R396" s="98"/>
      <c r="S396" s="94"/>
      <c r="AY396" s="153" t="s">
        <v>657</v>
      </c>
      <c r="AZ396" s="134" t="s">
        <v>1722</v>
      </c>
      <c r="BA396" s="135" t="str">
        <f t="shared" si="256"/>
        <v>ДП ЛАДА-НОВА.8/1.фальц.</v>
      </c>
      <c r="BW396" s="250" t="s">
        <v>651</v>
      </c>
      <c r="BX396" s="770" t="s">
        <v>3851</v>
      </c>
      <c r="BY396" s="138" t="str">
        <f t="shared" si="248"/>
        <v>ДП ЛАДА-НОВА.6А/1.Графіт</v>
      </c>
      <c r="CA396" s="146" t="s">
        <v>3273</v>
      </c>
      <c r="CB396" s="783" t="s">
        <v>5754</v>
      </c>
      <c r="CC396" s="138" t="str">
        <f t="shared" ref="CC396:CC401" si="265">CONCATENATE(CA396,".",CB396)</f>
        <v>ДП ЛАДА D.фальц..робоча..Stand цл Лів +3завіс</v>
      </c>
      <c r="DD396" s="250" t="s">
        <v>1566</v>
      </c>
      <c r="DE396" s="166">
        <v>8770</v>
      </c>
      <c r="DF396" s="528">
        <f t="shared" si="254"/>
        <v>8770</v>
      </c>
      <c r="DG396" s="523"/>
      <c r="DH396" s="530">
        <f t="shared" si="255"/>
        <v>8770</v>
      </c>
      <c r="DP396" s="249" t="s">
        <v>2615</v>
      </c>
      <c r="DQ396" s="164">
        <v>550</v>
      </c>
      <c r="DR396" s="531">
        <f t="shared" si="259"/>
        <v>550</v>
      </c>
      <c r="DS396" s="526"/>
      <c r="DT396" s="527">
        <f t="shared" si="260"/>
        <v>550</v>
      </c>
      <c r="DU396" s="166"/>
      <c r="DV396" s="738" t="s">
        <v>4583</v>
      </c>
      <c r="DW396" s="166">
        <v>800</v>
      </c>
      <c r="DX396" s="522">
        <f t="shared" si="263"/>
        <v>800</v>
      </c>
      <c r="DY396" s="523"/>
      <c r="DZ396" s="524">
        <f t="shared" si="264"/>
        <v>800</v>
      </c>
      <c r="EG396" s="165"/>
      <c r="EH396" s="736" t="s">
        <v>3676</v>
      </c>
      <c r="EI396" s="105">
        <v>0</v>
      </c>
      <c r="EJ396" s="536">
        <f>ROUND(((EI396-(EI396/6))/$DD$3)*$DE$3,2)</f>
        <v>0</v>
      </c>
      <c r="EK396" s="514"/>
      <c r="EL396" s="511">
        <f>IF(EK396="",EJ396,
IF(AND($EI$10&gt;=VLOOKUP(EK396,$EH$5:$EL$9,2,0),$EI$10&lt;=VLOOKUP(EK396,$EH$5:$EL$9,3,0)),
(EJ396*(1-VLOOKUP(EK396,$EH$5:$EL$9,4,0))),
EJ396))</f>
        <v>0</v>
      </c>
    </row>
    <row r="397" spans="12:142">
      <c r="L397" s="155" t="s">
        <v>3172</v>
      </c>
      <c r="M397" s="254" t="s">
        <v>288</v>
      </c>
      <c r="N397" s="160" t="s">
        <v>5493</v>
      </c>
      <c r="O397" s="422" t="s">
        <v>728</v>
      </c>
      <c r="P397" s="553"/>
      <c r="Q397" s="553"/>
      <c r="R397" s="553"/>
      <c r="S397" s="553"/>
      <c r="AY397" s="154" t="s">
        <v>657</v>
      </c>
      <c r="AZ397" s="137" t="s">
        <v>1723</v>
      </c>
      <c r="BA397" s="138" t="str">
        <f>CONCATENATE(AY397,".",AZ397)</f>
        <v>ДП ЛАДА-НОВА.8/1.б/з фальц.</v>
      </c>
      <c r="BW397" s="249" t="s">
        <v>651</v>
      </c>
      <c r="BX397" s="248" t="s">
        <v>832</v>
      </c>
      <c r="BY397" s="139" t="str">
        <f t="shared" si="248"/>
        <v>ДП ЛАДА-НОВА.6А/1.Бронза</v>
      </c>
      <c r="CA397" s="146" t="s">
        <v>3273</v>
      </c>
      <c r="CB397" s="783" t="s">
        <v>5755</v>
      </c>
      <c r="CC397" s="138" t="str">
        <f t="shared" si="265"/>
        <v>ДП ЛАДА D.фальц..робоча..Stand цл Пр +3завіс</v>
      </c>
      <c r="DD397" s="250" t="s">
        <v>1567</v>
      </c>
      <c r="DE397" s="166">
        <v>8770</v>
      </c>
      <c r="DF397" s="528">
        <f t="shared" si="254"/>
        <v>8770</v>
      </c>
      <c r="DG397" s="523"/>
      <c r="DH397" s="530">
        <f t="shared" si="255"/>
        <v>8770</v>
      </c>
      <c r="DP397" s="250" t="s">
        <v>2616</v>
      </c>
      <c r="DQ397" s="166">
        <v>0</v>
      </c>
      <c r="DR397" s="522">
        <f t="shared" si="259"/>
        <v>0</v>
      </c>
      <c r="DS397" s="523"/>
      <c r="DT397" s="524">
        <f t="shared" si="260"/>
        <v>0</v>
      </c>
      <c r="DU397" s="166"/>
      <c r="DV397" s="739" t="s">
        <v>4584</v>
      </c>
      <c r="DW397" s="166">
        <v>800</v>
      </c>
      <c r="DX397" s="525">
        <f t="shared" si="263"/>
        <v>800</v>
      </c>
      <c r="DY397" s="526"/>
      <c r="DZ397" s="527">
        <f t="shared" si="264"/>
        <v>800</v>
      </c>
      <c r="EG397" s="165"/>
      <c r="EH397" s="256"/>
      <c r="EI397" s="257"/>
      <c r="EJ397" s="517"/>
      <c r="EK397" s="532"/>
      <c r="EL397" s="259"/>
    </row>
    <row r="398" spans="12:142">
      <c r="L398" s="49"/>
      <c r="M398" s="48"/>
      <c r="N398" s="94"/>
      <c r="O398" s="423"/>
      <c r="Q398" s="49"/>
      <c r="R398" s="98"/>
      <c r="S398" s="94"/>
      <c r="AY398" s="155" t="s">
        <v>657</v>
      </c>
      <c r="AZ398" s="62" t="s">
        <v>1724</v>
      </c>
      <c r="BA398" s="139" t="str">
        <f>CONCATENATE(AY398,".",AZ398)</f>
        <v>ДП ЛАДА-НОВА.8/1.купе.</v>
      </c>
      <c r="BW398" s="251" t="s">
        <v>652</v>
      </c>
      <c r="BX398" s="246" t="s">
        <v>458</v>
      </c>
      <c r="BY398" s="135" t="str">
        <f t="shared" si="248"/>
        <v>ДП ЛАДА-НОВА.6А/5.Сатин</v>
      </c>
      <c r="CA398" s="146" t="s">
        <v>3273</v>
      </c>
      <c r="CB398" s="783" t="s">
        <v>5756</v>
      </c>
      <c r="CC398" s="138" t="str">
        <f t="shared" si="265"/>
        <v>ДП ЛАДА D.фальц..робоча..Stand кл Лів +3завіс</v>
      </c>
      <c r="DD398" s="250" t="s">
        <v>1568</v>
      </c>
      <c r="DE398" s="166">
        <v>8770</v>
      </c>
      <c r="DF398" s="528">
        <f t="shared" si="254"/>
        <v>8770</v>
      </c>
      <c r="DG398" s="523"/>
      <c r="DH398" s="530">
        <f t="shared" si="255"/>
        <v>8770</v>
      </c>
      <c r="DP398" s="740" t="s">
        <v>3946</v>
      </c>
      <c r="DQ398" s="166">
        <v>550</v>
      </c>
      <c r="DR398" s="522">
        <f t="shared" si="259"/>
        <v>550</v>
      </c>
      <c r="DS398" s="523"/>
      <c r="DT398" s="524">
        <f t="shared" si="260"/>
        <v>550</v>
      </c>
      <c r="DU398" s="166"/>
      <c r="DV398" s="738" t="s">
        <v>6291</v>
      </c>
      <c r="DW398" s="166">
        <v>1</v>
      </c>
      <c r="DX398" s="522">
        <f t="shared" si="257"/>
        <v>1</v>
      </c>
      <c r="DY398" s="523"/>
      <c r="DZ398" s="524">
        <f t="shared" si="258"/>
        <v>1</v>
      </c>
      <c r="EG398" s="165"/>
      <c r="EH398" s="736" t="s">
        <v>4989</v>
      </c>
      <c r="EI398" s="105">
        <v>0</v>
      </c>
      <c r="EJ398" s="536">
        <f t="shared" si="261"/>
        <v>0</v>
      </c>
      <c r="EK398" s="514"/>
      <c r="EL398" s="511">
        <f t="shared" si="262"/>
        <v>0</v>
      </c>
    </row>
    <row r="399" spans="12:142">
      <c r="L399" s="552"/>
      <c r="M399" s="553"/>
      <c r="N399" s="553"/>
      <c r="O399" s="553"/>
      <c r="Q399" s="49"/>
      <c r="R399" s="98"/>
      <c r="S399" s="94"/>
      <c r="AY399" s="227"/>
      <c r="AZ399" s="222"/>
      <c r="BA399" s="223"/>
      <c r="BW399" s="250" t="s">
        <v>652</v>
      </c>
      <c r="BX399" s="770" t="s">
        <v>3851</v>
      </c>
      <c r="BY399" s="138" t="str">
        <f t="shared" si="248"/>
        <v>ДП ЛАДА-НОВА.6А/5.Графіт</v>
      </c>
      <c r="CA399" s="146" t="s">
        <v>3273</v>
      </c>
      <c r="CB399" s="783" t="s">
        <v>5757</v>
      </c>
      <c r="CC399" s="138" t="str">
        <f t="shared" si="265"/>
        <v>ДП ЛАДА D.фальц..робоча..Stand кл Пр +3завіс</v>
      </c>
      <c r="DD399" s="250" t="s">
        <v>1569</v>
      </c>
      <c r="DE399" s="166">
        <v>8650</v>
      </c>
      <c r="DF399" s="528">
        <f t="shared" si="254"/>
        <v>8650</v>
      </c>
      <c r="DG399" s="523"/>
      <c r="DH399" s="530">
        <f t="shared" si="255"/>
        <v>8650</v>
      </c>
      <c r="DP399" s="249" t="s">
        <v>2617</v>
      </c>
      <c r="DQ399" s="164">
        <v>550</v>
      </c>
      <c r="DR399" s="531">
        <f t="shared" si="259"/>
        <v>550</v>
      </c>
      <c r="DS399" s="526"/>
      <c r="DT399" s="527">
        <f t="shared" si="260"/>
        <v>550</v>
      </c>
      <c r="DU399" s="166"/>
      <c r="DV399" s="738" t="s">
        <v>6292</v>
      </c>
      <c r="DW399" s="166">
        <v>1</v>
      </c>
      <c r="DX399" s="522">
        <f t="shared" si="257"/>
        <v>1</v>
      </c>
      <c r="DY399" s="523"/>
      <c r="DZ399" s="524">
        <f t="shared" si="258"/>
        <v>1</v>
      </c>
      <c r="EG399" s="165"/>
      <c r="EH399" s="736" t="s">
        <v>3677</v>
      </c>
      <c r="EI399" s="105">
        <v>0</v>
      </c>
      <c r="EJ399" s="536">
        <f t="shared" si="261"/>
        <v>0</v>
      </c>
      <c r="EK399" s="514"/>
      <c r="EL399" s="511">
        <f t="shared" si="262"/>
        <v>0</v>
      </c>
    </row>
    <row r="400" spans="12:142">
      <c r="L400" s="49"/>
      <c r="M400" s="48"/>
      <c r="N400" s="94"/>
      <c r="O400" s="423"/>
      <c r="Q400" s="45"/>
      <c r="R400" s="98"/>
      <c r="S400" s="94"/>
      <c r="AY400" s="250" t="s">
        <v>2654</v>
      </c>
      <c r="AZ400" s="137" t="s">
        <v>1722</v>
      </c>
      <c r="BA400" s="138" t="str">
        <f t="shared" ref="BA400:BA429" si="266">CONCATENATE(AY400,".",AZ400)</f>
        <v>ДП Міра.1/0.фальц.</v>
      </c>
      <c r="BW400" s="249" t="s">
        <v>652</v>
      </c>
      <c r="BX400" s="248" t="s">
        <v>832</v>
      </c>
      <c r="BY400" s="139" t="str">
        <f t="shared" si="248"/>
        <v>ДП ЛАДА-НОВА.6А/5.Бронза</v>
      </c>
      <c r="CA400" s="146" t="s">
        <v>3273</v>
      </c>
      <c r="CB400" s="783" t="s">
        <v>5758</v>
      </c>
      <c r="CC400" s="138" t="str">
        <f t="shared" si="265"/>
        <v>ДП ЛАДА D.фальц..робоча..Stand ст Лів +3завіс</v>
      </c>
      <c r="DD400" s="250" t="s">
        <v>1570</v>
      </c>
      <c r="DE400" s="166">
        <v>8650</v>
      </c>
      <c r="DF400" s="528">
        <f t="shared" si="254"/>
        <v>8650</v>
      </c>
      <c r="DG400" s="523"/>
      <c r="DH400" s="530">
        <f t="shared" si="255"/>
        <v>8650</v>
      </c>
      <c r="DP400" s="538"/>
      <c r="DQ400" s="539"/>
      <c r="DR400" s="650"/>
      <c r="DS400" s="651"/>
      <c r="DT400" s="652"/>
      <c r="DU400" s="166"/>
      <c r="DV400" s="738" t="s">
        <v>6293</v>
      </c>
      <c r="DW400" s="166">
        <v>1</v>
      </c>
      <c r="DX400" s="522">
        <f t="shared" si="257"/>
        <v>1</v>
      </c>
      <c r="DY400" s="523"/>
      <c r="DZ400" s="524">
        <f t="shared" si="258"/>
        <v>1</v>
      </c>
      <c r="EG400" s="165"/>
      <c r="EH400" s="736" t="s">
        <v>3678</v>
      </c>
      <c r="EI400" s="105">
        <v>0</v>
      </c>
      <c r="EJ400" s="536">
        <f>ROUND(((EI400-(EI400/6))/$DD$3)*$DE$3,2)</f>
        <v>0</v>
      </c>
      <c r="EK400" s="514"/>
      <c r="EL400" s="511">
        <f>IF(EK400="",EJ400,
IF(AND($EI$10&gt;=VLOOKUP(EK400,$EH$5:$EL$9,2,0),$EI$10&lt;=VLOOKUP(EK400,$EH$5:$EL$9,3,0)),
(EJ400*(1-VLOOKUP(EK400,$EH$5:$EL$9,4,0))),
EJ400))</f>
        <v>0</v>
      </c>
    </row>
    <row r="401" spans="12:142">
      <c r="L401" s="49"/>
      <c r="M401" s="48"/>
      <c r="N401" s="94"/>
      <c r="O401" s="423"/>
      <c r="Q401" s="49"/>
      <c r="R401" s="98"/>
      <c r="S401" s="94"/>
      <c r="AY401" s="250" t="s">
        <v>2654</v>
      </c>
      <c r="AZ401" s="137" t="s">
        <v>1723</v>
      </c>
      <c r="BA401" s="138" t="str">
        <f t="shared" si="266"/>
        <v>ДП Міра.1/0.б/з фальц.</v>
      </c>
      <c r="BW401" s="251" t="s">
        <v>653</v>
      </c>
      <c r="BX401" s="246" t="s">
        <v>458</v>
      </c>
      <c r="BY401" s="135" t="str">
        <f t="shared" si="248"/>
        <v>ДП ЛАДА-НОВА.7/1.Сатин</v>
      </c>
      <c r="CA401" s="146" t="s">
        <v>3273</v>
      </c>
      <c r="CB401" s="783" t="s">
        <v>5759</v>
      </c>
      <c r="CC401" s="138" t="str">
        <f t="shared" si="265"/>
        <v>ДП ЛАДА D.фальц..робоча..Stand ст Пр +3завіс</v>
      </c>
      <c r="DD401" s="249" t="s">
        <v>1571</v>
      </c>
      <c r="DE401" s="164">
        <v>8650</v>
      </c>
      <c r="DF401" s="528">
        <f t="shared" si="254"/>
        <v>8650</v>
      </c>
      <c r="DG401" s="526"/>
      <c r="DH401" s="530">
        <f t="shared" si="255"/>
        <v>8650</v>
      </c>
      <c r="DP401" s="162" t="s">
        <v>685</v>
      </c>
      <c r="DQ401" s="163">
        <v>0</v>
      </c>
      <c r="DR401" s="528">
        <f t="shared" ref="DR401:DR459" si="267">ROUND(((DQ401-(DQ401/6))/$DD$3)*$DE$3,2)</f>
        <v>0</v>
      </c>
      <c r="DS401" s="529"/>
      <c r="DT401" s="530">
        <f t="shared" ref="DT401:DT459" si="268">IF(DS401="",DR401,
IF(AND($DQ$10&gt;=VLOOKUP(DS401,$DP$5:$DT$9,2,0),$DQ$10&lt;=VLOOKUP(DS401,$DP$5:$DT$9,3,0)),
(DR401*(1-VLOOKUP(DS401,$DP$5:$DT$9,4,0))),
DR401))</f>
        <v>0</v>
      </c>
      <c r="DU401" s="166"/>
      <c r="DV401" s="738" t="s">
        <v>6294</v>
      </c>
      <c r="DW401" s="166">
        <v>1</v>
      </c>
      <c r="DX401" s="522">
        <f t="shared" si="257"/>
        <v>1</v>
      </c>
      <c r="DY401" s="523"/>
      <c r="DZ401" s="524">
        <f t="shared" si="258"/>
        <v>1</v>
      </c>
      <c r="EG401" s="165"/>
      <c r="EH401" s="736" t="s">
        <v>3679</v>
      </c>
      <c r="EI401" s="105">
        <v>0</v>
      </c>
      <c r="EJ401" s="536">
        <f>ROUND(((EI401-(EI401/6))/$DD$3)*$DE$3,2)</f>
        <v>0</v>
      </c>
      <c r="EK401" s="514"/>
      <c r="EL401" s="511">
        <f>IF(EK401="",EJ401,
IF(AND($EI$10&gt;=VLOOKUP(EK401,$EH$5:$EL$9,2,0),$EI$10&lt;=VLOOKUP(EK401,$EH$5:$EL$9,3,0)),
(EJ401*(1-VLOOKUP(EK401,$EH$5:$EL$9,4,0))),
EJ401))</f>
        <v>0</v>
      </c>
    </row>
    <row r="402" spans="12:142">
      <c r="L402" s="49"/>
      <c r="M402" s="48"/>
      <c r="N402" s="94"/>
      <c r="O402" s="423"/>
      <c r="Q402" s="554"/>
      <c r="R402" s="554"/>
      <c r="S402" s="814" t="s">
        <v>5481</v>
      </c>
      <c r="AY402" s="249" t="s">
        <v>2654</v>
      </c>
      <c r="AZ402" s="62" t="s">
        <v>1724</v>
      </c>
      <c r="BA402" s="139" t="str">
        <f t="shared" si="266"/>
        <v>ДП Міра.1/0.купе.</v>
      </c>
      <c r="BW402" s="250" t="s">
        <v>653</v>
      </c>
      <c r="BX402" s="770" t="s">
        <v>3851</v>
      </c>
      <c r="BY402" s="138" t="str">
        <f t="shared" si="248"/>
        <v>ДП ЛАДА-НОВА.7/1.Графіт</v>
      </c>
      <c r="CA402" s="146" t="s">
        <v>3273</v>
      </c>
      <c r="CC402" s="138"/>
      <c r="DD402" s="740" t="s">
        <v>5161</v>
      </c>
      <c r="DE402" s="166">
        <v>9190</v>
      </c>
      <c r="DF402" s="528">
        <f t="shared" si="254"/>
        <v>9190</v>
      </c>
      <c r="DG402" s="523"/>
      <c r="DH402" s="530">
        <f t="shared" si="255"/>
        <v>9190</v>
      </c>
      <c r="DP402" s="738" t="s">
        <v>3947</v>
      </c>
      <c r="DQ402" s="166">
        <v>550</v>
      </c>
      <c r="DR402" s="522">
        <f t="shared" si="267"/>
        <v>550</v>
      </c>
      <c r="DS402" s="523"/>
      <c r="DT402" s="524">
        <f t="shared" si="268"/>
        <v>550</v>
      </c>
      <c r="DU402" s="166"/>
      <c r="DV402" s="738" t="s">
        <v>6295</v>
      </c>
      <c r="DW402" s="166">
        <v>1</v>
      </c>
      <c r="DX402" s="522">
        <f t="shared" si="257"/>
        <v>1</v>
      </c>
      <c r="DY402" s="523"/>
      <c r="DZ402" s="524">
        <f t="shared" si="258"/>
        <v>1</v>
      </c>
      <c r="EG402" s="165"/>
      <c r="EH402" s="736" t="s">
        <v>3680</v>
      </c>
      <c r="EI402" s="105">
        <v>0</v>
      </c>
      <c r="EJ402" s="536">
        <f t="shared" si="261"/>
        <v>0</v>
      </c>
      <c r="EK402" s="514"/>
      <c r="EL402" s="511">
        <f t="shared" si="262"/>
        <v>0</v>
      </c>
    </row>
    <row r="403" spans="12:142">
      <c r="L403" s="49"/>
      <c r="M403" s="48"/>
      <c r="N403" s="94"/>
      <c r="O403" s="423"/>
      <c r="AY403" s="250" t="s">
        <v>2655</v>
      </c>
      <c r="AZ403" s="137" t="s">
        <v>1722</v>
      </c>
      <c r="BA403" s="138" t="str">
        <f t="shared" si="266"/>
        <v>ДП Міра.1/1.фальц.</v>
      </c>
      <c r="BW403" s="249" t="s">
        <v>653</v>
      </c>
      <c r="BX403" s="248" t="s">
        <v>832</v>
      </c>
      <c r="BY403" s="139" t="str">
        <f t="shared" si="248"/>
        <v>ДП ЛАДА-НОВА.7/1.Бронза</v>
      </c>
      <c r="CA403" s="146" t="s">
        <v>3273</v>
      </c>
      <c r="CB403" s="137" t="s">
        <v>4304</v>
      </c>
      <c r="CC403" s="138" t="str">
        <f>CONCATENATE(CA403,".",CB403)</f>
        <v>ДП ЛАДА D.фальц..робоча..Soft цл +3завіс</v>
      </c>
      <c r="DD403" s="740" t="s">
        <v>5162</v>
      </c>
      <c r="DE403" s="166">
        <v>9190</v>
      </c>
      <c r="DF403" s="528">
        <f t="shared" si="254"/>
        <v>9190</v>
      </c>
      <c r="DG403" s="523"/>
      <c r="DH403" s="530">
        <f t="shared" si="255"/>
        <v>9190</v>
      </c>
      <c r="DP403" s="108" t="s">
        <v>585</v>
      </c>
      <c r="DQ403" s="164">
        <v>550</v>
      </c>
      <c r="DR403" s="531">
        <f t="shared" si="267"/>
        <v>550</v>
      </c>
      <c r="DS403" s="526"/>
      <c r="DT403" s="527">
        <f t="shared" si="268"/>
        <v>550</v>
      </c>
      <c r="DU403" s="166"/>
      <c r="DV403" s="739" t="s">
        <v>6296</v>
      </c>
      <c r="DW403" s="166">
        <v>1</v>
      </c>
      <c r="DX403" s="525">
        <f t="shared" si="257"/>
        <v>1</v>
      </c>
      <c r="DY403" s="526"/>
      <c r="DZ403" s="527">
        <f t="shared" si="258"/>
        <v>1</v>
      </c>
      <c r="EG403" s="165"/>
      <c r="EH403" s="736" t="s">
        <v>3681</v>
      </c>
      <c r="EI403" s="105">
        <v>0</v>
      </c>
      <c r="EJ403" s="536">
        <f t="shared" si="261"/>
        <v>0</v>
      </c>
      <c r="EK403" s="514"/>
      <c r="EL403" s="511">
        <f t="shared" si="262"/>
        <v>0</v>
      </c>
    </row>
    <row r="404" spans="12:142">
      <c r="L404" s="565"/>
      <c r="M404" s="554"/>
      <c r="N404" s="554"/>
      <c r="O404" s="814" t="s">
        <v>5481</v>
      </c>
      <c r="AY404" s="250" t="s">
        <v>2655</v>
      </c>
      <c r="AZ404" s="137" t="s">
        <v>1723</v>
      </c>
      <c r="BA404" s="138" t="str">
        <f t="shared" si="266"/>
        <v>ДП Міра.1/1.б/з фальц.</v>
      </c>
      <c r="BW404" s="251" t="s">
        <v>654</v>
      </c>
      <c r="BX404" s="246" t="s">
        <v>458</v>
      </c>
      <c r="BY404" s="135" t="str">
        <f t="shared" si="248"/>
        <v>ДП ЛАДА-НОВА.7/2.Сатин</v>
      </c>
      <c r="CA404" s="146" t="s">
        <v>3273</v>
      </c>
      <c r="CB404" s="137" t="s">
        <v>4307</v>
      </c>
      <c r="CC404" s="138" t="str">
        <f>CONCATENATE(CA404,".",CB404)</f>
        <v>ДП ЛАДА D.фальц..робоча..Soft ст +3завіс</v>
      </c>
      <c r="DD404" s="740" t="s">
        <v>5163</v>
      </c>
      <c r="DE404" s="166">
        <v>9190</v>
      </c>
      <c r="DF404" s="528">
        <f t="shared" si="254"/>
        <v>9190</v>
      </c>
      <c r="DG404" s="523"/>
      <c r="DH404" s="530">
        <f t="shared" si="255"/>
        <v>9190</v>
      </c>
      <c r="DP404" s="108" t="s">
        <v>6073</v>
      </c>
      <c r="DQ404" s="164">
        <v>550</v>
      </c>
      <c r="DR404" s="531">
        <f>ROUND(((DQ404-(DQ404/6))/$DD$3)*$DE$3,2)</f>
        <v>550</v>
      </c>
      <c r="DS404" s="526"/>
      <c r="DT404" s="527">
        <f>IF(DS404="",DR404,
IF(AND($DQ$10&gt;=VLOOKUP(DS404,$DP$5:$DT$9,2,0),$DQ$10&lt;=VLOOKUP(DS404,$DP$5:$DT$9,3,0)),
(DR404*(1-VLOOKUP(DS404,$DP$5:$DT$9,4,0))),
DR404))</f>
        <v>550</v>
      </c>
      <c r="DU404" s="166"/>
      <c r="DV404" s="165" t="s">
        <v>1678</v>
      </c>
      <c r="DW404" s="166">
        <v>0</v>
      </c>
      <c r="DX404" s="522">
        <f t="shared" si="257"/>
        <v>0</v>
      </c>
      <c r="DY404" s="523"/>
      <c r="DZ404" s="524">
        <f t="shared" si="258"/>
        <v>0</v>
      </c>
      <c r="EG404" s="165"/>
      <c r="EH404" s="736" t="s">
        <v>5164</v>
      </c>
      <c r="EI404" s="105">
        <v>0</v>
      </c>
      <c r="EJ404" s="536">
        <f>ROUND(((EI404-(EI404/6))/$DD$3)*$DE$3,2)</f>
        <v>0</v>
      </c>
      <c r="EK404" s="514"/>
      <c r="EL404" s="511">
        <f>IF(EK404="",EJ404,
IF(AND($EI$10&gt;=VLOOKUP(EK404,$EH$5:$EL$9,2,0),$EI$10&lt;=VLOOKUP(EK404,$EH$5:$EL$9,3,0)),
(EJ404*(1-VLOOKUP(EK404,$EH$5:$EL$9,4,0))),
EJ404))</f>
        <v>0</v>
      </c>
    </row>
    <row r="405" spans="12:142">
      <c r="AY405" s="249" t="s">
        <v>2655</v>
      </c>
      <c r="AZ405" s="62" t="s">
        <v>1724</v>
      </c>
      <c r="BA405" s="139" t="str">
        <f t="shared" si="266"/>
        <v>ДП Міра.1/1.купе.</v>
      </c>
      <c r="BW405" s="250" t="s">
        <v>654</v>
      </c>
      <c r="BX405" s="770" t="s">
        <v>3851</v>
      </c>
      <c r="BY405" s="138" t="str">
        <f t="shared" si="248"/>
        <v>ДП ЛАДА-НОВА.7/2.Графіт</v>
      </c>
      <c r="CA405" s="146" t="s">
        <v>3273</v>
      </c>
      <c r="CB405" s="21"/>
      <c r="CC405" s="21"/>
      <c r="DD405" s="740" t="s">
        <v>5165</v>
      </c>
      <c r="DE405" s="166">
        <v>9190</v>
      </c>
      <c r="DF405" s="528">
        <f t="shared" si="254"/>
        <v>9190</v>
      </c>
      <c r="DG405" s="523"/>
      <c r="DH405" s="530">
        <f t="shared" si="255"/>
        <v>9190</v>
      </c>
      <c r="DP405" s="165" t="s">
        <v>686</v>
      </c>
      <c r="DQ405" s="166">
        <v>0</v>
      </c>
      <c r="DR405" s="522">
        <f t="shared" si="267"/>
        <v>0</v>
      </c>
      <c r="DS405" s="523"/>
      <c r="DT405" s="524">
        <f t="shared" si="268"/>
        <v>0</v>
      </c>
      <c r="DU405" s="166"/>
      <c r="DV405" s="108" t="s">
        <v>1679</v>
      </c>
      <c r="DW405" s="164">
        <v>560</v>
      </c>
      <c r="DX405" s="531">
        <f t="shared" si="257"/>
        <v>560</v>
      </c>
      <c r="DY405" s="526"/>
      <c r="DZ405" s="527">
        <f t="shared" si="258"/>
        <v>560</v>
      </c>
      <c r="EG405" s="165"/>
      <c r="EH405" s="736" t="s">
        <v>3682</v>
      </c>
      <c r="EI405" s="105">
        <v>0</v>
      </c>
      <c r="EJ405" s="536">
        <f t="shared" si="261"/>
        <v>0</v>
      </c>
      <c r="EK405" s="514"/>
      <c r="EL405" s="511">
        <f t="shared" si="262"/>
        <v>0</v>
      </c>
    </row>
    <row r="406" spans="12:142">
      <c r="AY406" s="250" t="s">
        <v>2656</v>
      </c>
      <c r="AZ406" s="137" t="s">
        <v>1722</v>
      </c>
      <c r="BA406" s="138" t="str">
        <f t="shared" si="266"/>
        <v>ДП Міра.1/2.фальц.</v>
      </c>
      <c r="BW406" s="249" t="s">
        <v>654</v>
      </c>
      <c r="BX406" s="248" t="s">
        <v>832</v>
      </c>
      <c r="BY406" s="139" t="str">
        <f t="shared" si="248"/>
        <v>ДП ЛАДА-НОВА.7/2.Бронза</v>
      </c>
      <c r="CA406" s="146" t="s">
        <v>3273</v>
      </c>
      <c r="CB406" s="137" t="s">
        <v>4316</v>
      </c>
      <c r="CC406" s="138" t="str">
        <f>CONCATENATE(CA406,".",CB406)</f>
        <v>ДП ЛАДА D.фальц..робоча..Magnet цл +3завіс</v>
      </c>
      <c r="DD406" s="740" t="s">
        <v>5166</v>
      </c>
      <c r="DE406" s="166">
        <v>9190</v>
      </c>
      <c r="DF406" s="528">
        <f t="shared" si="254"/>
        <v>9190</v>
      </c>
      <c r="DG406" s="523"/>
      <c r="DH406" s="530">
        <f t="shared" si="255"/>
        <v>9190</v>
      </c>
      <c r="DP406" s="738" t="s">
        <v>3948</v>
      </c>
      <c r="DQ406" s="166">
        <v>550</v>
      </c>
      <c r="DR406" s="522">
        <f t="shared" si="267"/>
        <v>550</v>
      </c>
      <c r="DS406" s="523"/>
      <c r="DT406" s="524">
        <f t="shared" si="268"/>
        <v>550</v>
      </c>
      <c r="DU406" s="166"/>
      <c r="DV406" s="647"/>
      <c r="DW406" s="648"/>
      <c r="DX406" s="654"/>
      <c r="DY406" s="655"/>
      <c r="DZ406" s="656"/>
      <c r="EG406" s="165"/>
      <c r="EH406" s="256"/>
      <c r="EI406" s="257"/>
      <c r="EJ406" s="517"/>
      <c r="EK406" s="532"/>
      <c r="EL406" s="259"/>
    </row>
    <row r="407" spans="12:142">
      <c r="AY407" s="250" t="s">
        <v>2656</v>
      </c>
      <c r="AZ407" s="137" t="s">
        <v>1723</v>
      </c>
      <c r="BA407" s="138" t="str">
        <f t="shared" si="266"/>
        <v>ДП Міра.1/2.б/з фальц.</v>
      </c>
      <c r="BW407" s="251" t="s">
        <v>657</v>
      </c>
      <c r="BX407" s="246" t="s">
        <v>458</v>
      </c>
      <c r="BY407" s="135" t="str">
        <f t="shared" si="248"/>
        <v>ДП ЛАДА-НОВА.8/1.Сатин</v>
      </c>
      <c r="CA407" s="147" t="s">
        <v>3273</v>
      </c>
      <c r="CB407" s="62" t="s">
        <v>4319</v>
      </c>
      <c r="CC407" s="139" t="str">
        <f>CONCATENATE(CA407,".",CB407)</f>
        <v>ДП ЛАДА D.фальц..робоча..Magnet ст +3завіс</v>
      </c>
      <c r="DD407" s="740" t="s">
        <v>5167</v>
      </c>
      <c r="DE407" s="166">
        <v>9170</v>
      </c>
      <c r="DF407" s="528">
        <f t="shared" si="254"/>
        <v>9170</v>
      </c>
      <c r="DG407" s="523"/>
      <c r="DH407" s="530">
        <f t="shared" si="255"/>
        <v>9170</v>
      </c>
      <c r="DP407" s="108" t="s">
        <v>586</v>
      </c>
      <c r="DQ407" s="164">
        <v>550</v>
      </c>
      <c r="DR407" s="531">
        <f t="shared" si="267"/>
        <v>550</v>
      </c>
      <c r="DS407" s="526"/>
      <c r="DT407" s="527">
        <f t="shared" si="268"/>
        <v>550</v>
      </c>
      <c r="DU407" s="166"/>
      <c r="DV407" s="736" t="s">
        <v>4154</v>
      </c>
      <c r="DW407" s="105">
        <v>0</v>
      </c>
      <c r="DX407" s="403">
        <f t="shared" ref="DX407:DX437" si="269">ROUND(((DW407-(DW407/6))/$DD$3)*$DE$3,2)</f>
        <v>0</v>
      </c>
      <c r="DY407" s="514"/>
      <c r="DZ407" s="511">
        <f t="shared" ref="DZ407:DZ437" si="270">IF(DY407="",DX407,
IF(AND($DW$10&gt;=VLOOKUP(DY407,$DV$5:$DZ$9,2,0),$DW$10&lt;=VLOOKUP(DY407,$DV$5:$DZ$9,3,0)),
(DX407*(1-VLOOKUP(DY407,$DV$5:$DZ$9,4,0))),
DX407))</f>
        <v>0</v>
      </c>
      <c r="EG407" s="165"/>
      <c r="EH407" s="736" t="s">
        <v>4990</v>
      </c>
      <c r="EI407" s="105">
        <v>0</v>
      </c>
      <c r="EJ407" s="536">
        <f t="shared" ref="EJ407:EJ413" si="271">ROUND(((EI407-(EI407/6))/$DD$3)*$DE$3,2)</f>
        <v>0</v>
      </c>
      <c r="EK407" s="514"/>
      <c r="EL407" s="511">
        <f t="shared" ref="EL407:EL413" si="272">IF(EK407="",EJ407,
IF(AND($EI$10&gt;=VLOOKUP(EK407,$EH$5:$EL$9,2,0),$EI$10&lt;=VLOOKUP(EK407,$EH$5:$EL$9,3,0)),
(EJ407*(1-VLOOKUP(EK407,$EH$5:$EL$9,4,0))),
EJ407))</f>
        <v>0</v>
      </c>
    </row>
    <row r="408" spans="12:142">
      <c r="AY408" s="249" t="s">
        <v>2656</v>
      </c>
      <c r="AZ408" s="62" t="s">
        <v>1724</v>
      </c>
      <c r="BA408" s="139" t="str">
        <f t="shared" si="266"/>
        <v>ДП Міра.1/2.купе.</v>
      </c>
      <c r="BW408" s="250" t="s">
        <v>657</v>
      </c>
      <c r="BX408" s="770" t="s">
        <v>3851</v>
      </c>
      <c r="BY408" s="138" t="str">
        <f t="shared" si="248"/>
        <v>ДП ЛАДА-НОВА.8/1.Графіт</v>
      </c>
      <c r="CA408" s="145" t="s">
        <v>3274</v>
      </c>
      <c r="CB408" s="134" t="s">
        <v>4106</v>
      </c>
      <c r="CC408" s="135" t="str">
        <f>CONCATENATE(CA408,".",CB408)</f>
        <v>ДП ЛАДА D.фальц..неробоча..(ні)</v>
      </c>
      <c r="DD408" s="740" t="s">
        <v>5168</v>
      </c>
      <c r="DE408" s="166">
        <v>9170</v>
      </c>
      <c r="DF408" s="528">
        <f t="shared" si="254"/>
        <v>9170</v>
      </c>
      <c r="DG408" s="523"/>
      <c r="DH408" s="530">
        <f t="shared" si="255"/>
        <v>9170</v>
      </c>
      <c r="DP408" s="165" t="s">
        <v>687</v>
      </c>
      <c r="DQ408" s="166">
        <v>0</v>
      </c>
      <c r="DR408" s="522">
        <f t="shared" si="267"/>
        <v>0</v>
      </c>
      <c r="DS408" s="523"/>
      <c r="DT408" s="524">
        <f t="shared" si="268"/>
        <v>0</v>
      </c>
      <c r="DU408" s="166"/>
      <c r="DV408" s="737" t="s">
        <v>5832</v>
      </c>
      <c r="DW408" s="163">
        <v>0</v>
      </c>
      <c r="DX408" s="528">
        <f t="shared" si="269"/>
        <v>0</v>
      </c>
      <c r="DY408" s="529"/>
      <c r="DZ408" s="530">
        <f t="shared" si="270"/>
        <v>0</v>
      </c>
      <c r="EG408" s="165"/>
      <c r="EH408" s="736" t="s">
        <v>3683</v>
      </c>
      <c r="EI408" s="105">
        <v>0</v>
      </c>
      <c r="EJ408" s="536">
        <f t="shared" si="271"/>
        <v>0</v>
      </c>
      <c r="EK408" s="514"/>
      <c r="EL408" s="511">
        <f t="shared" si="272"/>
        <v>0</v>
      </c>
    </row>
    <row r="409" spans="12:142">
      <c r="AY409" s="250" t="s">
        <v>2657</v>
      </c>
      <c r="AZ409" s="137" t="s">
        <v>1722</v>
      </c>
      <c r="BA409" s="138" t="str">
        <f t="shared" si="266"/>
        <v>ДП Міра.1/3.фальц.</v>
      </c>
      <c r="BW409" s="249" t="s">
        <v>657</v>
      </c>
      <c r="BX409" s="248" t="s">
        <v>832</v>
      </c>
      <c r="BY409" s="139" t="str">
        <f t="shared" si="248"/>
        <v>ДП ЛАДА-НОВА.8/1.Бронза</v>
      </c>
      <c r="CA409" s="146" t="s">
        <v>3274</v>
      </c>
      <c r="CB409" s="21"/>
      <c r="CC409" s="21"/>
      <c r="DD409" s="741" t="s">
        <v>5169</v>
      </c>
      <c r="DE409" s="164">
        <v>9170</v>
      </c>
      <c r="DF409" s="528">
        <f>ROUND(((DE409-(DE409/6))/$DD$3)*$DE$3,2)</f>
        <v>9170</v>
      </c>
      <c r="DG409" s="523"/>
      <c r="DH409" s="530">
        <f>IF(DG409="",DF409,
IF(AND($DE$10&gt;=VLOOKUP(DG409,$DD$5:$DH$9,2,0),$DE$10&lt;=VLOOKUP(DG409,$DD$5:$DH$9,3,0)),
(DF409*(1-VLOOKUP(DG409,$DD$5:$DH$9,4,0))),
DF409))</f>
        <v>9170</v>
      </c>
      <c r="DP409" s="738" t="s">
        <v>3949</v>
      </c>
      <c r="DQ409" s="166">
        <v>550</v>
      </c>
      <c r="DR409" s="522">
        <f t="shared" si="267"/>
        <v>550</v>
      </c>
      <c r="DS409" s="523"/>
      <c r="DT409" s="524">
        <f t="shared" si="268"/>
        <v>550</v>
      </c>
      <c r="DU409" s="166"/>
      <c r="DV409" s="737" t="s">
        <v>5833</v>
      </c>
      <c r="DW409" s="163">
        <v>0</v>
      </c>
      <c r="DX409" s="528">
        <f>ROUND(((DW409-(DW409/6))/$DD$3)*$DE$3,2)</f>
        <v>0</v>
      </c>
      <c r="DY409" s="529"/>
      <c r="DZ409" s="530">
        <f>IF(DY409="",DX409,
IF(AND($DW$10&gt;=VLOOKUP(DY409,$DV$5:$DZ$9,2,0),$DW$10&lt;=VLOOKUP(DY409,$DV$5:$DZ$9,3,0)),
(DX409*(1-VLOOKUP(DY409,$DV$5:$DZ$9,4,0))),
DX409))</f>
        <v>0</v>
      </c>
      <c r="EG409" s="165"/>
      <c r="EH409" s="736" t="s">
        <v>3684</v>
      </c>
      <c r="EI409" s="105">
        <v>0</v>
      </c>
      <c r="EJ409" s="536">
        <f>ROUND(((EI409-(EI409/6))/$DD$3)*$DE$3,2)</f>
        <v>0</v>
      </c>
      <c r="EK409" s="514"/>
      <c r="EL409" s="511">
        <f>IF(EK409="",EJ409,
IF(AND($EI$10&gt;=VLOOKUP(EK409,$EH$5:$EL$9,2,0),$EI$10&lt;=VLOOKUP(EK409,$EH$5:$EL$9,3,0)),
(EJ409*(1-VLOOKUP(EK409,$EH$5:$EL$9,4,0))),
EJ409))</f>
        <v>0</v>
      </c>
    </row>
    <row r="410" spans="12:142">
      <c r="AY410" s="250" t="s">
        <v>2657</v>
      </c>
      <c r="AZ410" s="137" t="s">
        <v>1723</v>
      </c>
      <c r="BA410" s="138" t="str">
        <f t="shared" si="266"/>
        <v>ДП Міра.1/3.б/з фальц.</v>
      </c>
      <c r="BW410" s="432"/>
      <c r="BX410" s="432"/>
      <c r="BY410" s="432"/>
      <c r="CA410" s="146" t="s">
        <v>3274</v>
      </c>
      <c r="CB410" s="783" t="s">
        <v>4325</v>
      </c>
      <c r="CC410" s="138" t="str">
        <f>CONCATENATE(CA410,".",CB410)</f>
        <v>ДП ЛАДА D.фальц..неробоча..Пл Stand +3завіс</v>
      </c>
      <c r="DD410" s="641"/>
      <c r="DE410" s="648"/>
      <c r="DF410" s="643"/>
      <c r="DG410" s="644"/>
      <c r="DH410" s="645"/>
      <c r="DP410" s="108" t="s">
        <v>587</v>
      </c>
      <c r="DQ410" s="164">
        <v>550</v>
      </c>
      <c r="DR410" s="531">
        <f t="shared" si="267"/>
        <v>550</v>
      </c>
      <c r="DS410" s="526"/>
      <c r="DT410" s="527">
        <f t="shared" si="268"/>
        <v>550</v>
      </c>
      <c r="DU410" s="166"/>
      <c r="DV410" s="738" t="s">
        <v>5834</v>
      </c>
      <c r="DW410" s="166">
        <v>0</v>
      </c>
      <c r="DX410" s="522">
        <f t="shared" si="269"/>
        <v>0</v>
      </c>
      <c r="DY410" s="523"/>
      <c r="DZ410" s="524">
        <f t="shared" si="270"/>
        <v>0</v>
      </c>
      <c r="EG410" s="165"/>
      <c r="EH410" s="736" t="s">
        <v>3685</v>
      </c>
      <c r="EI410" s="105">
        <v>0</v>
      </c>
      <c r="EJ410" s="536">
        <f>ROUND(((EI410-(EI410/6))/$DD$3)*$DE$3,2)</f>
        <v>0</v>
      </c>
      <c r="EK410" s="514"/>
      <c r="EL410" s="511">
        <f>IF(EK410="",EJ410,
IF(AND($EI$10&gt;=VLOOKUP(EK410,$EH$5:$EL$9,2,0),$EI$10&lt;=VLOOKUP(EK410,$EH$5:$EL$9,3,0)),
(EJ410*(1-VLOOKUP(EK410,$EH$5:$EL$9,4,0))),
EJ410))</f>
        <v>0</v>
      </c>
    </row>
    <row r="411" spans="12:142">
      <c r="AY411" s="249" t="s">
        <v>2657</v>
      </c>
      <c r="AZ411" s="62" t="s">
        <v>1724</v>
      </c>
      <c r="BA411" s="139" t="str">
        <f t="shared" si="266"/>
        <v>ДП Міра.1/3.купе.</v>
      </c>
      <c r="BW411" s="58" t="s">
        <v>2654</v>
      </c>
      <c r="BX411" s="770" t="s">
        <v>4106</v>
      </c>
      <c r="BY411" s="138" t="str">
        <f t="shared" ref="BY411:BY446" si="273">CONCATENATE(BW411,".",BX411)</f>
        <v>ДП Міра.1/0.(ні)</v>
      </c>
      <c r="CA411" s="146" t="s">
        <v>3274</v>
      </c>
      <c r="CB411" s="783" t="s">
        <v>4333</v>
      </c>
      <c r="CC411" s="138" t="str">
        <f>CONCATENATE(CA411,".",CB411)</f>
        <v>ДП ЛАДА D.фальц..неробоча..Пл Soft +3завіс</v>
      </c>
      <c r="DD411" s="251" t="s">
        <v>2538</v>
      </c>
      <c r="DE411" s="163">
        <v>6590</v>
      </c>
      <c r="DF411" s="528">
        <f>ROUND(((DE411-(DE411/6))/$DD$3)*$DE$3,2)</f>
        <v>6590</v>
      </c>
      <c r="DG411" s="529"/>
      <c r="DH411" s="530">
        <f>IF(DG411="",DF411,
IF(AND($DE$10&gt;=VLOOKUP(DG411,$DD$5:$DH$9,2,0),$DE$10&lt;=VLOOKUP(DG411,$DD$5:$DH$9,3,0)),
(DF411*(1-VLOOKUP(DG411,$DD$5:$DH$9,4,0))),
DF411))</f>
        <v>6590</v>
      </c>
      <c r="DP411" s="108" t="s">
        <v>6074</v>
      </c>
      <c r="DQ411" s="164">
        <v>550</v>
      </c>
      <c r="DR411" s="531">
        <f>ROUND(((DQ411-(DQ411/6))/$DD$3)*$DE$3,2)</f>
        <v>550</v>
      </c>
      <c r="DS411" s="526"/>
      <c r="DT411" s="527">
        <f>IF(DS411="",DR411,
IF(AND($DQ$10&gt;=VLOOKUP(DS411,$DP$5:$DT$9,2,0),$DQ$10&lt;=VLOOKUP(DS411,$DP$5:$DT$9,3,0)),
(DR411*(1-VLOOKUP(DS411,$DP$5:$DT$9,4,0))),
DR411))</f>
        <v>550</v>
      </c>
      <c r="DU411" s="166"/>
      <c r="DV411" s="738" t="s">
        <v>5835</v>
      </c>
      <c r="DW411" s="163">
        <v>0</v>
      </c>
      <c r="DX411" s="528">
        <f>ROUND(((DW411-(DW411/6))/$DD$3)*$DE$3,2)</f>
        <v>0</v>
      </c>
      <c r="DY411" s="529"/>
      <c r="DZ411" s="530">
        <f>IF(DY411="",DX411,
IF(AND($DW$10&gt;=VLOOKUP(DY411,$DV$5:$DZ$9,2,0),$DW$10&lt;=VLOOKUP(DY411,$DV$5:$DZ$9,3,0)),
(DX411*(1-VLOOKUP(DY411,$DV$5:$DZ$9,4,0))),
DX411))</f>
        <v>0</v>
      </c>
      <c r="EG411" s="165"/>
      <c r="EH411" s="736" t="s">
        <v>3686</v>
      </c>
      <c r="EI411" s="105">
        <v>0</v>
      </c>
      <c r="EJ411" s="536">
        <f t="shared" si="271"/>
        <v>0</v>
      </c>
      <c r="EK411" s="514"/>
      <c r="EL411" s="511">
        <f t="shared" si="272"/>
        <v>0</v>
      </c>
    </row>
    <row r="412" spans="12:142">
      <c r="AY412" s="250" t="s">
        <v>2658</v>
      </c>
      <c r="AZ412" s="137" t="s">
        <v>1722</v>
      </c>
      <c r="BA412" s="138" t="str">
        <f t="shared" si="266"/>
        <v>ДП Міра.1/4.фальц.</v>
      </c>
      <c r="BW412" s="251" t="s">
        <v>2655</v>
      </c>
      <c r="BX412" s="246" t="s">
        <v>458</v>
      </c>
      <c r="BY412" s="135" t="str">
        <f t="shared" si="273"/>
        <v>ДП Міра.1/1.Сатин</v>
      </c>
      <c r="CA412" s="147" t="s">
        <v>3274</v>
      </c>
      <c r="CB412" s="152" t="s">
        <v>4336</v>
      </c>
      <c r="CC412" s="139" t="str">
        <f>CONCATENATE(CA412,".",CB412)</f>
        <v>ДП ЛАДА D.фальц..неробоча..Пл Magnet +3завіс</v>
      </c>
      <c r="DD412" s="250" t="s">
        <v>2539</v>
      </c>
      <c r="DE412" s="166">
        <v>6590</v>
      </c>
      <c r="DF412" s="528">
        <f t="shared" ref="DF412:DF474" si="274">ROUND(((DE412-(DE412/6))/$DD$3)*$DE$3,2)</f>
        <v>6590</v>
      </c>
      <c r="DG412" s="529"/>
      <c r="DH412" s="530">
        <f t="shared" ref="DH412:DH478" si="275">IF(DG412="",DF412,
IF(AND($DE$10&gt;=VLOOKUP(DG412,$DD$5:$DH$9,2,0),$DE$10&lt;=VLOOKUP(DG412,$DD$5:$DH$9,3,0)),
(DF412*(1-VLOOKUP(DG412,$DD$5:$DH$9,4,0))),
DF412))</f>
        <v>6590</v>
      </c>
      <c r="DP412" s="165" t="s">
        <v>688</v>
      </c>
      <c r="DQ412" s="166">
        <v>0</v>
      </c>
      <c r="DR412" s="522">
        <f t="shared" si="267"/>
        <v>0</v>
      </c>
      <c r="DS412" s="523"/>
      <c r="DT412" s="524">
        <f t="shared" si="268"/>
        <v>0</v>
      </c>
      <c r="DU412" s="166"/>
      <c r="DV412" s="738" t="s">
        <v>5836</v>
      </c>
      <c r="DW412" s="166">
        <v>0</v>
      </c>
      <c r="DX412" s="522">
        <f t="shared" si="269"/>
        <v>0</v>
      </c>
      <c r="DY412" s="523"/>
      <c r="DZ412" s="524">
        <f t="shared" si="270"/>
        <v>0</v>
      </c>
      <c r="EG412" s="165"/>
      <c r="EH412" s="736" t="s">
        <v>3687</v>
      </c>
      <c r="EI412" s="105">
        <v>0</v>
      </c>
      <c r="EJ412" s="536">
        <f t="shared" si="271"/>
        <v>0</v>
      </c>
      <c r="EK412" s="514"/>
      <c r="EL412" s="511">
        <f t="shared" si="272"/>
        <v>0</v>
      </c>
    </row>
    <row r="413" spans="12:142">
      <c r="AY413" s="250" t="s">
        <v>2658</v>
      </c>
      <c r="AZ413" s="137" t="s">
        <v>1723</v>
      </c>
      <c r="BA413" s="138" t="str">
        <f t="shared" si="266"/>
        <v>ДП Міра.1/4.б/з фальц.</v>
      </c>
      <c r="BW413" s="250" t="s">
        <v>2655</v>
      </c>
      <c r="BX413" s="770" t="s">
        <v>3851</v>
      </c>
      <c r="BY413" s="138" t="str">
        <f t="shared" si="273"/>
        <v>ДП Міра.1/1.Графіт</v>
      </c>
      <c r="CA413" s="146" t="s">
        <v>3275</v>
      </c>
      <c r="CB413" s="137" t="s">
        <v>4106</v>
      </c>
      <c r="CC413" s="239" t="str">
        <f>CONCATENATE(CA413,".",CB413)</f>
        <v>ДП ЛАДА D.б/з фальц..робоча..(ні)</v>
      </c>
      <c r="DD413" s="250" t="s">
        <v>2540</v>
      </c>
      <c r="DE413" s="166">
        <v>6590</v>
      </c>
      <c r="DF413" s="528">
        <f t="shared" si="274"/>
        <v>6590</v>
      </c>
      <c r="DG413" s="529"/>
      <c r="DH413" s="530">
        <f t="shared" si="275"/>
        <v>6590</v>
      </c>
      <c r="DP413" s="738" t="s">
        <v>3950</v>
      </c>
      <c r="DQ413" s="166">
        <v>550</v>
      </c>
      <c r="DR413" s="522">
        <f t="shared" si="267"/>
        <v>550</v>
      </c>
      <c r="DS413" s="523"/>
      <c r="DT413" s="524">
        <f t="shared" si="268"/>
        <v>550</v>
      </c>
      <c r="DU413" s="166"/>
      <c r="DV413" s="738" t="s">
        <v>5837</v>
      </c>
      <c r="DW413" s="163">
        <v>0</v>
      </c>
      <c r="DX413" s="528">
        <f>ROUND(((DW413-(DW413/6))/$DD$3)*$DE$3,2)</f>
        <v>0</v>
      </c>
      <c r="DY413" s="529"/>
      <c r="DZ413" s="530">
        <f>IF(DY413="",DX413,
IF(AND($DW$10&gt;=VLOOKUP(DY413,$DV$5:$DZ$9,2,0),$DW$10&lt;=VLOOKUP(DY413,$DV$5:$DZ$9,3,0)),
(DX413*(1-VLOOKUP(DY413,$DV$5:$DZ$9,4,0))),
DX413))</f>
        <v>0</v>
      </c>
      <c r="EG413" s="165"/>
      <c r="EH413" s="736" t="s">
        <v>5170</v>
      </c>
      <c r="EI413" s="105">
        <v>0</v>
      </c>
      <c r="EJ413" s="536">
        <f t="shared" si="271"/>
        <v>0</v>
      </c>
      <c r="EK413" s="514"/>
      <c r="EL413" s="511">
        <f t="shared" si="272"/>
        <v>0</v>
      </c>
    </row>
    <row r="414" spans="12:142">
      <c r="AY414" s="249" t="s">
        <v>2658</v>
      </c>
      <c r="AZ414" s="62" t="s">
        <v>1724</v>
      </c>
      <c r="BA414" s="139" t="str">
        <f t="shared" si="266"/>
        <v>ДП Міра.1/4.купе.</v>
      </c>
      <c r="BW414" s="249" t="s">
        <v>2655</v>
      </c>
      <c r="BX414" s="248" t="s">
        <v>832</v>
      </c>
      <c r="BY414" s="139" t="str">
        <f t="shared" si="273"/>
        <v>ДП Міра.1/1.Бронза</v>
      </c>
      <c r="CA414" s="146" t="s">
        <v>3275</v>
      </c>
      <c r="CB414" s="97"/>
      <c r="CC414" s="97"/>
      <c r="DD414" s="250" t="s">
        <v>2541</v>
      </c>
      <c r="DE414" s="166">
        <v>6590</v>
      </c>
      <c r="DF414" s="528">
        <f t="shared" si="274"/>
        <v>6590</v>
      </c>
      <c r="DG414" s="529"/>
      <c r="DH414" s="530">
        <f t="shared" si="275"/>
        <v>6590</v>
      </c>
      <c r="DP414" s="108" t="s">
        <v>588</v>
      </c>
      <c r="DQ414" s="164">
        <v>550</v>
      </c>
      <c r="DR414" s="531">
        <f t="shared" si="267"/>
        <v>550</v>
      </c>
      <c r="DS414" s="526"/>
      <c r="DT414" s="527">
        <f t="shared" si="268"/>
        <v>550</v>
      </c>
      <c r="DU414" s="166"/>
      <c r="DV414" s="738" t="s">
        <v>4585</v>
      </c>
      <c r="DW414" s="166">
        <v>550</v>
      </c>
      <c r="DX414" s="522">
        <f t="shared" si="269"/>
        <v>550</v>
      </c>
      <c r="DY414" s="523"/>
      <c r="DZ414" s="524">
        <f t="shared" si="270"/>
        <v>550</v>
      </c>
      <c r="EG414" s="165"/>
      <c r="EH414" s="736" t="s">
        <v>3688</v>
      </c>
      <c r="EI414" s="105">
        <v>0</v>
      </c>
      <c r="EJ414" s="536">
        <f>ROUND(((EI414-(EI414/6))/$DD$3)*$DE$3,2)</f>
        <v>0</v>
      </c>
      <c r="EK414" s="514"/>
      <c r="EL414" s="511">
        <f>IF(EK414="",EJ414,
IF(AND($EI$10&gt;=VLOOKUP(EK414,$EH$5:$EL$9,2,0),$EI$10&lt;=VLOOKUP(EK414,$EH$5:$EL$9,3,0)),
(EJ414*(1-VLOOKUP(EK414,$EH$5:$EL$9,4,0))),
EJ414))</f>
        <v>0</v>
      </c>
    </row>
    <row r="415" spans="12:142">
      <c r="AY415" s="250" t="s">
        <v>2659</v>
      </c>
      <c r="AZ415" s="137" t="s">
        <v>1722</v>
      </c>
      <c r="BA415" s="138" t="str">
        <f t="shared" si="266"/>
        <v>ДП Міра.1/5.фальц.</v>
      </c>
      <c r="BW415" s="249" t="s">
        <v>2655</v>
      </c>
      <c r="BX415" s="248" t="s">
        <v>6046</v>
      </c>
      <c r="BY415" s="139" t="str">
        <f>CONCATENATE(BW415,".",BX415)</f>
        <v>ДП Міра.1/1.Лакобель</v>
      </c>
      <c r="CA415" s="146" t="s">
        <v>3275</v>
      </c>
      <c r="CB415" s="478" t="s">
        <v>4337</v>
      </c>
      <c r="CC415" s="239" t="str">
        <f>CONCATENATE(CA415,".",CB415)</f>
        <v>ДП ЛАДА D.б/з фальц..робоча..Magnet цл б/з завіс.</v>
      </c>
      <c r="DD415" s="250" t="s">
        <v>2542</v>
      </c>
      <c r="DE415" s="166">
        <v>6590</v>
      </c>
      <c r="DF415" s="528">
        <f t="shared" si="274"/>
        <v>6590</v>
      </c>
      <c r="DG415" s="529"/>
      <c r="DH415" s="530">
        <f t="shared" si="275"/>
        <v>6590</v>
      </c>
      <c r="DP415" s="165" t="s">
        <v>811</v>
      </c>
      <c r="DQ415" s="166">
        <v>0</v>
      </c>
      <c r="DR415" s="522">
        <f t="shared" si="267"/>
        <v>0</v>
      </c>
      <c r="DS415" s="523"/>
      <c r="DT415" s="524">
        <f t="shared" si="268"/>
        <v>0</v>
      </c>
      <c r="DU415" s="166"/>
      <c r="DV415" s="738" t="s">
        <v>4586</v>
      </c>
      <c r="DW415" s="166">
        <v>550</v>
      </c>
      <c r="DX415" s="522">
        <f t="shared" si="269"/>
        <v>550</v>
      </c>
      <c r="DY415" s="523"/>
      <c r="DZ415" s="524">
        <f t="shared" si="270"/>
        <v>550</v>
      </c>
      <c r="EG415" s="165"/>
      <c r="EH415" s="256"/>
      <c r="EI415" s="257"/>
      <c r="EJ415" s="517"/>
      <c r="EK415" s="532"/>
      <c r="EL415" s="259"/>
    </row>
    <row r="416" spans="12:142">
      <c r="AY416" s="250" t="s">
        <v>2659</v>
      </c>
      <c r="AZ416" s="137" t="s">
        <v>1723</v>
      </c>
      <c r="BA416" s="138" t="str">
        <f t="shared" si="266"/>
        <v>ДП Міра.1/5.б/з фальц.</v>
      </c>
      <c r="BW416" s="251" t="s">
        <v>2656</v>
      </c>
      <c r="BX416" s="246" t="s">
        <v>458</v>
      </c>
      <c r="BY416" s="135" t="str">
        <f t="shared" si="273"/>
        <v>ДП Міра.1/2.Сатин</v>
      </c>
      <c r="CA416" s="146" t="s">
        <v>3275</v>
      </c>
      <c r="CB416" s="478" t="s">
        <v>4339</v>
      </c>
      <c r="CC416" s="239" t="str">
        <f>CONCATENATE(CA416,".",CB416)</f>
        <v>ДП ЛАДА D.б/з фальц..робоча..Magnet ст б/з завіс.</v>
      </c>
      <c r="DD416" s="250" t="s">
        <v>2543</v>
      </c>
      <c r="DE416" s="166">
        <v>6590</v>
      </c>
      <c r="DF416" s="528">
        <f t="shared" si="274"/>
        <v>6590</v>
      </c>
      <c r="DG416" s="529"/>
      <c r="DH416" s="530">
        <f t="shared" si="275"/>
        <v>6590</v>
      </c>
      <c r="DP416" s="738" t="s">
        <v>3951</v>
      </c>
      <c r="DQ416" s="166">
        <v>550</v>
      </c>
      <c r="DR416" s="522">
        <f t="shared" si="267"/>
        <v>550</v>
      </c>
      <c r="DS416" s="523"/>
      <c r="DT416" s="524">
        <f t="shared" si="268"/>
        <v>550</v>
      </c>
      <c r="DU416" s="166"/>
      <c r="DV416" s="738" t="s">
        <v>4587</v>
      </c>
      <c r="DW416" s="166">
        <v>800</v>
      </c>
      <c r="DX416" s="522">
        <f>ROUND(((DW416-(DW416/6))/$DD$3)*$DE$3,2)</f>
        <v>800</v>
      </c>
      <c r="DY416" s="523"/>
      <c r="DZ416" s="524">
        <f>IF(DY416="",DX416,
IF(AND($DW$10&gt;=VLOOKUP(DY416,$DV$5:$DZ$9,2,0),$DW$10&lt;=VLOOKUP(DY416,$DV$5:$DZ$9,3,0)),
(DX416*(1-VLOOKUP(DY416,$DV$5:$DZ$9,4,0))),
DX416))</f>
        <v>800</v>
      </c>
      <c r="EG416" s="165"/>
      <c r="EH416" s="736" t="s">
        <v>4991</v>
      </c>
      <c r="EI416" s="105">
        <v>0</v>
      </c>
      <c r="EJ416" s="536">
        <f t="shared" ref="EJ416:EJ425" si="276">ROUND(((EI416-(EI416/6))/$DD$3)*$DE$3,2)</f>
        <v>0</v>
      </c>
      <c r="EK416" s="514"/>
      <c r="EL416" s="511">
        <f t="shared" ref="EL416:EL431" si="277">IF(EK416="",EJ416,
IF(AND($EI$10&gt;=VLOOKUP(EK416,$EH$5:$EL$9,2,0),$EI$10&lt;=VLOOKUP(EK416,$EH$5:$EL$9,3,0)),
(EJ416*(1-VLOOKUP(EK416,$EH$5:$EL$9,4,0))),
EJ416))</f>
        <v>0</v>
      </c>
    </row>
    <row r="417" spans="51:142">
      <c r="AY417" s="249" t="s">
        <v>2659</v>
      </c>
      <c r="AZ417" s="62" t="s">
        <v>1724</v>
      </c>
      <c r="BA417" s="139" t="str">
        <f t="shared" si="266"/>
        <v>ДП Міра.1/5.купе.</v>
      </c>
      <c r="BW417" s="250" t="s">
        <v>2656</v>
      </c>
      <c r="BX417" s="770" t="s">
        <v>3851</v>
      </c>
      <c r="BY417" s="138" t="str">
        <f t="shared" si="273"/>
        <v>ДП Міра.1/2.Графіт</v>
      </c>
      <c r="CA417" s="146" t="s">
        <v>3275</v>
      </c>
      <c r="CB417" s="97"/>
      <c r="CC417" s="97"/>
      <c r="DD417" s="250" t="s">
        <v>2544</v>
      </c>
      <c r="DE417" s="166">
        <v>6590</v>
      </c>
      <c r="DF417" s="528">
        <f t="shared" si="274"/>
        <v>6590</v>
      </c>
      <c r="DG417" s="529"/>
      <c r="DH417" s="530">
        <f t="shared" si="275"/>
        <v>6590</v>
      </c>
      <c r="DP417" s="108" t="s">
        <v>589</v>
      </c>
      <c r="DQ417" s="164">
        <v>550</v>
      </c>
      <c r="DR417" s="531">
        <f t="shared" si="267"/>
        <v>550</v>
      </c>
      <c r="DS417" s="526"/>
      <c r="DT417" s="527">
        <f t="shared" si="268"/>
        <v>550</v>
      </c>
      <c r="DU417" s="166"/>
      <c r="DV417" s="739" t="s">
        <v>4588</v>
      </c>
      <c r="DW417" s="164">
        <v>800</v>
      </c>
      <c r="DX417" s="525">
        <f>ROUND(((DW417-(DW417/6))/$DD$3)*$DE$3,2)</f>
        <v>800</v>
      </c>
      <c r="DY417" s="526"/>
      <c r="DZ417" s="527">
        <f>IF(DY417="",DX417,
IF(AND($DW$10&gt;=VLOOKUP(DY417,$DV$5:$DZ$9,2,0),$DW$10&lt;=VLOOKUP(DY417,$DV$5:$DZ$9,3,0)),
(DX417*(1-VLOOKUP(DY417,$DV$5:$DZ$9,4,0))),
DX417))</f>
        <v>800</v>
      </c>
      <c r="EG417" s="165"/>
      <c r="EH417" s="736" t="s">
        <v>3689</v>
      </c>
      <c r="EI417" s="105">
        <v>0</v>
      </c>
      <c r="EJ417" s="536">
        <f t="shared" si="276"/>
        <v>0</v>
      </c>
      <c r="EK417" s="514"/>
      <c r="EL417" s="511">
        <f t="shared" si="277"/>
        <v>0</v>
      </c>
    </row>
    <row r="418" spans="51:142">
      <c r="AY418" s="250" t="s">
        <v>2660</v>
      </c>
      <c r="AZ418" s="137" t="s">
        <v>1722</v>
      </c>
      <c r="BA418" s="138" t="str">
        <f t="shared" si="266"/>
        <v>ДП Міра.1/6.фальц.</v>
      </c>
      <c r="BW418" s="249" t="s">
        <v>2656</v>
      </c>
      <c r="BX418" s="248" t="s">
        <v>832</v>
      </c>
      <c r="BY418" s="139" t="str">
        <f t="shared" si="273"/>
        <v>ДП Міра.1/2.Бронза</v>
      </c>
      <c r="CA418" s="146" t="s">
        <v>3275</v>
      </c>
      <c r="CB418" s="478" t="s">
        <v>4343</v>
      </c>
      <c r="CC418" s="239" t="str">
        <f>CONCATENATE(CA418,".",CB418)</f>
        <v>ДП ЛАДА D.б/з фальц..робоча..Magnet цл +2завіс 3D</v>
      </c>
      <c r="DD418" s="250" t="s">
        <v>2545</v>
      </c>
      <c r="DE418" s="166">
        <v>6590</v>
      </c>
      <c r="DF418" s="528">
        <f t="shared" si="274"/>
        <v>6590</v>
      </c>
      <c r="DG418" s="529"/>
      <c r="DH418" s="530">
        <f t="shared" si="275"/>
        <v>6590</v>
      </c>
      <c r="DP418" s="108" t="s">
        <v>6075</v>
      </c>
      <c r="DQ418" s="164">
        <v>550</v>
      </c>
      <c r="DR418" s="531">
        <f>ROUND(((DQ418-(DQ418/6))/$DD$3)*$DE$3,2)</f>
        <v>550</v>
      </c>
      <c r="DS418" s="526"/>
      <c r="DT418" s="527">
        <f>IF(DS418="",DR418,
IF(AND($DQ$10&gt;=VLOOKUP(DS418,$DP$5:$DT$9,2,0),$DQ$10&lt;=VLOOKUP(DS418,$DP$5:$DT$9,3,0)),
(DR418*(1-VLOOKUP(DS418,$DP$5:$DT$9,4,0))),
DR418))</f>
        <v>550</v>
      </c>
      <c r="DU418" s="166"/>
      <c r="DV418" s="738" t="s">
        <v>6297</v>
      </c>
      <c r="DW418" s="166">
        <v>1</v>
      </c>
      <c r="DX418" s="522">
        <f t="shared" si="269"/>
        <v>1</v>
      </c>
      <c r="DY418" s="523"/>
      <c r="DZ418" s="524">
        <f t="shared" si="270"/>
        <v>1</v>
      </c>
      <c r="EG418" s="165"/>
      <c r="EH418" s="736" t="s">
        <v>3690</v>
      </c>
      <c r="EI418" s="105">
        <v>0</v>
      </c>
      <c r="EJ418" s="536">
        <f>ROUND(((EI418-(EI418/6))/$DD$3)*$DE$3,2)</f>
        <v>0</v>
      </c>
      <c r="EK418" s="514"/>
      <c r="EL418" s="511">
        <f>IF(EK418="",EJ418,
IF(AND($EI$10&gt;=VLOOKUP(EK418,$EH$5:$EL$9,2,0),$EI$10&lt;=VLOOKUP(EK418,$EH$5:$EL$9,3,0)),
(EJ418*(1-VLOOKUP(EK418,$EH$5:$EL$9,4,0))),
EJ418))</f>
        <v>0</v>
      </c>
    </row>
    <row r="419" spans="51:142">
      <c r="AY419" s="250" t="s">
        <v>2660</v>
      </c>
      <c r="AZ419" s="137" t="s">
        <v>1723</v>
      </c>
      <c r="BA419" s="138" t="str">
        <f t="shared" si="266"/>
        <v>ДП Міра.1/6.б/з фальц.</v>
      </c>
      <c r="BW419" s="249" t="s">
        <v>2656</v>
      </c>
      <c r="BX419" s="248" t="s">
        <v>6046</v>
      </c>
      <c r="BY419" s="139" t="str">
        <f>CONCATENATE(BW419,".",BX419)</f>
        <v>ДП Міра.1/2.Лакобель</v>
      </c>
      <c r="CA419" s="146" t="s">
        <v>3275</v>
      </c>
      <c r="CB419" s="478" t="s">
        <v>4347</v>
      </c>
      <c r="CC419" s="239" t="str">
        <f>CONCATENATE(CA419,".",CB419)</f>
        <v>ДП ЛАДА D.б/з фальц..робоча..Magnet ст +2завіс 3D</v>
      </c>
      <c r="DD419" s="250" t="s">
        <v>2546</v>
      </c>
      <c r="DE419" s="166">
        <v>6590</v>
      </c>
      <c r="DF419" s="528">
        <f t="shared" si="274"/>
        <v>6590</v>
      </c>
      <c r="DG419" s="529"/>
      <c r="DH419" s="530">
        <f t="shared" si="275"/>
        <v>6590</v>
      </c>
      <c r="DP419" s="165" t="s">
        <v>812</v>
      </c>
      <c r="DQ419" s="166">
        <v>0</v>
      </c>
      <c r="DR419" s="522">
        <f t="shared" si="267"/>
        <v>0</v>
      </c>
      <c r="DS419" s="523"/>
      <c r="DT419" s="524">
        <f t="shared" si="268"/>
        <v>0</v>
      </c>
      <c r="DU419" s="166"/>
      <c r="DV419" s="739" t="s">
        <v>6298</v>
      </c>
      <c r="DW419" s="164">
        <v>1</v>
      </c>
      <c r="DX419" s="525">
        <f t="shared" si="269"/>
        <v>1</v>
      </c>
      <c r="DY419" s="526"/>
      <c r="DZ419" s="527">
        <f t="shared" si="270"/>
        <v>1</v>
      </c>
      <c r="EG419" s="165"/>
      <c r="EH419" s="736" t="s">
        <v>3691</v>
      </c>
      <c r="EI419" s="105">
        <v>0</v>
      </c>
      <c r="EJ419" s="536">
        <f>ROUND(((EI419-(EI419/6))/$DD$3)*$DE$3,2)</f>
        <v>0</v>
      </c>
      <c r="EK419" s="514"/>
      <c r="EL419" s="511">
        <f>IF(EK419="",EJ419,
IF(AND($EI$10&gt;=VLOOKUP(EK419,$EH$5:$EL$9,2,0),$EI$10&lt;=VLOOKUP(EK419,$EH$5:$EL$9,3,0)),
(EJ419*(1-VLOOKUP(EK419,$EH$5:$EL$9,4,0))),
EJ419))</f>
        <v>0</v>
      </c>
    </row>
    <row r="420" spans="51:142">
      <c r="AY420" s="249" t="s">
        <v>2660</v>
      </c>
      <c r="AZ420" s="62" t="s">
        <v>1724</v>
      </c>
      <c r="BA420" s="139" t="str">
        <f t="shared" si="266"/>
        <v>ДП Міра.1/6.купе.</v>
      </c>
      <c r="BW420" s="251" t="s">
        <v>2657</v>
      </c>
      <c r="BX420" s="246" t="s">
        <v>458</v>
      </c>
      <c r="BY420" s="135" t="str">
        <f t="shared" si="273"/>
        <v>ДП Міра.1/3.Сатин</v>
      </c>
      <c r="CA420" s="146" t="s">
        <v>3275</v>
      </c>
      <c r="CB420" s="97"/>
      <c r="CC420" s="97"/>
      <c r="DD420" s="250" t="s">
        <v>2547</v>
      </c>
      <c r="DE420" s="166">
        <v>6590</v>
      </c>
      <c r="DF420" s="528">
        <f t="shared" si="274"/>
        <v>6590</v>
      </c>
      <c r="DG420" s="529"/>
      <c r="DH420" s="530">
        <f t="shared" si="275"/>
        <v>6590</v>
      </c>
      <c r="DP420" s="738" t="s">
        <v>3952</v>
      </c>
      <c r="DQ420" s="166">
        <v>550</v>
      </c>
      <c r="DR420" s="522">
        <f t="shared" si="267"/>
        <v>550</v>
      </c>
      <c r="DS420" s="523"/>
      <c r="DT420" s="524">
        <f t="shared" si="268"/>
        <v>550</v>
      </c>
      <c r="DU420" s="166"/>
      <c r="DV420" s="737" t="s">
        <v>4589</v>
      </c>
      <c r="DW420" s="163">
        <v>0</v>
      </c>
      <c r="DX420" s="528">
        <f t="shared" si="269"/>
        <v>0</v>
      </c>
      <c r="DY420" s="529"/>
      <c r="DZ420" s="530">
        <f t="shared" si="270"/>
        <v>0</v>
      </c>
      <c r="EG420" s="165"/>
      <c r="EH420" s="736" t="s">
        <v>3692</v>
      </c>
      <c r="EI420" s="105">
        <v>0</v>
      </c>
      <c r="EJ420" s="536">
        <f t="shared" si="276"/>
        <v>0</v>
      </c>
      <c r="EK420" s="514"/>
      <c r="EL420" s="511">
        <f t="shared" si="277"/>
        <v>0</v>
      </c>
    </row>
    <row r="421" spans="51:142">
      <c r="AY421" s="250" t="s">
        <v>2661</v>
      </c>
      <c r="AZ421" s="137" t="s">
        <v>1722</v>
      </c>
      <c r="BA421" s="138" t="str">
        <f t="shared" si="266"/>
        <v>ДП Міра.2/1.фальц.</v>
      </c>
      <c r="BW421" s="250" t="s">
        <v>2657</v>
      </c>
      <c r="BX421" s="770" t="s">
        <v>3851</v>
      </c>
      <c r="BY421" s="138" t="str">
        <f t="shared" si="273"/>
        <v>ДП Міра.1/3.Графіт</v>
      </c>
      <c r="CA421" s="146" t="s">
        <v>3275</v>
      </c>
      <c r="CB421" s="478" t="s">
        <v>4349</v>
      </c>
      <c r="CC421" s="239" t="str">
        <f>CONCATENATE(CA421,".",CB421)</f>
        <v>ДП ЛАДА D.б/з фальц..робоча..Magnet цл +3завіс 3D</v>
      </c>
      <c r="DD421" s="250" t="s">
        <v>2548</v>
      </c>
      <c r="DE421" s="166">
        <v>6590</v>
      </c>
      <c r="DF421" s="528">
        <f t="shared" si="274"/>
        <v>6590</v>
      </c>
      <c r="DG421" s="529"/>
      <c r="DH421" s="530">
        <f t="shared" si="275"/>
        <v>6590</v>
      </c>
      <c r="DP421" s="108" t="s">
        <v>68</v>
      </c>
      <c r="DQ421" s="164">
        <v>550</v>
      </c>
      <c r="DR421" s="531">
        <f t="shared" si="267"/>
        <v>550</v>
      </c>
      <c r="DS421" s="526"/>
      <c r="DT421" s="527">
        <f t="shared" si="268"/>
        <v>550</v>
      </c>
      <c r="DU421" s="166"/>
      <c r="DV421" s="738" t="s">
        <v>4590</v>
      </c>
      <c r="DW421" s="166">
        <v>0</v>
      </c>
      <c r="DX421" s="522">
        <f t="shared" si="269"/>
        <v>0</v>
      </c>
      <c r="DY421" s="523"/>
      <c r="DZ421" s="524">
        <f t="shared" si="270"/>
        <v>0</v>
      </c>
      <c r="EG421" s="165"/>
      <c r="EH421" s="736" t="s">
        <v>3693</v>
      </c>
      <c r="EI421" s="105">
        <v>0</v>
      </c>
      <c r="EJ421" s="536">
        <f t="shared" si="276"/>
        <v>0</v>
      </c>
      <c r="EK421" s="514"/>
      <c r="EL421" s="511">
        <f t="shared" si="277"/>
        <v>0</v>
      </c>
    </row>
    <row r="422" spans="51:142">
      <c r="AY422" s="250" t="s">
        <v>2661</v>
      </c>
      <c r="AZ422" s="137" t="s">
        <v>1723</v>
      </c>
      <c r="BA422" s="138" t="str">
        <f t="shared" si="266"/>
        <v>ДП Міра.2/1.б/з фальц.</v>
      </c>
      <c r="BW422" s="249" t="s">
        <v>2657</v>
      </c>
      <c r="BX422" s="248" t="s">
        <v>832</v>
      </c>
      <c r="BY422" s="139" t="str">
        <f t="shared" si="273"/>
        <v>ДП Міра.1/3.Бронза</v>
      </c>
      <c r="CA422" s="147" t="s">
        <v>3275</v>
      </c>
      <c r="CB422" s="590" t="s">
        <v>4350</v>
      </c>
      <c r="CC422" s="240" t="str">
        <f>CONCATENATE(CA422,".",CB422)</f>
        <v>ДП ЛАДА D.б/з фальц..робоча..Magnet ст +3завіс 3D</v>
      </c>
      <c r="DD422" s="250" t="s">
        <v>2549</v>
      </c>
      <c r="DE422" s="166">
        <v>6590</v>
      </c>
      <c r="DF422" s="528">
        <f t="shared" si="274"/>
        <v>6590</v>
      </c>
      <c r="DG422" s="529"/>
      <c r="DH422" s="530">
        <f t="shared" si="275"/>
        <v>6590</v>
      </c>
      <c r="DP422" s="738" t="s">
        <v>4224</v>
      </c>
      <c r="DQ422" s="166">
        <v>0</v>
      </c>
      <c r="DR422" s="522">
        <f t="shared" si="267"/>
        <v>0</v>
      </c>
      <c r="DS422" s="523"/>
      <c r="DT422" s="524">
        <f t="shared" si="268"/>
        <v>0</v>
      </c>
      <c r="DU422" s="166"/>
      <c r="DV422" s="739" t="s">
        <v>4591</v>
      </c>
      <c r="DW422" s="164">
        <v>0</v>
      </c>
      <c r="DX422" s="531">
        <f>ROUND(((DW422-(DW422/6))/$DD$3)*$DE$3,2)</f>
        <v>0</v>
      </c>
      <c r="DY422" s="526"/>
      <c r="DZ422" s="527">
        <f>IF(DY422="",DX422,
IF(AND($DW$10&gt;=VLOOKUP(DY422,$DV$5:$DZ$9,2,0),$DW$10&lt;=VLOOKUP(DY422,$DV$5:$DZ$9,3,0)),
(DX422*(1-VLOOKUP(DY422,$DV$5:$DZ$9,4,0))),
DX422))</f>
        <v>0</v>
      </c>
      <c r="EG422" s="165"/>
      <c r="EH422" s="736" t="s">
        <v>5171</v>
      </c>
      <c r="EI422" s="105">
        <v>0</v>
      </c>
      <c r="EJ422" s="536">
        <f>ROUND(((EI422-(EI422/6))/$DD$3)*$DE$3,2)</f>
        <v>0</v>
      </c>
      <c r="EK422" s="514"/>
      <c r="EL422" s="511">
        <f>IF(EK422="",EJ422,
IF(AND($EI$10&gt;=VLOOKUP(EK422,$EH$5:$EL$9,2,0),$EI$10&lt;=VLOOKUP(EK422,$EH$5:$EL$9,3,0)),
(EJ422*(1-VLOOKUP(EK422,$EH$5:$EL$9,4,0))),
EJ422))</f>
        <v>0</v>
      </c>
    </row>
    <row r="423" spans="51:142">
      <c r="AY423" s="249" t="s">
        <v>2661</v>
      </c>
      <c r="AZ423" s="62" t="s">
        <v>1724</v>
      </c>
      <c r="BA423" s="139" t="str">
        <f t="shared" si="266"/>
        <v>ДП Міра.2/1.купе.</v>
      </c>
      <c r="BW423" s="249" t="s">
        <v>2657</v>
      </c>
      <c r="BX423" s="248" t="s">
        <v>6046</v>
      </c>
      <c r="BY423" s="139" t="str">
        <f>CONCATENATE(BW423,".",BX423)</f>
        <v>ДП Міра.1/3.Лакобель</v>
      </c>
      <c r="CA423" s="145" t="s">
        <v>3276</v>
      </c>
      <c r="CB423" s="134" t="s">
        <v>4106</v>
      </c>
      <c r="CC423" s="135" t="str">
        <f>CONCATENATE(CA423,".",CB423)</f>
        <v>ДП ЛАДА D.купе..робоча..(ні)</v>
      </c>
      <c r="DD423" s="249" t="s">
        <v>2550</v>
      </c>
      <c r="DE423" s="164">
        <v>6590</v>
      </c>
      <c r="DF423" s="528">
        <f t="shared" si="274"/>
        <v>6590</v>
      </c>
      <c r="DG423" s="529"/>
      <c r="DH423" s="530">
        <f t="shared" si="275"/>
        <v>6590</v>
      </c>
      <c r="DP423" s="738" t="s">
        <v>3953</v>
      </c>
      <c r="DQ423" s="166">
        <v>550</v>
      </c>
      <c r="DR423" s="522">
        <f t="shared" si="267"/>
        <v>550</v>
      </c>
      <c r="DS423" s="523"/>
      <c r="DT423" s="524">
        <f t="shared" si="268"/>
        <v>550</v>
      </c>
      <c r="DU423" s="166"/>
      <c r="DV423" s="739" t="s">
        <v>6299</v>
      </c>
      <c r="DW423" s="164">
        <v>0</v>
      </c>
      <c r="DX423" s="531">
        <f t="shared" si="269"/>
        <v>0</v>
      </c>
      <c r="DY423" s="526"/>
      <c r="DZ423" s="527">
        <f t="shared" si="270"/>
        <v>0</v>
      </c>
      <c r="EG423" s="165"/>
      <c r="EH423" s="736" t="s">
        <v>3694</v>
      </c>
      <c r="EI423" s="105">
        <v>0</v>
      </c>
      <c r="EJ423" s="536">
        <f t="shared" si="276"/>
        <v>0</v>
      </c>
      <c r="EK423" s="514"/>
      <c r="EL423" s="511">
        <f t="shared" si="277"/>
        <v>0</v>
      </c>
    </row>
    <row r="424" spans="51:142">
      <c r="AY424" s="250" t="s">
        <v>2662</v>
      </c>
      <c r="AZ424" s="137" t="s">
        <v>1722</v>
      </c>
      <c r="BA424" s="138" t="str">
        <f t="shared" si="266"/>
        <v>ДП Міра.2/2.фальц.</v>
      </c>
      <c r="BW424" s="251" t="s">
        <v>2658</v>
      </c>
      <c r="BX424" s="246" t="s">
        <v>458</v>
      </c>
      <c r="BY424" s="135" t="str">
        <f t="shared" si="273"/>
        <v>ДП Міра.1/4.Сатин</v>
      </c>
      <c r="CA424" s="146" t="s">
        <v>3276</v>
      </c>
      <c r="CB424" s="21"/>
      <c r="CC424" s="21"/>
      <c r="DD424" s="250" t="s">
        <v>2551</v>
      </c>
      <c r="DE424" s="166">
        <v>7500</v>
      </c>
      <c r="DF424" s="528">
        <f t="shared" si="274"/>
        <v>7500</v>
      </c>
      <c r="DG424" s="529"/>
      <c r="DH424" s="530">
        <f t="shared" si="275"/>
        <v>7500</v>
      </c>
      <c r="DP424" s="108" t="s">
        <v>69</v>
      </c>
      <c r="DQ424" s="164">
        <v>550</v>
      </c>
      <c r="DR424" s="531">
        <f t="shared" si="267"/>
        <v>550</v>
      </c>
      <c r="DS424" s="526"/>
      <c r="DT424" s="527">
        <f t="shared" si="268"/>
        <v>550</v>
      </c>
      <c r="DU424" s="166"/>
      <c r="DV424" s="738" t="s">
        <v>4592</v>
      </c>
      <c r="DW424" s="166">
        <v>800</v>
      </c>
      <c r="DX424" s="522">
        <f t="shared" ref="DX424:DX429" si="278">ROUND(((DW424-(DW424/6))/$DD$3)*$DE$3,2)</f>
        <v>800</v>
      </c>
      <c r="DY424" s="523"/>
      <c r="DZ424" s="524">
        <f t="shared" ref="DZ424:DZ429" si="279">IF(DY424="",DX424,
IF(AND($DW$10&gt;=VLOOKUP(DY424,$DV$5:$DZ$9,2,0),$DW$10&lt;=VLOOKUP(DY424,$DV$5:$DZ$9,3,0)),
(DX424*(1-VLOOKUP(DY424,$DV$5:$DZ$9,4,0))),
DX424))</f>
        <v>800</v>
      </c>
      <c r="EG424" s="165"/>
      <c r="EH424" s="256"/>
      <c r="EI424" s="257"/>
      <c r="EJ424" s="517"/>
      <c r="EK424" s="532"/>
      <c r="EL424" s="259"/>
    </row>
    <row r="425" spans="51:142">
      <c r="AY425" s="250" t="s">
        <v>2662</v>
      </c>
      <c r="AZ425" s="137" t="s">
        <v>1723</v>
      </c>
      <c r="BA425" s="138" t="str">
        <f t="shared" si="266"/>
        <v>ДП Міра.2/2.б/з фальц.</v>
      </c>
      <c r="BW425" s="250" t="s">
        <v>2658</v>
      </c>
      <c r="BX425" s="770" t="s">
        <v>3851</v>
      </c>
      <c r="BY425" s="138" t="str">
        <f t="shared" si="273"/>
        <v>ДП Міра.1/4.Графіт</v>
      </c>
      <c r="CA425" s="146" t="s">
        <v>3276</v>
      </c>
      <c r="CB425" s="137" t="s">
        <v>462</v>
      </c>
      <c r="CC425" s="138" t="str">
        <f>CONCATENATE(CA425,".",CB425)</f>
        <v>ДП ЛАДА D.купе..робоча..Ручка-Захват</v>
      </c>
      <c r="DD425" s="250" t="s">
        <v>2552</v>
      </c>
      <c r="DE425" s="166">
        <v>7500</v>
      </c>
      <c r="DF425" s="528">
        <f t="shared" si="274"/>
        <v>7500</v>
      </c>
      <c r="DG425" s="529"/>
      <c r="DH425" s="530">
        <f t="shared" si="275"/>
        <v>7500</v>
      </c>
      <c r="DP425" s="738" t="s">
        <v>4225</v>
      </c>
      <c r="DQ425" s="166">
        <v>0</v>
      </c>
      <c r="DR425" s="522">
        <f t="shared" si="267"/>
        <v>0</v>
      </c>
      <c r="DS425" s="523"/>
      <c r="DT425" s="524">
        <f t="shared" si="268"/>
        <v>0</v>
      </c>
      <c r="DU425" s="166"/>
      <c r="DV425" s="738" t="s">
        <v>4593</v>
      </c>
      <c r="DW425" s="166">
        <v>800</v>
      </c>
      <c r="DX425" s="522">
        <f t="shared" si="278"/>
        <v>800</v>
      </c>
      <c r="DY425" s="523"/>
      <c r="DZ425" s="524">
        <f t="shared" si="279"/>
        <v>800</v>
      </c>
      <c r="EG425" s="165"/>
      <c r="EH425" s="736" t="s">
        <v>4992</v>
      </c>
      <c r="EI425" s="105">
        <v>0</v>
      </c>
      <c r="EJ425" s="536">
        <f t="shared" si="276"/>
        <v>0</v>
      </c>
      <c r="EK425" s="514"/>
      <c r="EL425" s="511">
        <f t="shared" si="277"/>
        <v>0</v>
      </c>
    </row>
    <row r="426" spans="51:142">
      <c r="AY426" s="249" t="s">
        <v>2662</v>
      </c>
      <c r="AZ426" s="62" t="s">
        <v>1724</v>
      </c>
      <c r="BA426" s="139" t="str">
        <f t="shared" si="266"/>
        <v>ДП Міра.2/2.купе.</v>
      </c>
      <c r="BW426" s="249" t="s">
        <v>2658</v>
      </c>
      <c r="BX426" s="248" t="s">
        <v>832</v>
      </c>
      <c r="BY426" s="139" t="str">
        <f t="shared" si="273"/>
        <v>ДП Міра.1/4.Бронза</v>
      </c>
      <c r="CA426" s="146" t="s">
        <v>3276</v>
      </c>
      <c r="CB426" s="137" t="s">
        <v>684</v>
      </c>
      <c r="CC426" s="138" t="str">
        <f>CONCATENATE(CA426,".",CB426)</f>
        <v>ДП ЛАДА D.купе..робоча..Ручка-Замок</v>
      </c>
      <c r="DD426" s="250" t="s">
        <v>2553</v>
      </c>
      <c r="DE426" s="166">
        <v>7500</v>
      </c>
      <c r="DF426" s="528">
        <f t="shared" si="274"/>
        <v>7500</v>
      </c>
      <c r="DG426" s="529"/>
      <c r="DH426" s="530">
        <f t="shared" si="275"/>
        <v>7500</v>
      </c>
      <c r="DP426" s="738" t="s">
        <v>3954</v>
      </c>
      <c r="DQ426" s="166">
        <v>550</v>
      </c>
      <c r="DR426" s="522">
        <f t="shared" si="267"/>
        <v>550</v>
      </c>
      <c r="DS426" s="523"/>
      <c r="DT426" s="524">
        <f t="shared" si="268"/>
        <v>550</v>
      </c>
      <c r="DU426" s="166"/>
      <c r="DV426" s="738" t="s">
        <v>4594</v>
      </c>
      <c r="DW426" s="166">
        <v>800</v>
      </c>
      <c r="DX426" s="522">
        <f t="shared" si="278"/>
        <v>800</v>
      </c>
      <c r="DY426" s="523"/>
      <c r="DZ426" s="524">
        <f t="shared" si="279"/>
        <v>800</v>
      </c>
      <c r="EG426" s="165"/>
      <c r="EH426" s="736" t="s">
        <v>3695</v>
      </c>
      <c r="EI426" s="105">
        <v>0</v>
      </c>
      <c r="EJ426" s="536">
        <f t="shared" ref="EJ426:EJ453" si="280">ROUND(((EI426-(EI426/6))/$DD$3)*$DE$3,2)</f>
        <v>0</v>
      </c>
      <c r="EK426" s="514"/>
      <c r="EL426" s="511">
        <f t="shared" si="277"/>
        <v>0</v>
      </c>
    </row>
    <row r="427" spans="51:142">
      <c r="AY427" s="250" t="s">
        <v>2663</v>
      </c>
      <c r="AZ427" s="137" t="s">
        <v>1722</v>
      </c>
      <c r="BA427" s="138" t="str">
        <f t="shared" si="266"/>
        <v>ДП Міра.2/3.фальц.</v>
      </c>
      <c r="BW427" s="249" t="s">
        <v>2658</v>
      </c>
      <c r="BX427" s="248" t="s">
        <v>6046</v>
      </c>
      <c r="BY427" s="139" t="str">
        <f>CONCATENATE(BW427,".",BX427)</f>
        <v>ДП Міра.1/4.Лакобель</v>
      </c>
      <c r="CA427" s="432"/>
      <c r="CB427" s="222"/>
      <c r="CC427" s="223"/>
      <c r="DD427" s="250" t="s">
        <v>2554</v>
      </c>
      <c r="DE427" s="166">
        <v>7500</v>
      </c>
      <c r="DF427" s="528">
        <f t="shared" si="274"/>
        <v>7500</v>
      </c>
      <c r="DG427" s="529"/>
      <c r="DH427" s="530">
        <f t="shared" si="275"/>
        <v>7500</v>
      </c>
      <c r="DP427" s="108" t="s">
        <v>572</v>
      </c>
      <c r="DQ427" s="164">
        <v>550</v>
      </c>
      <c r="DR427" s="531">
        <f t="shared" si="267"/>
        <v>550</v>
      </c>
      <c r="DS427" s="526"/>
      <c r="DT427" s="527">
        <f t="shared" si="268"/>
        <v>550</v>
      </c>
      <c r="DU427" s="166"/>
      <c r="DV427" s="738" t="s">
        <v>4595</v>
      </c>
      <c r="DW427" s="166">
        <v>800</v>
      </c>
      <c r="DX427" s="522">
        <f t="shared" si="278"/>
        <v>800</v>
      </c>
      <c r="DY427" s="523"/>
      <c r="DZ427" s="524">
        <f t="shared" si="279"/>
        <v>800</v>
      </c>
      <c r="EG427" s="165"/>
      <c r="EH427" s="736" t="s">
        <v>3696</v>
      </c>
      <c r="EI427" s="105">
        <v>0</v>
      </c>
      <c r="EJ427" s="536">
        <f>ROUND(((EI427-(EI427/6))/$DD$3)*$DE$3,2)</f>
        <v>0</v>
      </c>
      <c r="EK427" s="514"/>
      <c r="EL427" s="511">
        <f>IF(EK427="",EJ427,
IF(AND($EI$10&gt;=VLOOKUP(EK427,$EH$5:$EL$9,2,0),$EI$10&lt;=VLOOKUP(EK427,$EH$5:$EL$9,3,0)),
(EJ427*(1-VLOOKUP(EK427,$EH$5:$EL$9,4,0))),
EJ427))</f>
        <v>0</v>
      </c>
    </row>
    <row r="428" spans="51:142">
      <c r="AY428" s="250" t="s">
        <v>2663</v>
      </c>
      <c r="AZ428" s="137" t="s">
        <v>1723</v>
      </c>
      <c r="BA428" s="138" t="str">
        <f t="shared" si="266"/>
        <v>ДП Міра.2/3.б/з фальц.</v>
      </c>
      <c r="BW428" s="251" t="s">
        <v>2659</v>
      </c>
      <c r="BX428" s="246" t="s">
        <v>458</v>
      </c>
      <c r="BY428" s="135" t="str">
        <f t="shared" si="273"/>
        <v>ДП Міра.1/5.Сатин</v>
      </c>
      <c r="CA428" s="146" t="s">
        <v>3277</v>
      </c>
      <c r="CB428" s="137" t="s">
        <v>4106</v>
      </c>
      <c r="CC428" s="138" t="str">
        <f>CONCATENATE(CA428,".",CB428)</f>
        <v>ДП Ніка.фальц..робоча..(ні)</v>
      </c>
      <c r="DD428" s="250" t="s">
        <v>2555</v>
      </c>
      <c r="DE428" s="166">
        <v>7500</v>
      </c>
      <c r="DF428" s="528">
        <f t="shared" si="274"/>
        <v>7500</v>
      </c>
      <c r="DG428" s="529"/>
      <c r="DH428" s="530">
        <f t="shared" si="275"/>
        <v>7500</v>
      </c>
      <c r="DP428" s="738" t="s">
        <v>4226</v>
      </c>
      <c r="DQ428" s="166">
        <v>0</v>
      </c>
      <c r="DR428" s="522">
        <f t="shared" si="267"/>
        <v>0</v>
      </c>
      <c r="DS428" s="523"/>
      <c r="DT428" s="524">
        <f t="shared" si="268"/>
        <v>0</v>
      </c>
      <c r="DU428" s="166"/>
      <c r="DV428" s="738" t="s">
        <v>4596</v>
      </c>
      <c r="DW428" s="166">
        <v>800</v>
      </c>
      <c r="DX428" s="522">
        <f t="shared" si="278"/>
        <v>800</v>
      </c>
      <c r="DY428" s="523"/>
      <c r="DZ428" s="524">
        <f t="shared" si="279"/>
        <v>800</v>
      </c>
      <c r="EG428" s="165"/>
      <c r="EH428" s="736" t="s">
        <v>3697</v>
      </c>
      <c r="EI428" s="105">
        <v>0</v>
      </c>
      <c r="EJ428" s="536">
        <f>ROUND(((EI428-(EI428/6))/$DD$3)*$DE$3,2)</f>
        <v>0</v>
      </c>
      <c r="EK428" s="514"/>
      <c r="EL428" s="511">
        <f>IF(EK428="",EJ428,
IF(AND($EI$10&gt;=VLOOKUP(EK428,$EH$5:$EL$9,2,0),$EI$10&lt;=VLOOKUP(EK428,$EH$5:$EL$9,3,0)),
(EJ428*(1-VLOOKUP(EK428,$EH$5:$EL$9,4,0))),
EJ428))</f>
        <v>0</v>
      </c>
    </row>
    <row r="429" spans="51:142">
      <c r="AY429" s="249" t="s">
        <v>2663</v>
      </c>
      <c r="AZ429" s="62" t="s">
        <v>1724</v>
      </c>
      <c r="BA429" s="139" t="str">
        <f t="shared" si="266"/>
        <v>ДП Міра.2/3.купе.</v>
      </c>
      <c r="BW429" s="250" t="s">
        <v>2659</v>
      </c>
      <c r="BX429" s="770" t="s">
        <v>3851</v>
      </c>
      <c r="BY429" s="138" t="str">
        <f t="shared" si="273"/>
        <v>ДП Міра.1/5.Графіт</v>
      </c>
      <c r="CA429" s="146" t="s">
        <v>3277</v>
      </c>
      <c r="CB429" s="21"/>
      <c r="CC429" s="21"/>
      <c r="DD429" s="250" t="s">
        <v>2556</v>
      </c>
      <c r="DE429" s="166">
        <v>7500</v>
      </c>
      <c r="DF429" s="528">
        <f t="shared" si="274"/>
        <v>7500</v>
      </c>
      <c r="DG429" s="529"/>
      <c r="DH429" s="530">
        <f t="shared" si="275"/>
        <v>7500</v>
      </c>
      <c r="DP429" s="738" t="s">
        <v>3955</v>
      </c>
      <c r="DQ429" s="166">
        <v>550</v>
      </c>
      <c r="DR429" s="522">
        <f t="shared" si="267"/>
        <v>550</v>
      </c>
      <c r="DS429" s="523"/>
      <c r="DT429" s="524">
        <f t="shared" si="268"/>
        <v>550</v>
      </c>
      <c r="DU429" s="166"/>
      <c r="DV429" s="739" t="s">
        <v>4597</v>
      </c>
      <c r="DW429" s="166">
        <v>800</v>
      </c>
      <c r="DX429" s="525">
        <f t="shared" si="278"/>
        <v>800</v>
      </c>
      <c r="DY429" s="526"/>
      <c r="DZ429" s="527">
        <f t="shared" si="279"/>
        <v>800</v>
      </c>
      <c r="EG429" s="165"/>
      <c r="EH429" s="736" t="s">
        <v>3698</v>
      </c>
      <c r="EI429" s="105">
        <v>0</v>
      </c>
      <c r="EJ429" s="536">
        <f t="shared" si="280"/>
        <v>0</v>
      </c>
      <c r="EK429" s="514"/>
      <c r="EL429" s="511">
        <f t="shared" si="277"/>
        <v>0</v>
      </c>
    </row>
    <row r="430" spans="51:142">
      <c r="AY430" s="227"/>
      <c r="AZ430" s="222"/>
      <c r="BA430" s="223"/>
      <c r="BW430" s="249" t="s">
        <v>2659</v>
      </c>
      <c r="BX430" s="248" t="s">
        <v>832</v>
      </c>
      <c r="BY430" s="139" t="str">
        <f t="shared" si="273"/>
        <v>ДП Міра.1/5.Бронза</v>
      </c>
      <c r="CA430" s="146" t="s">
        <v>3277</v>
      </c>
      <c r="CB430" s="783" t="s">
        <v>5754</v>
      </c>
      <c r="CC430" s="138" t="str">
        <f t="shared" ref="CC430:CC435" si="281">CONCATENATE(CA430,".",CB430)</f>
        <v>ДП Ніка.фальц..робоча..Stand цл Лів +3завіс</v>
      </c>
      <c r="DD430" s="250" t="s">
        <v>2557</v>
      </c>
      <c r="DE430" s="166">
        <v>7500</v>
      </c>
      <c r="DF430" s="528">
        <f t="shared" si="274"/>
        <v>7500</v>
      </c>
      <c r="DG430" s="529"/>
      <c r="DH430" s="530">
        <f t="shared" si="275"/>
        <v>7500</v>
      </c>
      <c r="DP430" s="108" t="s">
        <v>573</v>
      </c>
      <c r="DQ430" s="164">
        <v>550</v>
      </c>
      <c r="DR430" s="531">
        <f t="shared" si="267"/>
        <v>550</v>
      </c>
      <c r="DS430" s="526"/>
      <c r="DT430" s="527">
        <f t="shared" si="268"/>
        <v>550</v>
      </c>
      <c r="DU430" s="166"/>
      <c r="DV430" s="738" t="s">
        <v>6300</v>
      </c>
      <c r="DW430" s="166">
        <v>1</v>
      </c>
      <c r="DX430" s="522">
        <f t="shared" si="269"/>
        <v>1</v>
      </c>
      <c r="DY430" s="523"/>
      <c r="DZ430" s="524">
        <f t="shared" si="270"/>
        <v>1</v>
      </c>
      <c r="EH430" s="736" t="s">
        <v>3699</v>
      </c>
      <c r="EI430" s="105">
        <v>0</v>
      </c>
      <c r="EJ430" s="536">
        <f t="shared" si="280"/>
        <v>0</v>
      </c>
      <c r="EK430" s="514"/>
      <c r="EL430" s="511">
        <f t="shared" si="277"/>
        <v>0</v>
      </c>
    </row>
    <row r="431" spans="51:142">
      <c r="AY431" s="250" t="s">
        <v>1065</v>
      </c>
      <c r="AZ431" s="137" t="s">
        <v>1725</v>
      </c>
      <c r="BA431" s="138" t="str">
        <f t="shared" ref="BA431:BA460" si="282">CONCATENATE(AY431,".",AZ431)</f>
        <v>ДП ЛАДА-ЛОФТ.1/0.фальц,</v>
      </c>
      <c r="BW431" s="249" t="s">
        <v>2659</v>
      </c>
      <c r="BX431" s="248" t="s">
        <v>6046</v>
      </c>
      <c r="BY431" s="139" t="str">
        <f>CONCATENATE(BW431,".",BX431)</f>
        <v>ДП Міра.1/5.Лакобель</v>
      </c>
      <c r="CA431" s="146" t="s">
        <v>3277</v>
      </c>
      <c r="CB431" s="783" t="s">
        <v>5755</v>
      </c>
      <c r="CC431" s="138" t="str">
        <f t="shared" si="281"/>
        <v>ДП Ніка.фальц..робоча..Stand цл Пр +3завіс</v>
      </c>
      <c r="DD431" s="250" t="s">
        <v>2558</v>
      </c>
      <c r="DE431" s="166">
        <v>7500</v>
      </c>
      <c r="DF431" s="528">
        <f t="shared" si="274"/>
        <v>7500</v>
      </c>
      <c r="DG431" s="529"/>
      <c r="DH431" s="530">
        <f t="shared" si="275"/>
        <v>7500</v>
      </c>
      <c r="DP431" s="538"/>
      <c r="DQ431" s="539"/>
      <c r="DR431" s="650"/>
      <c r="DS431" s="651"/>
      <c r="DT431" s="652"/>
      <c r="DU431" s="166"/>
      <c r="DV431" s="738" t="s">
        <v>6301</v>
      </c>
      <c r="DW431" s="166">
        <v>1</v>
      </c>
      <c r="DX431" s="522">
        <f t="shared" si="269"/>
        <v>1</v>
      </c>
      <c r="DY431" s="523"/>
      <c r="DZ431" s="524">
        <f t="shared" si="270"/>
        <v>1</v>
      </c>
      <c r="EH431" s="736" t="s">
        <v>5172</v>
      </c>
      <c r="EI431" s="105">
        <v>0</v>
      </c>
      <c r="EJ431" s="536">
        <f>ROUND(((EI431-(EI431/6))/$DD$3)*$DE$3,2)</f>
        <v>0</v>
      </c>
      <c r="EK431" s="514"/>
      <c r="EL431" s="511">
        <f t="shared" si="277"/>
        <v>0</v>
      </c>
    </row>
    <row r="432" spans="51:142">
      <c r="AY432" s="250" t="s">
        <v>1065</v>
      </c>
      <c r="AZ432" s="137" t="s">
        <v>1723</v>
      </c>
      <c r="BA432" s="138" t="str">
        <f t="shared" si="282"/>
        <v>ДП ЛАДА-ЛОФТ.1/0.б/з фальц.</v>
      </c>
      <c r="BW432" s="251" t="s">
        <v>2660</v>
      </c>
      <c r="BX432" s="246" t="s">
        <v>458</v>
      </c>
      <c r="BY432" s="135" t="str">
        <f t="shared" si="273"/>
        <v>ДП Міра.1/6.Сатин</v>
      </c>
      <c r="CA432" s="146" t="s">
        <v>3277</v>
      </c>
      <c r="CB432" s="783" t="s">
        <v>5756</v>
      </c>
      <c r="CC432" s="138" t="str">
        <f t="shared" si="281"/>
        <v>ДП Ніка.фальц..робоча..Stand кл Лів +3завіс</v>
      </c>
      <c r="DD432" s="250" t="s">
        <v>2559</v>
      </c>
      <c r="DE432" s="166">
        <v>7500</v>
      </c>
      <c r="DF432" s="528">
        <f t="shared" si="274"/>
        <v>7500</v>
      </c>
      <c r="DG432" s="529"/>
      <c r="DH432" s="530">
        <f t="shared" si="275"/>
        <v>7500</v>
      </c>
      <c r="DP432" s="736" t="s">
        <v>4163</v>
      </c>
      <c r="DQ432" s="105">
        <v>0</v>
      </c>
      <c r="DR432" s="403">
        <f t="shared" si="267"/>
        <v>0</v>
      </c>
      <c r="DS432" s="514"/>
      <c r="DT432" s="511">
        <f t="shared" si="268"/>
        <v>0</v>
      </c>
      <c r="DU432" s="166"/>
      <c r="DV432" s="738" t="s">
        <v>6302</v>
      </c>
      <c r="DW432" s="166">
        <v>1</v>
      </c>
      <c r="DX432" s="522">
        <f t="shared" si="269"/>
        <v>1</v>
      </c>
      <c r="DY432" s="523"/>
      <c r="DZ432" s="524">
        <f t="shared" si="270"/>
        <v>1</v>
      </c>
      <c r="EH432" s="736" t="s">
        <v>3700</v>
      </c>
      <c r="EI432" s="105">
        <v>0</v>
      </c>
      <c r="EJ432" s="536">
        <f t="shared" si="280"/>
        <v>0</v>
      </c>
      <c r="EK432" s="514"/>
      <c r="EL432" s="511">
        <f t="shared" ref="EL432:EL447" si="283">IF(EK432="",EJ432,
IF(AND($EI$10&gt;=VLOOKUP(EK432,$EH$5:$EL$9,2,0),$EI$10&lt;=VLOOKUP(EK432,$EH$5:$EL$9,3,0)),
(EJ432*(1-VLOOKUP(EK432,$EH$5:$EL$9,4,0))),
EJ432))</f>
        <v>0</v>
      </c>
    </row>
    <row r="433" spans="51:142">
      <c r="AY433" s="249" t="s">
        <v>1065</v>
      </c>
      <c r="AZ433" s="62" t="s">
        <v>1724</v>
      </c>
      <c r="BA433" s="139" t="str">
        <f t="shared" si="282"/>
        <v>ДП ЛАДА-ЛОФТ.1/0.купе.</v>
      </c>
      <c r="BW433" s="250" t="s">
        <v>2660</v>
      </c>
      <c r="BX433" s="770" t="s">
        <v>3851</v>
      </c>
      <c r="BY433" s="138" t="str">
        <f t="shared" si="273"/>
        <v>ДП Міра.1/6.Графіт</v>
      </c>
      <c r="CA433" s="146" t="s">
        <v>3277</v>
      </c>
      <c r="CB433" s="783" t="s">
        <v>5757</v>
      </c>
      <c r="CC433" s="138" t="str">
        <f t="shared" si="281"/>
        <v>ДП Ніка.фальц..робоча..Stand кл Пр +3завіс</v>
      </c>
      <c r="DD433" s="250" t="s">
        <v>2560</v>
      </c>
      <c r="DE433" s="166">
        <v>7500</v>
      </c>
      <c r="DF433" s="528">
        <f t="shared" si="274"/>
        <v>7500</v>
      </c>
      <c r="DG433" s="529"/>
      <c r="DH433" s="530">
        <f t="shared" si="275"/>
        <v>7500</v>
      </c>
      <c r="DP433" s="162" t="s">
        <v>689</v>
      </c>
      <c r="DQ433" s="163">
        <v>0</v>
      </c>
      <c r="DR433" s="528">
        <f t="shared" si="267"/>
        <v>0</v>
      </c>
      <c r="DS433" s="529"/>
      <c r="DT433" s="530">
        <f t="shared" si="268"/>
        <v>0</v>
      </c>
      <c r="DU433" s="166"/>
      <c r="DV433" s="738" t="s">
        <v>6303</v>
      </c>
      <c r="DW433" s="166">
        <v>1</v>
      </c>
      <c r="DX433" s="522">
        <f t="shared" si="269"/>
        <v>1</v>
      </c>
      <c r="DY433" s="523"/>
      <c r="DZ433" s="524">
        <f t="shared" si="270"/>
        <v>1</v>
      </c>
      <c r="EH433" s="256"/>
      <c r="EI433" s="257"/>
      <c r="EJ433" s="517"/>
      <c r="EK433" s="532"/>
      <c r="EL433" s="259"/>
    </row>
    <row r="434" spans="51:142">
      <c r="AY434" s="250" t="s">
        <v>1067</v>
      </c>
      <c r="AZ434" s="137" t="s">
        <v>1725</v>
      </c>
      <c r="BA434" s="138" t="str">
        <f t="shared" si="282"/>
        <v>ДП ЛАДА-ЛОФТ.1/1.фальц,</v>
      </c>
      <c r="BW434" s="249" t="s">
        <v>2660</v>
      </c>
      <c r="BX434" s="248" t="s">
        <v>832</v>
      </c>
      <c r="BY434" s="139" t="str">
        <f t="shared" si="273"/>
        <v>ДП Міра.1/6.Бронза</v>
      </c>
      <c r="CA434" s="146" t="s">
        <v>3277</v>
      </c>
      <c r="CB434" s="783" t="s">
        <v>5758</v>
      </c>
      <c r="CC434" s="138" t="str">
        <f t="shared" si="281"/>
        <v>ДП Ніка.фальц..робоча..Stand ст Лів +3завіс</v>
      </c>
      <c r="DD434" s="250" t="s">
        <v>2561</v>
      </c>
      <c r="DE434" s="166">
        <v>7500</v>
      </c>
      <c r="DF434" s="528">
        <f t="shared" si="274"/>
        <v>7500</v>
      </c>
      <c r="DG434" s="529"/>
      <c r="DH434" s="530">
        <f t="shared" si="275"/>
        <v>7500</v>
      </c>
      <c r="DP434" s="738" t="s">
        <v>3956</v>
      </c>
      <c r="DQ434" s="166">
        <v>550</v>
      </c>
      <c r="DR434" s="522">
        <f t="shared" si="267"/>
        <v>550</v>
      </c>
      <c r="DS434" s="523"/>
      <c r="DT434" s="524">
        <f t="shared" si="268"/>
        <v>550</v>
      </c>
      <c r="DU434" s="166"/>
      <c r="DV434" s="738" t="s">
        <v>6304</v>
      </c>
      <c r="DW434" s="166">
        <v>1</v>
      </c>
      <c r="DX434" s="522">
        <f t="shared" si="269"/>
        <v>1</v>
      </c>
      <c r="DY434" s="523"/>
      <c r="DZ434" s="524">
        <f t="shared" si="270"/>
        <v>1</v>
      </c>
      <c r="EH434" s="736" t="s">
        <v>4993</v>
      </c>
      <c r="EI434" s="105">
        <v>0</v>
      </c>
      <c r="EJ434" s="536">
        <f t="shared" si="280"/>
        <v>0</v>
      </c>
      <c r="EK434" s="514"/>
      <c r="EL434" s="511">
        <f t="shared" si="283"/>
        <v>0</v>
      </c>
    </row>
    <row r="435" spans="51:142">
      <c r="AY435" s="250" t="s">
        <v>1067</v>
      </c>
      <c r="AZ435" s="137" t="s">
        <v>1723</v>
      </c>
      <c r="BA435" s="138" t="str">
        <f t="shared" si="282"/>
        <v>ДП ЛАДА-ЛОФТ.1/1.б/з фальц.</v>
      </c>
      <c r="BW435" s="249" t="s">
        <v>2660</v>
      </c>
      <c r="BX435" s="248" t="s">
        <v>6046</v>
      </c>
      <c r="BY435" s="139" t="str">
        <f>CONCATENATE(BW435,".",BX435)</f>
        <v>ДП Міра.1/6.Лакобель</v>
      </c>
      <c r="CA435" s="146" t="s">
        <v>3277</v>
      </c>
      <c r="CB435" s="783" t="s">
        <v>5759</v>
      </c>
      <c r="CC435" s="138" t="str">
        <f t="shared" si="281"/>
        <v>ДП Ніка.фальц..робоча..Stand ст Пр +3завіс</v>
      </c>
      <c r="DD435" s="250" t="s">
        <v>2562</v>
      </c>
      <c r="DE435" s="166">
        <v>7500</v>
      </c>
      <c r="DF435" s="528">
        <f t="shared" si="274"/>
        <v>7500</v>
      </c>
      <c r="DG435" s="529"/>
      <c r="DH435" s="530">
        <f t="shared" si="275"/>
        <v>7500</v>
      </c>
      <c r="DP435" s="108" t="s">
        <v>574</v>
      </c>
      <c r="DQ435" s="164">
        <v>550</v>
      </c>
      <c r="DR435" s="531">
        <f t="shared" si="267"/>
        <v>550</v>
      </c>
      <c r="DS435" s="526"/>
      <c r="DT435" s="527">
        <f t="shared" si="268"/>
        <v>550</v>
      </c>
      <c r="DU435" s="166"/>
      <c r="DV435" s="739" t="s">
        <v>6305</v>
      </c>
      <c r="DW435" s="166">
        <v>1</v>
      </c>
      <c r="DX435" s="525">
        <f t="shared" si="269"/>
        <v>1</v>
      </c>
      <c r="DY435" s="526"/>
      <c r="DZ435" s="527">
        <f t="shared" si="270"/>
        <v>1</v>
      </c>
      <c r="EH435" s="736" t="s">
        <v>3701</v>
      </c>
      <c r="EI435" s="105">
        <v>0</v>
      </c>
      <c r="EJ435" s="536">
        <f t="shared" si="280"/>
        <v>0</v>
      </c>
      <c r="EK435" s="514"/>
      <c r="EL435" s="511">
        <f t="shared" si="283"/>
        <v>0</v>
      </c>
    </row>
    <row r="436" spans="51:142">
      <c r="AY436" s="249" t="s">
        <v>1067</v>
      </c>
      <c r="AZ436" s="62" t="s">
        <v>1724</v>
      </c>
      <c r="BA436" s="139" t="str">
        <f t="shared" si="282"/>
        <v>ДП ЛАДА-ЛОФТ.1/1.купе.</v>
      </c>
      <c r="BW436" s="251" t="s">
        <v>2661</v>
      </c>
      <c r="BX436" s="246" t="s">
        <v>458</v>
      </c>
      <c r="BY436" s="135" t="str">
        <f t="shared" si="273"/>
        <v>ДП Міра.2/1.Сатин</v>
      </c>
      <c r="CA436" s="146" t="s">
        <v>3277</v>
      </c>
      <c r="CC436" s="138"/>
      <c r="DD436" s="249" t="s">
        <v>2563</v>
      </c>
      <c r="DE436" s="164">
        <v>7500</v>
      </c>
      <c r="DF436" s="528">
        <f t="shared" si="274"/>
        <v>7500</v>
      </c>
      <c r="DG436" s="529"/>
      <c r="DH436" s="530">
        <f t="shared" si="275"/>
        <v>7500</v>
      </c>
      <c r="DP436" s="108" t="s">
        <v>6445</v>
      </c>
      <c r="DQ436" s="164">
        <v>550</v>
      </c>
      <c r="DR436" s="531">
        <f>ROUND(((DQ436-(DQ436/6))/$DD$3)*$DE$3,2)</f>
        <v>550</v>
      </c>
      <c r="DS436" s="526"/>
      <c r="DT436" s="527">
        <f>IF(DS436="",DR436,
IF(AND($DQ$10&gt;=VLOOKUP(DS436,$DP$5:$DT$9,2,0),$DQ$10&lt;=VLOOKUP(DS436,$DP$5:$DT$9,3,0)),
(DR436*(1-VLOOKUP(DS436,$DP$5:$DT$9,4,0))),
DR436))</f>
        <v>550</v>
      </c>
      <c r="DU436" s="166"/>
      <c r="DV436" s="165" t="s">
        <v>1680</v>
      </c>
      <c r="DW436" s="166">
        <v>0</v>
      </c>
      <c r="DX436" s="522">
        <f t="shared" si="269"/>
        <v>0</v>
      </c>
      <c r="DY436" s="523"/>
      <c r="DZ436" s="524">
        <f t="shared" si="270"/>
        <v>0</v>
      </c>
      <c r="EH436" s="736" t="s">
        <v>3702</v>
      </c>
      <c r="EI436" s="105">
        <v>0</v>
      </c>
      <c r="EJ436" s="536">
        <f>ROUND(((EI436-(EI436/6))/$DD$3)*$DE$3,2)</f>
        <v>0</v>
      </c>
      <c r="EK436" s="514"/>
      <c r="EL436" s="511">
        <f>IF(EK436="",EJ436,
IF(AND($EI$10&gt;=VLOOKUP(EK436,$EH$5:$EL$9,2,0),$EI$10&lt;=VLOOKUP(EK436,$EH$5:$EL$9,3,0)),
(EJ436*(1-VLOOKUP(EK436,$EH$5:$EL$9,4,0))),
EJ436))</f>
        <v>0</v>
      </c>
    </row>
    <row r="437" spans="51:142">
      <c r="AY437" s="250" t="s">
        <v>1068</v>
      </c>
      <c r="AZ437" s="137" t="s">
        <v>1725</v>
      </c>
      <c r="BA437" s="138" t="str">
        <f t="shared" si="282"/>
        <v>ДП ЛАДА-ЛОФТ.3/0.фальц,</v>
      </c>
      <c r="BW437" s="250" t="s">
        <v>2661</v>
      </c>
      <c r="BX437" s="770" t="s">
        <v>3851</v>
      </c>
      <c r="BY437" s="138" t="str">
        <f t="shared" si="273"/>
        <v>ДП Міра.2/1.Графіт</v>
      </c>
      <c r="CA437" s="146" t="s">
        <v>3277</v>
      </c>
      <c r="CB437" s="137" t="s">
        <v>4304</v>
      </c>
      <c r="CC437" s="138" t="str">
        <f>CONCATENATE(CA437,".",CB437)</f>
        <v>ДП Ніка.фальц..робоча..Soft цл +3завіс</v>
      </c>
      <c r="DD437" s="250" t="s">
        <v>2564</v>
      </c>
      <c r="DE437" s="166">
        <v>7740</v>
      </c>
      <c r="DF437" s="528">
        <f t="shared" si="274"/>
        <v>7740</v>
      </c>
      <c r="DG437" s="529"/>
      <c r="DH437" s="530">
        <f t="shared" si="275"/>
        <v>7740</v>
      </c>
      <c r="DP437" s="165" t="s">
        <v>690</v>
      </c>
      <c r="DQ437" s="166">
        <v>0</v>
      </c>
      <c r="DR437" s="522">
        <f t="shared" si="267"/>
        <v>0</v>
      </c>
      <c r="DS437" s="523"/>
      <c r="DT437" s="524">
        <f t="shared" si="268"/>
        <v>0</v>
      </c>
      <c r="DU437" s="166"/>
      <c r="DV437" s="108" t="s">
        <v>1681</v>
      </c>
      <c r="DW437" s="164">
        <v>560</v>
      </c>
      <c r="DX437" s="531">
        <f t="shared" si="269"/>
        <v>560</v>
      </c>
      <c r="DY437" s="526"/>
      <c r="DZ437" s="527">
        <f t="shared" si="270"/>
        <v>560</v>
      </c>
      <c r="EH437" s="736" t="s">
        <v>3703</v>
      </c>
      <c r="EI437" s="105">
        <v>0</v>
      </c>
      <c r="EJ437" s="536">
        <f>ROUND(((EI437-(EI437/6))/$DD$3)*$DE$3,2)</f>
        <v>0</v>
      </c>
      <c r="EK437" s="514"/>
      <c r="EL437" s="511">
        <f>IF(EK437="",EJ437,
IF(AND($EI$10&gt;=VLOOKUP(EK437,$EH$5:$EL$9,2,0),$EI$10&lt;=VLOOKUP(EK437,$EH$5:$EL$9,3,0)),
(EJ437*(1-VLOOKUP(EK437,$EH$5:$EL$9,4,0))),
EJ437))</f>
        <v>0</v>
      </c>
    </row>
    <row r="438" spans="51:142">
      <c r="AY438" s="250" t="s">
        <v>1068</v>
      </c>
      <c r="AZ438" s="137" t="s">
        <v>1723</v>
      </c>
      <c r="BA438" s="138" t="str">
        <f t="shared" si="282"/>
        <v>ДП ЛАДА-ЛОФТ.3/0.б/з фальц.</v>
      </c>
      <c r="BW438" s="249" t="s">
        <v>2661</v>
      </c>
      <c r="BX438" s="248" t="s">
        <v>832</v>
      </c>
      <c r="BY438" s="139" t="str">
        <f t="shared" si="273"/>
        <v>ДП Міра.2/1.Бронза</v>
      </c>
      <c r="CA438" s="146" t="s">
        <v>3277</v>
      </c>
      <c r="CB438" s="137" t="s">
        <v>4307</v>
      </c>
      <c r="CC438" s="138" t="str">
        <f>CONCATENATE(CA438,".",CB438)</f>
        <v>ДП Ніка.фальц..робоча..Soft ст +3завіс</v>
      </c>
      <c r="DD438" s="250" t="s">
        <v>2565</v>
      </c>
      <c r="DE438" s="166">
        <v>7740</v>
      </c>
      <c r="DF438" s="528">
        <f t="shared" si="274"/>
        <v>7740</v>
      </c>
      <c r="DG438" s="529"/>
      <c r="DH438" s="530">
        <f t="shared" si="275"/>
        <v>7740</v>
      </c>
      <c r="DP438" s="738" t="s">
        <v>3957</v>
      </c>
      <c r="DQ438" s="166">
        <v>550</v>
      </c>
      <c r="DR438" s="522">
        <f t="shared" si="267"/>
        <v>550</v>
      </c>
      <c r="DS438" s="523"/>
      <c r="DT438" s="524">
        <f t="shared" si="268"/>
        <v>550</v>
      </c>
      <c r="DU438" s="166"/>
      <c r="DV438" s="647"/>
      <c r="DW438" s="648"/>
      <c r="DX438" s="654"/>
      <c r="DY438" s="655"/>
      <c r="DZ438" s="656"/>
      <c r="EH438" s="736" t="s">
        <v>3704</v>
      </c>
      <c r="EI438" s="105">
        <v>0</v>
      </c>
      <c r="EJ438" s="536">
        <f t="shared" si="280"/>
        <v>0</v>
      </c>
      <c r="EK438" s="514"/>
      <c r="EL438" s="511">
        <f t="shared" si="283"/>
        <v>0</v>
      </c>
    </row>
    <row r="439" spans="51:142">
      <c r="AY439" s="249" t="s">
        <v>1068</v>
      </c>
      <c r="AZ439" s="62" t="s">
        <v>1724</v>
      </c>
      <c r="BA439" s="139" t="str">
        <f t="shared" si="282"/>
        <v>ДП ЛАДА-ЛОФТ.3/0.купе.</v>
      </c>
      <c r="BW439" s="249" t="s">
        <v>2661</v>
      </c>
      <c r="BX439" s="248" t="s">
        <v>6046</v>
      </c>
      <c r="BY439" s="139" t="str">
        <f>CONCATENATE(BW439,".",BX439)</f>
        <v>ДП Міра.2/1.Лакобель</v>
      </c>
      <c r="CA439" s="146" t="s">
        <v>3277</v>
      </c>
      <c r="CB439" s="21"/>
      <c r="CC439" s="21"/>
      <c r="DD439" s="250" t="s">
        <v>2566</v>
      </c>
      <c r="DE439" s="166">
        <v>7740</v>
      </c>
      <c r="DF439" s="528">
        <f t="shared" si="274"/>
        <v>7740</v>
      </c>
      <c r="DG439" s="529"/>
      <c r="DH439" s="530">
        <f t="shared" si="275"/>
        <v>7740</v>
      </c>
      <c r="DP439" s="108" t="s">
        <v>575</v>
      </c>
      <c r="DQ439" s="164">
        <v>550</v>
      </c>
      <c r="DR439" s="531">
        <f t="shared" si="267"/>
        <v>550</v>
      </c>
      <c r="DS439" s="526"/>
      <c r="DT439" s="527">
        <f t="shared" si="268"/>
        <v>550</v>
      </c>
      <c r="DU439" s="166"/>
      <c r="DV439" s="736" t="s">
        <v>4156</v>
      </c>
      <c r="DW439" s="105">
        <v>0</v>
      </c>
      <c r="DX439" s="403">
        <f t="shared" ref="DX439:DX469" si="284">ROUND(((DW439-(DW439/6))/$DD$3)*$DE$3,2)</f>
        <v>0</v>
      </c>
      <c r="DY439" s="514"/>
      <c r="DZ439" s="511">
        <f t="shared" ref="DZ439:DZ469" si="285">IF(DY439="",DX439,
IF(AND($DW$10&gt;=VLOOKUP(DY439,$DV$5:$DZ$9,2,0),$DW$10&lt;=VLOOKUP(DY439,$DV$5:$DZ$9,3,0)),
(DX439*(1-VLOOKUP(DY439,$DV$5:$DZ$9,4,0))),
DX439))</f>
        <v>0</v>
      </c>
      <c r="EH439" s="736" t="s">
        <v>3705</v>
      </c>
      <c r="EI439" s="105">
        <v>0</v>
      </c>
      <c r="EJ439" s="536">
        <f t="shared" si="280"/>
        <v>0</v>
      </c>
      <c r="EK439" s="514"/>
      <c r="EL439" s="511">
        <f t="shared" si="283"/>
        <v>0</v>
      </c>
    </row>
    <row r="440" spans="51:142">
      <c r="AY440" s="250" t="s">
        <v>1069</v>
      </c>
      <c r="AZ440" s="137" t="s">
        <v>1725</v>
      </c>
      <c r="BA440" s="138" t="str">
        <f t="shared" si="282"/>
        <v>ДП ЛАДА-ЛОФТ.3/1.фальц,</v>
      </c>
      <c r="BW440" s="251" t="s">
        <v>2662</v>
      </c>
      <c r="BX440" s="246" t="s">
        <v>458</v>
      </c>
      <c r="BY440" s="135" t="str">
        <f t="shared" si="273"/>
        <v>ДП Міра.2/2.Сатин</v>
      </c>
      <c r="CA440" s="146" t="s">
        <v>3277</v>
      </c>
      <c r="CB440" s="137" t="s">
        <v>4316</v>
      </c>
      <c r="CC440" s="138" t="str">
        <f>CONCATENATE(CA440,".",CB440)</f>
        <v>ДП Ніка.фальц..робоча..Magnet цл +3завіс</v>
      </c>
      <c r="DD440" s="250" t="s">
        <v>2567</v>
      </c>
      <c r="DE440" s="166">
        <v>7740</v>
      </c>
      <c r="DF440" s="528">
        <f t="shared" si="274"/>
        <v>7740</v>
      </c>
      <c r="DG440" s="529"/>
      <c r="DH440" s="530">
        <f t="shared" si="275"/>
        <v>7740</v>
      </c>
      <c r="DP440" s="108" t="s">
        <v>6446</v>
      </c>
      <c r="DQ440" s="164">
        <v>550</v>
      </c>
      <c r="DR440" s="531">
        <f>ROUND(((DQ440-(DQ440/6))/$DD$3)*$DE$3,2)</f>
        <v>550</v>
      </c>
      <c r="DS440" s="526"/>
      <c r="DT440" s="527">
        <f>IF(DS440="",DR440,
IF(AND($DQ$10&gt;=VLOOKUP(DS440,$DP$5:$DT$9,2,0),$DQ$10&lt;=VLOOKUP(DS440,$DP$5:$DT$9,3,0)),
(DR440*(1-VLOOKUP(DS440,$DP$5:$DT$9,4,0))),
DR440))</f>
        <v>550</v>
      </c>
      <c r="DU440" s="166"/>
      <c r="DV440" s="737" t="s">
        <v>5838</v>
      </c>
      <c r="DW440" s="163">
        <v>0</v>
      </c>
      <c r="DX440" s="528">
        <f t="shared" si="284"/>
        <v>0</v>
      </c>
      <c r="DY440" s="529"/>
      <c r="DZ440" s="530">
        <f t="shared" si="285"/>
        <v>0</v>
      </c>
      <c r="EH440" s="736" t="s">
        <v>5173</v>
      </c>
      <c r="EI440" s="105">
        <v>0</v>
      </c>
      <c r="EJ440" s="536">
        <f>ROUND(((EI440-(EI440/6))/$DD$3)*$DE$3,2)</f>
        <v>0</v>
      </c>
      <c r="EK440" s="514"/>
      <c r="EL440" s="511">
        <f>IF(EK440="",EJ440,
IF(AND($EI$10&gt;=VLOOKUP(EK440,$EH$5:$EL$9,2,0),$EI$10&lt;=VLOOKUP(EK440,$EH$5:$EL$9,3,0)),
(EJ440*(1-VLOOKUP(EK440,$EH$5:$EL$9,4,0))),
EJ440))</f>
        <v>0</v>
      </c>
    </row>
    <row r="441" spans="51:142">
      <c r="AY441" s="250" t="s">
        <v>1069</v>
      </c>
      <c r="AZ441" s="137" t="s">
        <v>1723</v>
      </c>
      <c r="BA441" s="138" t="str">
        <f t="shared" si="282"/>
        <v>ДП ЛАДА-ЛОФТ.3/1.б/з фальц.</v>
      </c>
      <c r="BW441" s="250" t="s">
        <v>2662</v>
      </c>
      <c r="BX441" s="770" t="s">
        <v>3851</v>
      </c>
      <c r="BY441" s="138" t="str">
        <f t="shared" si="273"/>
        <v>ДП Міра.2/2.Графіт</v>
      </c>
      <c r="CA441" s="147" t="s">
        <v>3277</v>
      </c>
      <c r="CB441" s="62" t="s">
        <v>4319</v>
      </c>
      <c r="CC441" s="139" t="str">
        <f>CONCATENATE(CA441,".",CB441)</f>
        <v>ДП Ніка.фальц..робоча..Magnet ст +3завіс</v>
      </c>
      <c r="DD441" s="250" t="s">
        <v>2568</v>
      </c>
      <c r="DE441" s="166">
        <v>7740</v>
      </c>
      <c r="DF441" s="528">
        <f t="shared" si="274"/>
        <v>7740</v>
      </c>
      <c r="DG441" s="529"/>
      <c r="DH441" s="530">
        <f t="shared" si="275"/>
        <v>7740</v>
      </c>
      <c r="DP441" s="165" t="s">
        <v>940</v>
      </c>
      <c r="DQ441" s="166">
        <v>0</v>
      </c>
      <c r="DR441" s="522">
        <f t="shared" si="267"/>
        <v>0</v>
      </c>
      <c r="DS441" s="523"/>
      <c r="DT441" s="524">
        <f t="shared" si="268"/>
        <v>0</v>
      </c>
      <c r="DU441" s="166"/>
      <c r="DV441" s="737" t="s">
        <v>5839</v>
      </c>
      <c r="DW441" s="163">
        <v>0</v>
      </c>
      <c r="DX441" s="528">
        <f>ROUND(((DW441-(DW441/6))/$DD$3)*$DE$3,2)</f>
        <v>0</v>
      </c>
      <c r="DY441" s="529"/>
      <c r="DZ441" s="530">
        <f>IF(DY441="",DX441,
IF(AND($DW$10&gt;=VLOOKUP(DY441,$DV$5:$DZ$9,2,0),$DW$10&lt;=VLOOKUP(DY441,$DV$5:$DZ$9,3,0)),
(DX441*(1-VLOOKUP(DY441,$DV$5:$DZ$9,4,0))),
DX441))</f>
        <v>0</v>
      </c>
      <c r="EH441" s="736" t="s">
        <v>3706</v>
      </c>
      <c r="EI441" s="105">
        <v>0</v>
      </c>
      <c r="EJ441" s="536">
        <f t="shared" si="280"/>
        <v>0</v>
      </c>
      <c r="EK441" s="514"/>
      <c r="EL441" s="511">
        <f t="shared" si="283"/>
        <v>0</v>
      </c>
    </row>
    <row r="442" spans="51:142">
      <c r="AY442" s="249" t="s">
        <v>1069</v>
      </c>
      <c r="AZ442" s="62" t="s">
        <v>1724</v>
      </c>
      <c r="BA442" s="139" t="str">
        <f t="shared" si="282"/>
        <v>ДП ЛАДА-ЛОФТ.3/1.купе.</v>
      </c>
      <c r="BW442" s="249" t="s">
        <v>2662</v>
      </c>
      <c r="BX442" s="248" t="s">
        <v>832</v>
      </c>
      <c r="BY442" s="139" t="str">
        <f t="shared" si="273"/>
        <v>ДП Міра.2/2.Бронза</v>
      </c>
      <c r="CA442" s="145" t="s">
        <v>3278</v>
      </c>
      <c r="CB442" s="134" t="s">
        <v>4106</v>
      </c>
      <c r="CC442" s="135" t="str">
        <f>CONCATENATE(CA442,".",CB442)</f>
        <v>ДП Ніка.фальц..неробоча..(ні)</v>
      </c>
      <c r="DD442" s="250" t="s">
        <v>2569</v>
      </c>
      <c r="DE442" s="166">
        <v>7740</v>
      </c>
      <c r="DF442" s="528">
        <f t="shared" si="274"/>
        <v>7740</v>
      </c>
      <c r="DG442" s="529"/>
      <c r="DH442" s="530">
        <f t="shared" si="275"/>
        <v>7740</v>
      </c>
      <c r="DP442" s="738" t="s">
        <v>3958</v>
      </c>
      <c r="DQ442" s="166">
        <v>550</v>
      </c>
      <c r="DR442" s="522">
        <f t="shared" si="267"/>
        <v>550</v>
      </c>
      <c r="DS442" s="523"/>
      <c r="DT442" s="524">
        <f t="shared" si="268"/>
        <v>550</v>
      </c>
      <c r="DU442" s="166"/>
      <c r="DV442" s="738" t="s">
        <v>5840</v>
      </c>
      <c r="DW442" s="166">
        <v>0</v>
      </c>
      <c r="DX442" s="522">
        <f t="shared" si="284"/>
        <v>0</v>
      </c>
      <c r="DY442" s="523"/>
      <c r="DZ442" s="524">
        <f t="shared" si="285"/>
        <v>0</v>
      </c>
      <c r="EH442" s="256"/>
      <c r="EI442" s="257"/>
      <c r="EJ442" s="517"/>
      <c r="EK442" s="532"/>
      <c r="EL442" s="259"/>
    </row>
    <row r="443" spans="51:142">
      <c r="AY443" s="250" t="s">
        <v>1070</v>
      </c>
      <c r="AZ443" s="137" t="s">
        <v>1725</v>
      </c>
      <c r="BA443" s="138" t="str">
        <f t="shared" si="282"/>
        <v>ДП ЛАДА-ЛОФТ.4/0.фальц,</v>
      </c>
      <c r="BW443" s="249" t="s">
        <v>2662</v>
      </c>
      <c r="BX443" s="248" t="s">
        <v>6046</v>
      </c>
      <c r="BY443" s="139" t="str">
        <f>CONCATENATE(BW443,".",BX443)</f>
        <v>ДП Міра.2/2.Лакобель</v>
      </c>
      <c r="CA443" s="146" t="s">
        <v>3278</v>
      </c>
      <c r="CB443" s="21"/>
      <c r="CC443" s="21"/>
      <c r="DD443" s="250" t="s">
        <v>2570</v>
      </c>
      <c r="DE443" s="166">
        <v>7740</v>
      </c>
      <c r="DF443" s="528">
        <f t="shared" si="274"/>
        <v>7740</v>
      </c>
      <c r="DG443" s="529"/>
      <c r="DH443" s="530">
        <f t="shared" si="275"/>
        <v>7740</v>
      </c>
      <c r="DP443" s="108" t="s">
        <v>576</v>
      </c>
      <c r="DQ443" s="164">
        <v>550</v>
      </c>
      <c r="DR443" s="531">
        <f t="shared" si="267"/>
        <v>550</v>
      </c>
      <c r="DS443" s="526"/>
      <c r="DT443" s="527">
        <f t="shared" si="268"/>
        <v>550</v>
      </c>
      <c r="DU443" s="166"/>
      <c r="DV443" s="738" t="s">
        <v>5841</v>
      </c>
      <c r="DW443" s="166">
        <v>0</v>
      </c>
      <c r="DX443" s="522">
        <f>ROUND(((DW443-(DW443/6))/$DD$3)*$DE$3,2)</f>
        <v>0</v>
      </c>
      <c r="DY443" s="523"/>
      <c r="DZ443" s="524">
        <f>IF(DY443="",DX443,
IF(AND($DW$10&gt;=VLOOKUP(DY443,$DV$5:$DZ$9,2,0),$DW$10&lt;=VLOOKUP(DY443,$DV$5:$DZ$9,3,0)),
(DX443*(1-VLOOKUP(DY443,$DV$5:$DZ$9,4,0))),
DX443))</f>
        <v>0</v>
      </c>
      <c r="EH443" s="736" t="s">
        <v>4994</v>
      </c>
      <c r="EI443" s="105">
        <v>0</v>
      </c>
      <c r="EJ443" s="536">
        <f t="shared" si="280"/>
        <v>0</v>
      </c>
      <c r="EK443" s="514"/>
      <c r="EL443" s="511">
        <f t="shared" si="283"/>
        <v>0</v>
      </c>
    </row>
    <row r="444" spans="51:142">
      <c r="AY444" s="250" t="s">
        <v>1070</v>
      </c>
      <c r="AZ444" s="137" t="s">
        <v>1723</v>
      </c>
      <c r="BA444" s="138" t="str">
        <f t="shared" si="282"/>
        <v>ДП ЛАДА-ЛОФТ.4/0.б/з фальц.</v>
      </c>
      <c r="BW444" s="251" t="s">
        <v>2663</v>
      </c>
      <c r="BX444" s="246" t="s">
        <v>458</v>
      </c>
      <c r="BY444" s="135" t="str">
        <f t="shared" si="273"/>
        <v>ДП Міра.2/3.Сатин</v>
      </c>
      <c r="CA444" s="146" t="s">
        <v>3278</v>
      </c>
      <c r="CB444" s="783" t="s">
        <v>4325</v>
      </c>
      <c r="CC444" s="138" t="str">
        <f>CONCATENATE(CA444,".",CB444)</f>
        <v>ДП Ніка.фальц..неробоча..Пл Stand +3завіс</v>
      </c>
      <c r="DD444" s="250" t="s">
        <v>2571</v>
      </c>
      <c r="DE444" s="166">
        <v>7740</v>
      </c>
      <c r="DF444" s="528">
        <f t="shared" si="274"/>
        <v>7740</v>
      </c>
      <c r="DG444" s="529"/>
      <c r="DH444" s="530">
        <f t="shared" si="275"/>
        <v>7740</v>
      </c>
      <c r="DP444" s="108" t="s">
        <v>6447</v>
      </c>
      <c r="DQ444" s="164">
        <v>550</v>
      </c>
      <c r="DR444" s="531">
        <f>ROUND(((DQ444-(DQ444/6))/$DD$3)*$DE$3,2)</f>
        <v>550</v>
      </c>
      <c r="DS444" s="526"/>
      <c r="DT444" s="527">
        <f>IF(DS444="",DR444,
IF(AND($DQ$10&gt;=VLOOKUP(DS444,$DP$5:$DT$9,2,0),$DQ$10&lt;=VLOOKUP(DS444,$DP$5:$DT$9,3,0)),
(DR444*(1-VLOOKUP(DS444,$DP$5:$DT$9,4,0))),
DR444))</f>
        <v>550</v>
      </c>
      <c r="DU444" s="166"/>
      <c r="DV444" s="738" t="s">
        <v>5842</v>
      </c>
      <c r="DW444" s="166">
        <v>0</v>
      </c>
      <c r="DX444" s="522">
        <f t="shared" si="284"/>
        <v>0</v>
      </c>
      <c r="DY444" s="523"/>
      <c r="DZ444" s="524">
        <f t="shared" si="285"/>
        <v>0</v>
      </c>
      <c r="EH444" s="736" t="s">
        <v>3707</v>
      </c>
      <c r="EI444" s="105">
        <v>0</v>
      </c>
      <c r="EJ444" s="536">
        <f t="shared" si="280"/>
        <v>0</v>
      </c>
      <c r="EK444" s="514"/>
      <c r="EL444" s="511">
        <f t="shared" si="283"/>
        <v>0</v>
      </c>
    </row>
    <row r="445" spans="51:142">
      <c r="AY445" s="249" t="s">
        <v>1070</v>
      </c>
      <c r="AZ445" s="62" t="s">
        <v>1724</v>
      </c>
      <c r="BA445" s="139" t="str">
        <f t="shared" si="282"/>
        <v>ДП ЛАДА-ЛОФТ.4/0.купе.</v>
      </c>
      <c r="BW445" s="250" t="s">
        <v>2663</v>
      </c>
      <c r="BX445" s="770" t="s">
        <v>3851</v>
      </c>
      <c r="BY445" s="138" t="str">
        <f t="shared" si="273"/>
        <v>ДП Міра.2/3.Графіт</v>
      </c>
      <c r="CA445" s="146" t="s">
        <v>3278</v>
      </c>
      <c r="CB445" s="783" t="s">
        <v>4333</v>
      </c>
      <c r="CC445" s="138" t="str">
        <f>CONCATENATE(CA445,".",CB445)</f>
        <v>ДП Ніка.фальц..неробоча..Пл Soft +3завіс</v>
      </c>
      <c r="DD445" s="250" t="s">
        <v>2572</v>
      </c>
      <c r="DE445" s="166">
        <v>7740</v>
      </c>
      <c r="DF445" s="528">
        <f t="shared" si="274"/>
        <v>7740</v>
      </c>
      <c r="DG445" s="529"/>
      <c r="DH445" s="530">
        <f t="shared" si="275"/>
        <v>7740</v>
      </c>
      <c r="DP445" s="165" t="s">
        <v>813</v>
      </c>
      <c r="DQ445" s="166">
        <v>0</v>
      </c>
      <c r="DR445" s="522">
        <f t="shared" si="267"/>
        <v>0</v>
      </c>
      <c r="DS445" s="523"/>
      <c r="DT445" s="524">
        <f t="shared" si="268"/>
        <v>0</v>
      </c>
      <c r="DU445" s="166"/>
      <c r="DV445" s="738" t="s">
        <v>5843</v>
      </c>
      <c r="DW445" s="166">
        <v>0</v>
      </c>
      <c r="DX445" s="522">
        <f>ROUND(((DW445-(DW445/6))/$DD$3)*$DE$3,2)</f>
        <v>0</v>
      </c>
      <c r="DY445" s="523"/>
      <c r="DZ445" s="524">
        <f>IF(DY445="",DX445,
IF(AND($DW$10&gt;=VLOOKUP(DY445,$DV$5:$DZ$9,2,0),$DW$10&lt;=VLOOKUP(DY445,$DV$5:$DZ$9,3,0)),
(DX445*(1-VLOOKUP(DY445,$DV$5:$DZ$9,4,0))),
DX445))</f>
        <v>0</v>
      </c>
      <c r="EH445" s="736" t="s">
        <v>3708</v>
      </c>
      <c r="EI445" s="105">
        <v>0</v>
      </c>
      <c r="EJ445" s="536">
        <f>ROUND(((EI445-(EI445/6))/$DD$3)*$DE$3,2)</f>
        <v>0</v>
      </c>
      <c r="EK445" s="514"/>
      <c r="EL445" s="511">
        <f>IF(EK445="",EJ445,
IF(AND($EI$10&gt;=VLOOKUP(EK445,$EH$5:$EL$9,2,0),$EI$10&lt;=VLOOKUP(EK445,$EH$5:$EL$9,3,0)),
(EJ445*(1-VLOOKUP(EK445,$EH$5:$EL$9,4,0))),
EJ445))</f>
        <v>0</v>
      </c>
    </row>
    <row r="446" spans="51:142">
      <c r="AY446" s="250" t="s">
        <v>1076</v>
      </c>
      <c r="AZ446" s="137" t="s">
        <v>1725</v>
      </c>
      <c r="BA446" s="138" t="str">
        <f t="shared" si="282"/>
        <v>ДП ЛАДА-ЛОФТ.4/1.фальц,</v>
      </c>
      <c r="BW446" s="249" t="s">
        <v>2663</v>
      </c>
      <c r="BX446" s="248" t="s">
        <v>832</v>
      </c>
      <c r="BY446" s="139" t="str">
        <f t="shared" si="273"/>
        <v>ДП Міра.2/3.Бронза</v>
      </c>
      <c r="CA446" s="147" t="s">
        <v>3278</v>
      </c>
      <c r="CB446" s="152" t="s">
        <v>4336</v>
      </c>
      <c r="CC446" s="139" t="str">
        <f>CONCATENATE(CA446,".",CB446)</f>
        <v>ДП Ніка.фальц..неробоча..Пл Magnet +3завіс</v>
      </c>
      <c r="DD446" s="250" t="s">
        <v>2573</v>
      </c>
      <c r="DE446" s="166">
        <v>7740</v>
      </c>
      <c r="DF446" s="528">
        <f t="shared" si="274"/>
        <v>7740</v>
      </c>
      <c r="DG446" s="529"/>
      <c r="DH446" s="530">
        <f t="shared" si="275"/>
        <v>7740</v>
      </c>
      <c r="DP446" s="738" t="s">
        <v>3959</v>
      </c>
      <c r="DQ446" s="166">
        <v>550</v>
      </c>
      <c r="DR446" s="522">
        <f t="shared" si="267"/>
        <v>550</v>
      </c>
      <c r="DS446" s="523"/>
      <c r="DT446" s="524">
        <f t="shared" si="268"/>
        <v>550</v>
      </c>
      <c r="DU446" s="166"/>
      <c r="DV446" s="738" t="s">
        <v>4598</v>
      </c>
      <c r="DW446" s="166">
        <v>550</v>
      </c>
      <c r="DX446" s="522">
        <f t="shared" si="284"/>
        <v>550</v>
      </c>
      <c r="DY446" s="523"/>
      <c r="DZ446" s="524">
        <f t="shared" si="285"/>
        <v>550</v>
      </c>
      <c r="EH446" s="736" t="s">
        <v>3709</v>
      </c>
      <c r="EI446" s="105">
        <v>0</v>
      </c>
      <c r="EJ446" s="536">
        <f>ROUND(((EI446-(EI446/6))/$DD$3)*$DE$3,2)</f>
        <v>0</v>
      </c>
      <c r="EK446" s="514"/>
      <c r="EL446" s="511">
        <f>IF(EK446="",EJ446,
IF(AND($EI$10&gt;=VLOOKUP(EK446,$EH$5:$EL$9,2,0),$EI$10&lt;=VLOOKUP(EK446,$EH$5:$EL$9,3,0)),
(EJ446*(1-VLOOKUP(EK446,$EH$5:$EL$9,4,0))),
EJ446))</f>
        <v>0</v>
      </c>
    </row>
    <row r="447" spans="51:142">
      <c r="AY447" s="250" t="s">
        <v>1076</v>
      </c>
      <c r="AZ447" s="137" t="s">
        <v>1723</v>
      </c>
      <c r="BA447" s="138" t="str">
        <f t="shared" si="282"/>
        <v>ДП ЛАДА-ЛОФТ.4/1.б/з фальц.</v>
      </c>
      <c r="BW447" s="249" t="s">
        <v>2663</v>
      </c>
      <c r="BX447" s="248" t="s">
        <v>6046</v>
      </c>
      <c r="BY447" s="139" t="str">
        <f>CONCATENATE(BW447,".",BX447)</f>
        <v>ДП Міра.2/3.Лакобель</v>
      </c>
      <c r="CA447" s="146" t="s">
        <v>3279</v>
      </c>
      <c r="CB447" s="137" t="s">
        <v>4106</v>
      </c>
      <c r="CC447" s="239" t="str">
        <f>CONCATENATE(CA447,".",CB447)</f>
        <v>ДП Ніка.б/з фальц..робоча..(ні)</v>
      </c>
      <c r="DD447" s="250" t="s">
        <v>2574</v>
      </c>
      <c r="DE447" s="166">
        <v>7740</v>
      </c>
      <c r="DF447" s="528">
        <f t="shared" si="274"/>
        <v>7740</v>
      </c>
      <c r="DG447" s="529"/>
      <c r="DH447" s="530">
        <f t="shared" si="275"/>
        <v>7740</v>
      </c>
      <c r="DP447" s="108" t="s">
        <v>577</v>
      </c>
      <c r="DQ447" s="164">
        <v>550</v>
      </c>
      <c r="DR447" s="531">
        <f t="shared" si="267"/>
        <v>550</v>
      </c>
      <c r="DS447" s="526"/>
      <c r="DT447" s="527">
        <f t="shared" si="268"/>
        <v>550</v>
      </c>
      <c r="DU447" s="166"/>
      <c r="DV447" s="738" t="s">
        <v>4599</v>
      </c>
      <c r="DW447" s="166">
        <v>550</v>
      </c>
      <c r="DX447" s="522">
        <f t="shared" si="284"/>
        <v>550</v>
      </c>
      <c r="DY447" s="523"/>
      <c r="DZ447" s="524">
        <f t="shared" si="285"/>
        <v>550</v>
      </c>
      <c r="EH447" s="736" t="s">
        <v>3710</v>
      </c>
      <c r="EI447" s="105">
        <v>0</v>
      </c>
      <c r="EJ447" s="536">
        <f t="shared" si="280"/>
        <v>0</v>
      </c>
      <c r="EK447" s="514"/>
      <c r="EL447" s="511">
        <f t="shared" si="283"/>
        <v>0</v>
      </c>
    </row>
    <row r="448" spans="51:142">
      <c r="AY448" s="249" t="s">
        <v>1076</v>
      </c>
      <c r="AZ448" s="62" t="s">
        <v>1724</v>
      </c>
      <c r="BA448" s="139" t="str">
        <f t="shared" si="282"/>
        <v>ДП ЛАДА-ЛОФТ.4/1.купе.</v>
      </c>
      <c r="BW448" s="432"/>
      <c r="BX448" s="432"/>
      <c r="BY448" s="432"/>
      <c r="CA448" s="146" t="s">
        <v>3279</v>
      </c>
      <c r="CB448" s="97"/>
      <c r="CC448" s="97"/>
      <c r="DD448" s="250" t="s">
        <v>2575</v>
      </c>
      <c r="DE448" s="166">
        <v>7740</v>
      </c>
      <c r="DF448" s="528">
        <f t="shared" si="274"/>
        <v>7740</v>
      </c>
      <c r="DG448" s="529"/>
      <c r="DH448" s="530">
        <f t="shared" si="275"/>
        <v>7740</v>
      </c>
      <c r="DP448" s="165" t="s">
        <v>814</v>
      </c>
      <c r="DQ448" s="166">
        <v>0</v>
      </c>
      <c r="DR448" s="522">
        <f t="shared" si="267"/>
        <v>0</v>
      </c>
      <c r="DS448" s="523"/>
      <c r="DT448" s="524">
        <f t="shared" si="268"/>
        <v>0</v>
      </c>
      <c r="DU448" s="166"/>
      <c r="DV448" s="738" t="s">
        <v>4600</v>
      </c>
      <c r="DW448" s="166">
        <v>800</v>
      </c>
      <c r="DX448" s="522">
        <f>ROUND(((DW448-(DW448/6))/$DD$3)*$DE$3,2)</f>
        <v>800</v>
      </c>
      <c r="DY448" s="523"/>
      <c r="DZ448" s="524">
        <f>IF(DY448="",DX448,
IF(AND($DW$10&gt;=VLOOKUP(DY448,$DV$5:$DZ$9,2,0),$DW$10&lt;=VLOOKUP(DY448,$DV$5:$DZ$9,3,0)),
(DX448*(1-VLOOKUP(DY448,$DV$5:$DZ$9,4,0))),
DX448))</f>
        <v>800</v>
      </c>
      <c r="EH448" s="736" t="s">
        <v>3711</v>
      </c>
      <c r="EI448" s="105">
        <v>0</v>
      </c>
      <c r="EJ448" s="536">
        <f t="shared" si="280"/>
        <v>0</v>
      </c>
      <c r="EK448" s="514"/>
      <c r="EL448" s="511">
        <f t="shared" ref="EL448:EL462" si="286">IF(EK448="",EJ448,
IF(AND($EI$10&gt;=VLOOKUP(EK448,$EH$5:$EL$9,2,0),$EI$10&lt;=VLOOKUP(EK448,$EH$5:$EL$9,3,0)),
(EJ448*(1-VLOOKUP(EK448,$EH$5:$EL$9,4,0))),
EJ448))</f>
        <v>0</v>
      </c>
    </row>
    <row r="449" spans="51:142">
      <c r="AY449" s="250" t="s">
        <v>1071</v>
      </c>
      <c r="AZ449" s="137" t="s">
        <v>1725</v>
      </c>
      <c r="BA449" s="138" t="str">
        <f t="shared" si="282"/>
        <v>ДП ЛАДА-ЛОФТ.5/0.фальц,</v>
      </c>
      <c r="BW449" s="251" t="s">
        <v>1065</v>
      </c>
      <c r="BX449" s="770" t="s">
        <v>4106</v>
      </c>
      <c r="BY449" s="135" t="str">
        <f t="shared" ref="BY449:BY477" si="287">CONCATENATE(BW449,".",BX449)</f>
        <v>ДП ЛАДА-ЛОФТ.1/0.(ні)</v>
      </c>
      <c r="CA449" s="146" t="s">
        <v>3279</v>
      </c>
      <c r="CB449" s="478" t="s">
        <v>4337</v>
      </c>
      <c r="CC449" s="239" t="str">
        <f>CONCATENATE(CA449,".",CB449)</f>
        <v>ДП Ніка.б/з фальц..робоча..Magnet цл б/з завіс.</v>
      </c>
      <c r="DD449" s="249" t="s">
        <v>2576</v>
      </c>
      <c r="DE449" s="164">
        <v>7740</v>
      </c>
      <c r="DF449" s="528">
        <f t="shared" si="274"/>
        <v>7740</v>
      </c>
      <c r="DG449" s="529"/>
      <c r="DH449" s="530">
        <f t="shared" si="275"/>
        <v>7740</v>
      </c>
      <c r="DP449" s="738" t="s">
        <v>3960</v>
      </c>
      <c r="DQ449" s="166">
        <v>550</v>
      </c>
      <c r="DR449" s="522">
        <f t="shared" si="267"/>
        <v>550</v>
      </c>
      <c r="DS449" s="523"/>
      <c r="DT449" s="524">
        <f t="shared" si="268"/>
        <v>550</v>
      </c>
      <c r="DU449" s="166"/>
      <c r="DV449" s="739" t="s">
        <v>4601</v>
      </c>
      <c r="DW449" s="164">
        <v>800</v>
      </c>
      <c r="DX449" s="525">
        <f>ROUND(((DW449-(DW449/6))/$DD$3)*$DE$3,2)</f>
        <v>800</v>
      </c>
      <c r="DY449" s="526"/>
      <c r="DZ449" s="527">
        <f>IF(DY449="",DX449,
IF(AND($DW$10&gt;=VLOOKUP(DY449,$DV$5:$DZ$9,2,0),$DW$10&lt;=VLOOKUP(DY449,$DV$5:$DZ$9,3,0)),
(DX449*(1-VLOOKUP(DY449,$DV$5:$DZ$9,4,0))),
DX449))</f>
        <v>800</v>
      </c>
      <c r="EH449" s="736" t="s">
        <v>5174</v>
      </c>
      <c r="EI449" s="105">
        <v>0</v>
      </c>
      <c r="EJ449" s="536">
        <f>ROUND(((EI449-(EI449/6))/$DD$3)*$DE$3,2)</f>
        <v>0</v>
      </c>
      <c r="EK449" s="514"/>
      <c r="EL449" s="511">
        <f>IF(EK449="",EJ449,
IF(AND($EI$10&gt;=VLOOKUP(EK449,$EH$5:$EL$9,2,0),$EI$10&lt;=VLOOKUP(EK449,$EH$5:$EL$9,3,0)),
(EJ449*(1-VLOOKUP(EK449,$EH$5:$EL$9,4,0))),
EJ449))</f>
        <v>0</v>
      </c>
    </row>
    <row r="450" spans="51:142">
      <c r="AY450" s="250" t="s">
        <v>1071</v>
      </c>
      <c r="AZ450" s="137" t="s">
        <v>1723</v>
      </c>
      <c r="BA450" s="138" t="str">
        <f t="shared" si="282"/>
        <v>ДП ЛАДА-ЛОФТ.5/0.б/з фальц.</v>
      </c>
      <c r="BW450" s="251" t="s">
        <v>1067</v>
      </c>
      <c r="BX450" s="246" t="s">
        <v>458</v>
      </c>
      <c r="BY450" s="135" t="str">
        <f t="shared" si="287"/>
        <v>ДП ЛАДА-ЛОФТ.1/1.Сатин</v>
      </c>
      <c r="CA450" s="146" t="s">
        <v>3279</v>
      </c>
      <c r="CB450" s="478" t="s">
        <v>4339</v>
      </c>
      <c r="CC450" s="239" t="str">
        <f>CONCATENATE(CA450,".",CB450)</f>
        <v>ДП Ніка.б/з фальц..робоча..Magnet ст б/з завіс.</v>
      </c>
      <c r="DD450" s="250" t="s">
        <v>2577</v>
      </c>
      <c r="DE450" s="166">
        <v>8400</v>
      </c>
      <c r="DF450" s="528">
        <f t="shared" si="274"/>
        <v>8400</v>
      </c>
      <c r="DG450" s="529"/>
      <c r="DH450" s="530">
        <f t="shared" si="275"/>
        <v>8400</v>
      </c>
      <c r="DP450" s="108" t="s">
        <v>800</v>
      </c>
      <c r="DQ450" s="164">
        <v>550</v>
      </c>
      <c r="DR450" s="531">
        <f t="shared" si="267"/>
        <v>550</v>
      </c>
      <c r="DS450" s="526"/>
      <c r="DT450" s="527">
        <f t="shared" si="268"/>
        <v>550</v>
      </c>
      <c r="DU450" s="166"/>
      <c r="DV450" s="738" t="s">
        <v>6306</v>
      </c>
      <c r="DW450" s="166">
        <v>1</v>
      </c>
      <c r="DX450" s="522">
        <f t="shared" si="284"/>
        <v>1</v>
      </c>
      <c r="DY450" s="523"/>
      <c r="DZ450" s="524">
        <f t="shared" si="285"/>
        <v>1</v>
      </c>
      <c r="EH450" s="736" t="s">
        <v>3712</v>
      </c>
      <c r="EI450" s="105">
        <v>0</v>
      </c>
      <c r="EJ450" s="536">
        <f t="shared" si="280"/>
        <v>0</v>
      </c>
      <c r="EK450" s="514"/>
      <c r="EL450" s="511">
        <f t="shared" si="286"/>
        <v>0</v>
      </c>
    </row>
    <row r="451" spans="51:142">
      <c r="AY451" s="249" t="s">
        <v>1071</v>
      </c>
      <c r="AZ451" s="62" t="s">
        <v>1724</v>
      </c>
      <c r="BA451" s="139" t="str">
        <f t="shared" si="282"/>
        <v>ДП ЛАДА-ЛОФТ.5/0.купе.</v>
      </c>
      <c r="BW451" s="250" t="s">
        <v>1067</v>
      </c>
      <c r="BX451" s="770" t="s">
        <v>3851</v>
      </c>
      <c r="BY451" s="138" t="str">
        <f t="shared" si="287"/>
        <v>ДП ЛАДА-ЛОФТ.1/1.Графіт</v>
      </c>
      <c r="CA451" s="146" t="s">
        <v>3279</v>
      </c>
      <c r="CB451" s="97"/>
      <c r="CC451" s="97"/>
      <c r="DD451" s="250" t="s">
        <v>2578</v>
      </c>
      <c r="DE451" s="166">
        <v>8400</v>
      </c>
      <c r="DF451" s="528">
        <f t="shared" si="274"/>
        <v>8400</v>
      </c>
      <c r="DG451" s="529"/>
      <c r="DH451" s="530">
        <f t="shared" si="275"/>
        <v>8400</v>
      </c>
      <c r="DP451" s="165" t="s">
        <v>917</v>
      </c>
      <c r="DQ451" s="166">
        <v>0</v>
      </c>
      <c r="DR451" s="522">
        <f t="shared" si="267"/>
        <v>0</v>
      </c>
      <c r="DS451" s="523"/>
      <c r="DT451" s="524">
        <f t="shared" si="268"/>
        <v>0</v>
      </c>
      <c r="DU451" s="166"/>
      <c r="DV451" s="739" t="s">
        <v>6307</v>
      </c>
      <c r="DW451" s="164">
        <v>1</v>
      </c>
      <c r="DX451" s="525">
        <f t="shared" si="284"/>
        <v>1</v>
      </c>
      <c r="DY451" s="526"/>
      <c r="DZ451" s="527">
        <f t="shared" si="285"/>
        <v>1</v>
      </c>
      <c r="EH451" s="256"/>
      <c r="EI451" s="257"/>
      <c r="EJ451" s="517"/>
      <c r="EK451" s="532"/>
      <c r="EL451" s="259"/>
    </row>
    <row r="452" spans="51:142">
      <c r="AY452" s="250" t="s">
        <v>1072</v>
      </c>
      <c r="AZ452" s="137" t="s">
        <v>1725</v>
      </c>
      <c r="BA452" s="138" t="str">
        <f t="shared" si="282"/>
        <v>ДП ЛАДА-ЛОФТ.5/1.фальц,</v>
      </c>
      <c r="BW452" s="249" t="s">
        <v>1067</v>
      </c>
      <c r="BX452" s="248" t="s">
        <v>832</v>
      </c>
      <c r="BY452" s="139" t="str">
        <f t="shared" si="287"/>
        <v>ДП ЛАДА-ЛОФТ.1/1.Бронза</v>
      </c>
      <c r="CA452" s="146" t="s">
        <v>3279</v>
      </c>
      <c r="CB452" s="478" t="s">
        <v>4343</v>
      </c>
      <c r="CC452" s="239" t="str">
        <f>CONCATENATE(CA452,".",CB452)</f>
        <v>ДП Ніка.б/з фальц..робоча..Magnet цл +2завіс 3D</v>
      </c>
      <c r="DD452" s="250" t="s">
        <v>2579</v>
      </c>
      <c r="DE452" s="166">
        <v>8400</v>
      </c>
      <c r="DF452" s="528">
        <f t="shared" si="274"/>
        <v>8400</v>
      </c>
      <c r="DG452" s="529"/>
      <c r="DH452" s="530">
        <f t="shared" si="275"/>
        <v>8400</v>
      </c>
      <c r="DP452" s="738" t="s">
        <v>3961</v>
      </c>
      <c r="DQ452" s="166">
        <v>550</v>
      </c>
      <c r="DR452" s="522">
        <f t="shared" si="267"/>
        <v>550</v>
      </c>
      <c r="DS452" s="523"/>
      <c r="DT452" s="524">
        <f t="shared" si="268"/>
        <v>550</v>
      </c>
      <c r="DU452" s="166"/>
      <c r="DV452" s="737" t="s">
        <v>4602</v>
      </c>
      <c r="DW452" s="163">
        <v>0</v>
      </c>
      <c r="DX452" s="528">
        <f t="shared" si="284"/>
        <v>0</v>
      </c>
      <c r="DY452" s="529"/>
      <c r="DZ452" s="530">
        <f t="shared" si="285"/>
        <v>0</v>
      </c>
      <c r="EH452" s="736" t="s">
        <v>4995</v>
      </c>
      <c r="EI452" s="105">
        <v>0</v>
      </c>
      <c r="EJ452" s="536">
        <f t="shared" si="280"/>
        <v>0</v>
      </c>
      <c r="EK452" s="514"/>
      <c r="EL452" s="511">
        <f t="shared" si="286"/>
        <v>0</v>
      </c>
    </row>
    <row r="453" spans="51:142">
      <c r="AY453" s="250" t="s">
        <v>1072</v>
      </c>
      <c r="AZ453" s="137" t="s">
        <v>1723</v>
      </c>
      <c r="BA453" s="138" t="str">
        <f t="shared" si="282"/>
        <v>ДП ЛАДА-ЛОФТ.5/1.б/з фальц.</v>
      </c>
      <c r="BW453" s="251" t="s">
        <v>1068</v>
      </c>
      <c r="BX453" s="770" t="s">
        <v>4106</v>
      </c>
      <c r="BY453" s="135" t="str">
        <f t="shared" si="287"/>
        <v>ДП ЛАДА-ЛОФТ.3/0.(ні)</v>
      </c>
      <c r="CA453" s="146" t="s">
        <v>3279</v>
      </c>
      <c r="CB453" s="478" t="s">
        <v>4347</v>
      </c>
      <c r="CC453" s="239" t="str">
        <f>CONCATENATE(CA453,".",CB453)</f>
        <v>ДП Ніка.б/з фальц..робоча..Magnet ст +2завіс 3D</v>
      </c>
      <c r="DD453" s="250" t="s">
        <v>2580</v>
      </c>
      <c r="DE453" s="166">
        <v>8400</v>
      </c>
      <c r="DF453" s="528">
        <f t="shared" si="274"/>
        <v>8400</v>
      </c>
      <c r="DG453" s="529"/>
      <c r="DH453" s="530">
        <f t="shared" si="275"/>
        <v>8400</v>
      </c>
      <c r="DP453" s="108" t="s">
        <v>801</v>
      </c>
      <c r="DQ453" s="164">
        <v>550</v>
      </c>
      <c r="DR453" s="531">
        <f t="shared" si="267"/>
        <v>550</v>
      </c>
      <c r="DS453" s="526"/>
      <c r="DT453" s="527">
        <f t="shared" si="268"/>
        <v>550</v>
      </c>
      <c r="DU453" s="166"/>
      <c r="DV453" s="738" t="s">
        <v>4603</v>
      </c>
      <c r="DW453" s="166">
        <v>0</v>
      </c>
      <c r="DX453" s="522">
        <f t="shared" si="284"/>
        <v>0</v>
      </c>
      <c r="DY453" s="523"/>
      <c r="DZ453" s="524">
        <f t="shared" si="285"/>
        <v>0</v>
      </c>
      <c r="EH453" s="736" t="s">
        <v>3713</v>
      </c>
      <c r="EI453" s="105">
        <v>0</v>
      </c>
      <c r="EJ453" s="536">
        <f t="shared" si="280"/>
        <v>0</v>
      </c>
      <c r="EK453" s="514"/>
      <c r="EL453" s="511">
        <f t="shared" si="286"/>
        <v>0</v>
      </c>
    </row>
    <row r="454" spans="51:142">
      <c r="AY454" s="249" t="s">
        <v>1072</v>
      </c>
      <c r="AZ454" s="62" t="s">
        <v>1724</v>
      </c>
      <c r="BA454" s="139" t="str">
        <f t="shared" si="282"/>
        <v>ДП ЛАДА-ЛОФТ.5/1.купе.</v>
      </c>
      <c r="BW454" s="251" t="s">
        <v>1069</v>
      </c>
      <c r="BX454" s="246" t="s">
        <v>458</v>
      </c>
      <c r="BY454" s="135" t="str">
        <f t="shared" si="287"/>
        <v>ДП ЛАДА-ЛОФТ.3/1.Сатин</v>
      </c>
      <c r="CA454" s="146" t="s">
        <v>3279</v>
      </c>
      <c r="CB454" s="97"/>
      <c r="CC454" s="97"/>
      <c r="DD454" s="250" t="s">
        <v>2581</v>
      </c>
      <c r="DE454" s="166">
        <v>8400</v>
      </c>
      <c r="DF454" s="528">
        <f t="shared" si="274"/>
        <v>8400</v>
      </c>
      <c r="DG454" s="529"/>
      <c r="DH454" s="530">
        <f t="shared" si="275"/>
        <v>8400</v>
      </c>
      <c r="DP454" s="165" t="s">
        <v>918</v>
      </c>
      <c r="DQ454" s="166">
        <v>0</v>
      </c>
      <c r="DR454" s="522">
        <f t="shared" si="267"/>
        <v>0</v>
      </c>
      <c r="DS454" s="523"/>
      <c r="DT454" s="524">
        <f t="shared" si="268"/>
        <v>0</v>
      </c>
      <c r="DU454" s="166"/>
      <c r="DV454" s="739" t="s">
        <v>4604</v>
      </c>
      <c r="DW454" s="164">
        <v>0</v>
      </c>
      <c r="DX454" s="531">
        <f t="shared" ref="DX454:DX460" si="288">ROUND(((DW454-(DW454/6))/$DD$3)*$DE$3,2)</f>
        <v>0</v>
      </c>
      <c r="DY454" s="526"/>
      <c r="DZ454" s="527">
        <f t="shared" ref="DZ454:DZ460" si="289">IF(DY454="",DX454,
IF(AND($DW$10&gt;=VLOOKUP(DY454,$DV$5:$DZ$9,2,0),$DW$10&lt;=VLOOKUP(DY454,$DV$5:$DZ$9,3,0)),
(DX454*(1-VLOOKUP(DY454,$DV$5:$DZ$9,4,0))),
DX454))</f>
        <v>0</v>
      </c>
      <c r="EH454" s="736" t="s">
        <v>3714</v>
      </c>
      <c r="EI454" s="105">
        <v>0</v>
      </c>
      <c r="EJ454" s="536">
        <f>ROUND(((EI454-(EI454/6))/$DD$3)*$DE$3,2)</f>
        <v>0</v>
      </c>
      <c r="EK454" s="514"/>
      <c r="EL454" s="511">
        <f>IF(EK454="",EJ454,
IF(AND($EI$10&gt;=VLOOKUP(EK454,$EH$5:$EL$9,2,0),$EI$10&lt;=VLOOKUP(EK454,$EH$5:$EL$9,3,0)),
(EJ454*(1-VLOOKUP(EK454,$EH$5:$EL$9,4,0))),
EJ454))</f>
        <v>0</v>
      </c>
    </row>
    <row r="455" spans="51:142">
      <c r="AY455" s="250" t="s">
        <v>1073</v>
      </c>
      <c r="AZ455" s="137" t="s">
        <v>1725</v>
      </c>
      <c r="BA455" s="138" t="str">
        <f t="shared" si="282"/>
        <v>ДП ЛАДА-ЛОФТ.6/0.фальц,</v>
      </c>
      <c r="BW455" s="250" t="s">
        <v>1069</v>
      </c>
      <c r="BX455" s="770" t="s">
        <v>3851</v>
      </c>
      <c r="BY455" s="138" t="str">
        <f t="shared" si="287"/>
        <v>ДП ЛАДА-ЛОФТ.3/1.Графіт</v>
      </c>
      <c r="CA455" s="146" t="s">
        <v>3279</v>
      </c>
      <c r="CB455" s="478" t="s">
        <v>4349</v>
      </c>
      <c r="CC455" s="239" t="str">
        <f>CONCATENATE(CA455,".",CB455)</f>
        <v>ДП Ніка.б/з фальц..робоча..Magnet цл +3завіс 3D</v>
      </c>
      <c r="DD455" s="250" t="s">
        <v>2582</v>
      </c>
      <c r="DE455" s="166">
        <v>8400</v>
      </c>
      <c r="DF455" s="528">
        <f t="shared" si="274"/>
        <v>8400</v>
      </c>
      <c r="DG455" s="529"/>
      <c r="DH455" s="530">
        <f t="shared" si="275"/>
        <v>8400</v>
      </c>
      <c r="DP455" s="738" t="s">
        <v>3962</v>
      </c>
      <c r="DQ455" s="166">
        <v>550</v>
      </c>
      <c r="DR455" s="522">
        <f t="shared" si="267"/>
        <v>550</v>
      </c>
      <c r="DS455" s="523"/>
      <c r="DT455" s="524">
        <f t="shared" si="268"/>
        <v>550</v>
      </c>
      <c r="DU455" s="166"/>
      <c r="DV455" s="738" t="s">
        <v>4605</v>
      </c>
      <c r="DW455" s="166">
        <v>800</v>
      </c>
      <c r="DX455" s="522">
        <f t="shared" si="288"/>
        <v>800</v>
      </c>
      <c r="DY455" s="523"/>
      <c r="DZ455" s="524">
        <f t="shared" si="289"/>
        <v>800</v>
      </c>
      <c r="EH455" s="736" t="s">
        <v>3715</v>
      </c>
      <c r="EI455" s="105">
        <v>0</v>
      </c>
      <c r="EJ455" s="536">
        <f>ROUND(((EI455-(EI455/6))/$DD$3)*$DE$3,2)</f>
        <v>0</v>
      </c>
      <c r="EK455" s="514"/>
      <c r="EL455" s="511">
        <f>IF(EK455="",EJ455,
IF(AND($EI$10&gt;=VLOOKUP(EK455,$EH$5:$EL$9,2,0),$EI$10&lt;=VLOOKUP(EK455,$EH$5:$EL$9,3,0)),
(EJ455*(1-VLOOKUP(EK455,$EH$5:$EL$9,4,0))),
EJ455))</f>
        <v>0</v>
      </c>
    </row>
    <row r="456" spans="51:142">
      <c r="AY456" s="250" t="s">
        <v>1073</v>
      </c>
      <c r="AZ456" s="137" t="s">
        <v>1723</v>
      </c>
      <c r="BA456" s="138" t="str">
        <f t="shared" si="282"/>
        <v>ДП ЛАДА-ЛОФТ.6/0.б/з фальц.</v>
      </c>
      <c r="BW456" s="249" t="s">
        <v>1069</v>
      </c>
      <c r="BX456" s="248" t="s">
        <v>832</v>
      </c>
      <c r="BY456" s="139" t="str">
        <f t="shared" si="287"/>
        <v>ДП ЛАДА-ЛОФТ.3/1.Бронза</v>
      </c>
      <c r="CA456" s="147" t="s">
        <v>3279</v>
      </c>
      <c r="CB456" s="590" t="s">
        <v>4350</v>
      </c>
      <c r="CC456" s="240" t="str">
        <f>CONCATENATE(CA456,".",CB456)</f>
        <v>ДП Ніка.б/з фальц..робоча..Magnet ст +3завіс 3D</v>
      </c>
      <c r="DD456" s="250" t="s">
        <v>2583</v>
      </c>
      <c r="DE456" s="166">
        <v>8400</v>
      </c>
      <c r="DF456" s="528">
        <f t="shared" si="274"/>
        <v>8400</v>
      </c>
      <c r="DG456" s="529"/>
      <c r="DH456" s="530">
        <f t="shared" si="275"/>
        <v>8400</v>
      </c>
      <c r="DP456" s="108" t="s">
        <v>802</v>
      </c>
      <c r="DQ456" s="164">
        <v>550</v>
      </c>
      <c r="DR456" s="531">
        <f t="shared" si="267"/>
        <v>550</v>
      </c>
      <c r="DS456" s="526"/>
      <c r="DT456" s="527">
        <f t="shared" si="268"/>
        <v>550</v>
      </c>
      <c r="DU456" s="166"/>
      <c r="DV456" s="738" t="s">
        <v>4606</v>
      </c>
      <c r="DW456" s="166">
        <v>800</v>
      </c>
      <c r="DX456" s="522">
        <f t="shared" si="288"/>
        <v>800</v>
      </c>
      <c r="DY456" s="523"/>
      <c r="DZ456" s="524">
        <f t="shared" si="289"/>
        <v>800</v>
      </c>
      <c r="EH456" s="736" t="s">
        <v>3716</v>
      </c>
      <c r="EI456" s="105">
        <v>0</v>
      </c>
      <c r="EJ456" s="536">
        <f t="shared" ref="EJ456:EJ477" si="290">ROUND(((EI456-(EI456/6))/$DD$3)*$DE$3,2)</f>
        <v>0</v>
      </c>
      <c r="EK456" s="514"/>
      <c r="EL456" s="511">
        <f t="shared" si="286"/>
        <v>0</v>
      </c>
    </row>
    <row r="457" spans="51:142">
      <c r="AY457" s="249" t="s">
        <v>1073</v>
      </c>
      <c r="AZ457" s="62" t="s">
        <v>1724</v>
      </c>
      <c r="BA457" s="139" t="str">
        <f t="shared" si="282"/>
        <v>ДП ЛАДА-ЛОФТ.6/0.купе.</v>
      </c>
      <c r="BW457" s="251" t="s">
        <v>1070</v>
      </c>
      <c r="BX457" s="246" t="s">
        <v>458</v>
      </c>
      <c r="BY457" s="135" t="str">
        <f t="shared" si="287"/>
        <v>ДП ЛАДА-ЛОФТ.4/0.Сатин</v>
      </c>
      <c r="CA457" s="145" t="s">
        <v>3280</v>
      </c>
      <c r="CB457" s="134" t="s">
        <v>4106</v>
      </c>
      <c r="CC457" s="135" t="str">
        <f>CONCATENATE(CA457,".",CB457)</f>
        <v>ДП Ніка.купе..робоча..(ні)</v>
      </c>
      <c r="DD457" s="250" t="s">
        <v>2584</v>
      </c>
      <c r="DE457" s="166">
        <v>8400</v>
      </c>
      <c r="DF457" s="528">
        <f t="shared" si="274"/>
        <v>8400</v>
      </c>
      <c r="DG457" s="529"/>
      <c r="DH457" s="530">
        <f t="shared" si="275"/>
        <v>8400</v>
      </c>
      <c r="DP457" s="165" t="s">
        <v>919</v>
      </c>
      <c r="DQ457" s="166">
        <v>0</v>
      </c>
      <c r="DR457" s="522">
        <f t="shared" si="267"/>
        <v>0</v>
      </c>
      <c r="DS457" s="523"/>
      <c r="DT457" s="524">
        <f t="shared" si="268"/>
        <v>0</v>
      </c>
      <c r="DU457" s="166"/>
      <c r="DV457" s="738" t="s">
        <v>4607</v>
      </c>
      <c r="DW457" s="166">
        <v>800</v>
      </c>
      <c r="DX457" s="522">
        <f t="shared" si="288"/>
        <v>800</v>
      </c>
      <c r="DY457" s="523"/>
      <c r="DZ457" s="524">
        <f t="shared" si="289"/>
        <v>800</v>
      </c>
      <c r="EH457" s="736" t="s">
        <v>3717</v>
      </c>
      <c r="EI457" s="105">
        <v>0</v>
      </c>
      <c r="EJ457" s="536">
        <f t="shared" si="290"/>
        <v>0</v>
      </c>
      <c r="EK457" s="514"/>
      <c r="EL457" s="511">
        <f t="shared" si="286"/>
        <v>0</v>
      </c>
    </row>
    <row r="458" spans="51:142">
      <c r="AY458" s="250" t="s">
        <v>1074</v>
      </c>
      <c r="AZ458" s="137" t="s">
        <v>1725</v>
      </c>
      <c r="BA458" s="138" t="str">
        <f t="shared" si="282"/>
        <v>ДП ЛАДА-ЛОФТ.6/1.фальц,</v>
      </c>
      <c r="BW458" s="250" t="s">
        <v>1070</v>
      </c>
      <c r="BX458" s="770" t="s">
        <v>3851</v>
      </c>
      <c r="BY458" s="138" t="str">
        <f t="shared" si="287"/>
        <v>ДП ЛАДА-ЛОФТ.4/0.Графіт</v>
      </c>
      <c r="CA458" s="146" t="s">
        <v>3280</v>
      </c>
      <c r="CB458" s="21"/>
      <c r="CC458" s="21"/>
      <c r="DD458" s="250" t="s">
        <v>2585</v>
      </c>
      <c r="DE458" s="166">
        <v>8400</v>
      </c>
      <c r="DF458" s="528">
        <f t="shared" si="274"/>
        <v>8400</v>
      </c>
      <c r="DG458" s="529"/>
      <c r="DH458" s="530">
        <f t="shared" si="275"/>
        <v>8400</v>
      </c>
      <c r="DP458" s="738" t="s">
        <v>3963</v>
      </c>
      <c r="DQ458" s="166">
        <v>550</v>
      </c>
      <c r="DR458" s="522">
        <f t="shared" si="267"/>
        <v>550</v>
      </c>
      <c r="DS458" s="523"/>
      <c r="DT458" s="524">
        <f t="shared" si="268"/>
        <v>550</v>
      </c>
      <c r="DU458" s="166"/>
      <c r="DV458" s="738" t="s">
        <v>4608</v>
      </c>
      <c r="DW458" s="166">
        <v>800</v>
      </c>
      <c r="DX458" s="522">
        <f t="shared" si="288"/>
        <v>800</v>
      </c>
      <c r="DY458" s="523"/>
      <c r="DZ458" s="524">
        <f t="shared" si="289"/>
        <v>800</v>
      </c>
      <c r="EH458" s="736" t="s">
        <v>5175</v>
      </c>
      <c r="EI458" s="105">
        <v>0</v>
      </c>
      <c r="EJ458" s="536">
        <f>ROUND(((EI458-(EI458/6))/$DD$3)*$DE$3,2)</f>
        <v>0</v>
      </c>
      <c r="EK458" s="514"/>
      <c r="EL458" s="511">
        <f>IF(EK458="",EJ458,
IF(AND($EI$10&gt;=VLOOKUP(EK458,$EH$5:$EL$9,2,0),$EI$10&lt;=VLOOKUP(EK458,$EH$5:$EL$9,3,0)),
(EJ458*(1-VLOOKUP(EK458,$EH$5:$EL$9,4,0))),
EJ458))</f>
        <v>0</v>
      </c>
    </row>
    <row r="459" spans="51:142">
      <c r="AY459" s="250" t="s">
        <v>1074</v>
      </c>
      <c r="AZ459" s="137" t="s">
        <v>1723</v>
      </c>
      <c r="BA459" s="138" t="str">
        <f t="shared" si="282"/>
        <v>ДП ЛАДА-ЛОФТ.6/1.б/з фальц.</v>
      </c>
      <c r="BW459" s="249" t="s">
        <v>1070</v>
      </c>
      <c r="BX459" s="248" t="s">
        <v>832</v>
      </c>
      <c r="BY459" s="139" t="str">
        <f t="shared" si="287"/>
        <v>ДП ЛАДА-ЛОФТ.4/0.Бронза</v>
      </c>
      <c r="CA459" s="146" t="s">
        <v>3280</v>
      </c>
      <c r="CB459" s="137" t="s">
        <v>462</v>
      </c>
      <c r="CC459" s="138" t="str">
        <f>CONCATENATE(CA459,".",CB459)</f>
        <v>ДП Ніка.купе..робоча..Ручка-Захват</v>
      </c>
      <c r="DD459" s="250" t="s">
        <v>2586</v>
      </c>
      <c r="DE459" s="166">
        <v>8400</v>
      </c>
      <c r="DF459" s="528">
        <f t="shared" si="274"/>
        <v>8400</v>
      </c>
      <c r="DG459" s="529"/>
      <c r="DH459" s="530">
        <f t="shared" si="275"/>
        <v>8400</v>
      </c>
      <c r="DP459" s="108" t="s">
        <v>803</v>
      </c>
      <c r="DQ459" s="164">
        <v>550</v>
      </c>
      <c r="DR459" s="531">
        <f t="shared" si="267"/>
        <v>550</v>
      </c>
      <c r="DS459" s="526"/>
      <c r="DT459" s="527">
        <f t="shared" si="268"/>
        <v>550</v>
      </c>
      <c r="DU459" s="166"/>
      <c r="DV459" s="738" t="s">
        <v>4609</v>
      </c>
      <c r="DW459" s="166">
        <v>800</v>
      </c>
      <c r="DX459" s="522">
        <f t="shared" si="288"/>
        <v>800</v>
      </c>
      <c r="DY459" s="523"/>
      <c r="DZ459" s="524">
        <f t="shared" si="289"/>
        <v>800</v>
      </c>
      <c r="EH459" s="736" t="s">
        <v>3718</v>
      </c>
      <c r="EI459" s="105">
        <v>0</v>
      </c>
      <c r="EJ459" s="536">
        <f t="shared" si="290"/>
        <v>0</v>
      </c>
      <c r="EK459" s="514"/>
      <c r="EL459" s="511">
        <f t="shared" si="286"/>
        <v>0</v>
      </c>
    </row>
    <row r="460" spans="51:142">
      <c r="AY460" s="249" t="s">
        <v>1074</v>
      </c>
      <c r="AZ460" s="62" t="s">
        <v>1724</v>
      </c>
      <c r="BA460" s="139" t="str">
        <f t="shared" si="282"/>
        <v>ДП ЛАДА-ЛОФТ.6/1.купе.</v>
      </c>
      <c r="BW460" s="249" t="s">
        <v>1070</v>
      </c>
      <c r="BX460" s="248" t="s">
        <v>6046</v>
      </c>
      <c r="BY460" s="139" t="str">
        <f>CONCATENATE(BW460,".",BX460)</f>
        <v>ДП ЛАДА-ЛОФТ.4/0.Лакобель</v>
      </c>
      <c r="CA460" s="146" t="s">
        <v>3280</v>
      </c>
      <c r="CB460" s="137" t="s">
        <v>684</v>
      </c>
      <c r="CC460" s="138" t="str">
        <f>CONCATENATE(CA460,".",CB460)</f>
        <v>ДП Ніка.купе..робоча..Ручка-Замок</v>
      </c>
      <c r="DD460" s="250" t="s">
        <v>2587</v>
      </c>
      <c r="DE460" s="166">
        <v>8400</v>
      </c>
      <c r="DF460" s="528">
        <f t="shared" si="274"/>
        <v>8400</v>
      </c>
      <c r="DG460" s="529"/>
      <c r="DH460" s="530">
        <f t="shared" si="275"/>
        <v>8400</v>
      </c>
      <c r="DP460" s="538"/>
      <c r="DQ460" s="539"/>
      <c r="DR460" s="650"/>
      <c r="DS460" s="651"/>
      <c r="DT460" s="652"/>
      <c r="DU460" s="166"/>
      <c r="DV460" s="739" t="s">
        <v>4610</v>
      </c>
      <c r="DW460" s="166">
        <v>800</v>
      </c>
      <c r="DX460" s="525">
        <f t="shared" si="288"/>
        <v>800</v>
      </c>
      <c r="DY460" s="526"/>
      <c r="DZ460" s="527">
        <f t="shared" si="289"/>
        <v>800</v>
      </c>
      <c r="EH460" s="256"/>
      <c r="EI460" s="257"/>
      <c r="EJ460" s="517"/>
      <c r="EK460" s="532"/>
      <c r="EL460" s="259"/>
    </row>
    <row r="461" spans="51:142">
      <c r="AY461" s="227"/>
      <c r="AZ461" s="222"/>
      <c r="BA461" s="223"/>
      <c r="BW461" s="251" t="s">
        <v>1076</v>
      </c>
      <c r="BX461" s="246" t="s">
        <v>458</v>
      </c>
      <c r="BY461" s="135" t="str">
        <f t="shared" si="287"/>
        <v>ДП ЛАДА-ЛОФТ.4/1.Сатин</v>
      </c>
      <c r="CA461" s="432"/>
      <c r="CB461" s="222"/>
      <c r="CC461" s="223"/>
      <c r="DD461" s="250" t="s">
        <v>2588</v>
      </c>
      <c r="DE461" s="166">
        <v>8400</v>
      </c>
      <c r="DF461" s="528">
        <f t="shared" si="274"/>
        <v>8400</v>
      </c>
      <c r="DG461" s="529"/>
      <c r="DH461" s="530">
        <f t="shared" si="275"/>
        <v>8400</v>
      </c>
      <c r="DP461" s="743" t="s">
        <v>4166</v>
      </c>
      <c r="DQ461" s="105">
        <v>0</v>
      </c>
      <c r="DR461" s="403">
        <f t="shared" ref="DR461:DR496" si="291">ROUND(((DQ461-(DQ461/6))/$DD$3)*$DE$3,2)</f>
        <v>0</v>
      </c>
      <c r="DS461" s="514"/>
      <c r="DT461" s="511">
        <f t="shared" ref="DT461:DT496" si="292">IF(DS461="",DR461,
IF(AND($DQ$10&gt;=VLOOKUP(DS461,$DP$5:$DT$9,2,0),$DQ$10&lt;=VLOOKUP(DS461,$DP$5:$DT$9,3,0)),
(DR461*(1-VLOOKUP(DS461,$DP$5:$DT$9,4,0))),
DR461))</f>
        <v>0</v>
      </c>
      <c r="DU461" s="166"/>
      <c r="DV461" s="739" t="s">
        <v>6308</v>
      </c>
      <c r="DW461" s="164">
        <v>0</v>
      </c>
      <c r="DX461" s="531">
        <f t="shared" si="284"/>
        <v>0</v>
      </c>
      <c r="DY461" s="526"/>
      <c r="DZ461" s="527">
        <f t="shared" si="285"/>
        <v>0</v>
      </c>
      <c r="EH461" s="736" t="s">
        <v>4996</v>
      </c>
      <c r="EI461" s="105">
        <v>0</v>
      </c>
      <c r="EJ461" s="536">
        <f t="shared" si="290"/>
        <v>0</v>
      </c>
      <c r="EK461" s="514"/>
      <c r="EL461" s="511">
        <f t="shared" si="286"/>
        <v>0</v>
      </c>
    </row>
    <row r="462" spans="51:142">
      <c r="AY462" s="250" t="s">
        <v>2728</v>
      </c>
      <c r="AZ462" s="137" t="s">
        <v>1722</v>
      </c>
      <c r="BA462" s="138" t="str">
        <f t="shared" ref="BA462:BA488" si="293">CONCATENATE(AY462,".",AZ462)</f>
        <v>ДП Лінда.1/0.фальц.</v>
      </c>
      <c r="BW462" s="250" t="s">
        <v>1076</v>
      </c>
      <c r="BX462" s="770" t="s">
        <v>3851</v>
      </c>
      <c r="BY462" s="138" t="str">
        <f t="shared" si="287"/>
        <v>ДП ЛАДА-ЛОФТ.4/1.Графіт</v>
      </c>
      <c r="CA462" s="146" t="s">
        <v>3281</v>
      </c>
      <c r="CB462" s="137" t="s">
        <v>4106</v>
      </c>
      <c r="CC462" s="138" t="str">
        <f>CONCATENATE(CA462,".",CB462)</f>
        <v>ДП Ліса.фальц..робоча..(ні)</v>
      </c>
      <c r="DD462" s="249" t="s">
        <v>2589</v>
      </c>
      <c r="DE462" s="164">
        <v>8400</v>
      </c>
      <c r="DF462" s="528">
        <f t="shared" si="274"/>
        <v>8400</v>
      </c>
      <c r="DG462" s="529"/>
      <c r="DH462" s="530">
        <f t="shared" si="275"/>
        <v>8400</v>
      </c>
      <c r="DP462" s="251" t="s">
        <v>2666</v>
      </c>
      <c r="DQ462" s="163">
        <v>0</v>
      </c>
      <c r="DR462" s="528">
        <f t="shared" si="291"/>
        <v>0</v>
      </c>
      <c r="DS462" s="529"/>
      <c r="DT462" s="530">
        <f t="shared" si="292"/>
        <v>0</v>
      </c>
      <c r="DU462" s="166"/>
      <c r="DV462" s="738" t="s">
        <v>6309</v>
      </c>
      <c r="DW462" s="166">
        <v>1</v>
      </c>
      <c r="DX462" s="522">
        <f t="shared" si="284"/>
        <v>1</v>
      </c>
      <c r="DY462" s="523"/>
      <c r="DZ462" s="524">
        <f t="shared" si="285"/>
        <v>1</v>
      </c>
      <c r="EH462" s="736" t="s">
        <v>3719</v>
      </c>
      <c r="EI462" s="105">
        <v>0</v>
      </c>
      <c r="EJ462" s="536">
        <f t="shared" si="290"/>
        <v>0</v>
      </c>
      <c r="EK462" s="514"/>
      <c r="EL462" s="511">
        <f t="shared" si="286"/>
        <v>0</v>
      </c>
    </row>
    <row r="463" spans="51:142">
      <c r="AY463" s="250" t="s">
        <v>2728</v>
      </c>
      <c r="AZ463" s="137" t="s">
        <v>1723</v>
      </c>
      <c r="BA463" s="138" t="str">
        <f t="shared" si="293"/>
        <v>ДП Лінда.1/0.б/з фальц.</v>
      </c>
      <c r="BW463" s="249" t="s">
        <v>1076</v>
      </c>
      <c r="BX463" s="248" t="s">
        <v>832</v>
      </c>
      <c r="BY463" s="139" t="str">
        <f t="shared" si="287"/>
        <v>ДП ЛАДА-ЛОФТ.4/1.Бронза</v>
      </c>
      <c r="CA463" s="146" t="s">
        <v>3281</v>
      </c>
      <c r="CB463" s="21"/>
      <c r="CC463" s="21"/>
      <c r="DD463" s="740" t="s">
        <v>5176</v>
      </c>
      <c r="DE463" s="166">
        <v>8770</v>
      </c>
      <c r="DF463" s="528">
        <f t="shared" si="274"/>
        <v>8770</v>
      </c>
      <c r="DG463" s="529"/>
      <c r="DH463" s="530">
        <f t="shared" si="275"/>
        <v>8770</v>
      </c>
      <c r="DP463" s="740" t="s">
        <v>3964</v>
      </c>
      <c r="DQ463" s="166">
        <v>550</v>
      </c>
      <c r="DR463" s="522">
        <f t="shared" si="291"/>
        <v>550</v>
      </c>
      <c r="DS463" s="523"/>
      <c r="DT463" s="524">
        <f t="shared" si="292"/>
        <v>550</v>
      </c>
      <c r="DU463" s="166"/>
      <c r="DV463" s="738" t="s">
        <v>6310</v>
      </c>
      <c r="DW463" s="166">
        <v>1</v>
      </c>
      <c r="DX463" s="522">
        <f t="shared" si="284"/>
        <v>1</v>
      </c>
      <c r="DY463" s="523"/>
      <c r="DZ463" s="524">
        <f t="shared" si="285"/>
        <v>1</v>
      </c>
      <c r="EH463" s="736" t="s">
        <v>3720</v>
      </c>
      <c r="EI463" s="105">
        <v>0</v>
      </c>
      <c r="EJ463" s="536">
        <f>ROUND(((EI463-(EI463/6))/$DD$3)*$DE$3,2)</f>
        <v>0</v>
      </c>
      <c r="EK463" s="514"/>
      <c r="EL463" s="511">
        <f t="shared" ref="EL463:EL477" si="294">IF(EK463="",EJ463,
IF(AND($EI$10&gt;=VLOOKUP(EK463,$EH$5:$EL$9,2,0),$EI$10&lt;=VLOOKUP(EK463,$EH$5:$EL$9,3,0)),
(EJ463*(1-VLOOKUP(EK463,$EH$5:$EL$9,4,0))),
EJ463))</f>
        <v>0</v>
      </c>
    </row>
    <row r="464" spans="51:142">
      <c r="AY464" s="249" t="s">
        <v>2728</v>
      </c>
      <c r="AZ464" s="62" t="s">
        <v>1724</v>
      </c>
      <c r="BA464" s="139" t="str">
        <f t="shared" si="293"/>
        <v>ДП Лінда.1/0.купе.</v>
      </c>
      <c r="BW464" s="251" t="s">
        <v>1071</v>
      </c>
      <c r="BX464" s="246" t="s">
        <v>458</v>
      </c>
      <c r="BY464" s="135" t="str">
        <f t="shared" si="287"/>
        <v>ДП ЛАДА-ЛОФТ.5/0.Сатин</v>
      </c>
      <c r="CA464" s="146" t="s">
        <v>3281</v>
      </c>
      <c r="CB464" s="783" t="s">
        <v>5754</v>
      </c>
      <c r="CC464" s="138" t="str">
        <f t="shared" ref="CC464:CC469" si="295">CONCATENATE(CA464,".",CB464)</f>
        <v>ДП Ліса.фальц..робоча..Stand цл Лів +3завіс</v>
      </c>
      <c r="DD464" s="740" t="s">
        <v>5177</v>
      </c>
      <c r="DE464" s="166">
        <v>8770</v>
      </c>
      <c r="DF464" s="528">
        <f t="shared" si="274"/>
        <v>8770</v>
      </c>
      <c r="DG464" s="529"/>
      <c r="DH464" s="530">
        <f t="shared" si="275"/>
        <v>8770</v>
      </c>
      <c r="DP464" s="249" t="s">
        <v>2667</v>
      </c>
      <c r="DQ464" s="164">
        <v>550</v>
      </c>
      <c r="DR464" s="531">
        <f t="shared" si="291"/>
        <v>550</v>
      </c>
      <c r="DS464" s="526"/>
      <c r="DT464" s="527">
        <f t="shared" si="292"/>
        <v>550</v>
      </c>
      <c r="DU464" s="166"/>
      <c r="DV464" s="738" t="s">
        <v>6311</v>
      </c>
      <c r="DW464" s="166">
        <v>1</v>
      </c>
      <c r="DX464" s="522">
        <f t="shared" si="284"/>
        <v>1</v>
      </c>
      <c r="DY464" s="523"/>
      <c r="DZ464" s="524">
        <f t="shared" si="285"/>
        <v>1</v>
      </c>
      <c r="EH464" s="736" t="s">
        <v>3721</v>
      </c>
      <c r="EI464" s="105">
        <v>0</v>
      </c>
      <c r="EJ464" s="536">
        <f>ROUND(((EI464-(EI464/6))/$DD$3)*$DE$3,2)</f>
        <v>0</v>
      </c>
      <c r="EK464" s="514"/>
      <c r="EL464" s="511">
        <f>IF(EK464="",EJ464,
IF(AND($EI$10&gt;=VLOOKUP(EK464,$EH$5:$EL$9,2,0),$EI$10&lt;=VLOOKUP(EK464,$EH$5:$EL$9,3,0)),
(EJ464*(1-VLOOKUP(EK464,$EH$5:$EL$9,4,0))),
EJ464))</f>
        <v>0</v>
      </c>
    </row>
    <row r="465" spans="51:142">
      <c r="AY465" s="250" t="s">
        <v>2729</v>
      </c>
      <c r="AZ465" s="137" t="s">
        <v>1722</v>
      </c>
      <c r="BA465" s="138" t="str">
        <f t="shared" si="293"/>
        <v>ДП Лінда.1/1.фальц.</v>
      </c>
      <c r="BW465" s="250" t="s">
        <v>1071</v>
      </c>
      <c r="BX465" s="770" t="s">
        <v>3851</v>
      </c>
      <c r="BY465" s="138" t="str">
        <f t="shared" si="287"/>
        <v>ДП ЛАДА-ЛОФТ.5/0.Графіт</v>
      </c>
      <c r="CA465" s="146" t="s">
        <v>3281</v>
      </c>
      <c r="CB465" s="783" t="s">
        <v>5755</v>
      </c>
      <c r="CC465" s="138" t="str">
        <f t="shared" si="295"/>
        <v>ДП Ліса.фальц..робоча..Stand цл Пр +3завіс</v>
      </c>
      <c r="DD465" s="740" t="s">
        <v>5178</v>
      </c>
      <c r="DE465" s="166">
        <v>8770</v>
      </c>
      <c r="DF465" s="528">
        <f t="shared" si="274"/>
        <v>8770</v>
      </c>
      <c r="DG465" s="529"/>
      <c r="DH465" s="530">
        <f t="shared" si="275"/>
        <v>8770</v>
      </c>
      <c r="DP465" s="249" t="s">
        <v>6064</v>
      </c>
      <c r="DQ465" s="164">
        <v>550</v>
      </c>
      <c r="DR465" s="531">
        <f>ROUND(((DQ465-(DQ465/6))/$DD$3)*$DE$3,2)</f>
        <v>550</v>
      </c>
      <c r="DS465" s="526"/>
      <c r="DT465" s="527">
        <f>IF(DS465="",DR465,
IF(AND($DQ$10&gt;=VLOOKUP(DS465,$DP$5:$DT$9,2,0),$DQ$10&lt;=VLOOKUP(DS465,$DP$5:$DT$9,3,0)),
(DR465*(1-VLOOKUP(DS465,$DP$5:$DT$9,4,0))),
DR465))</f>
        <v>550</v>
      </c>
      <c r="DU465" s="166"/>
      <c r="DV465" s="738" t="s">
        <v>6312</v>
      </c>
      <c r="DW465" s="166">
        <v>1</v>
      </c>
      <c r="DX465" s="522">
        <f t="shared" si="284"/>
        <v>1</v>
      </c>
      <c r="DY465" s="523"/>
      <c r="DZ465" s="524">
        <f t="shared" si="285"/>
        <v>1</v>
      </c>
      <c r="EH465" s="736" t="s">
        <v>3722</v>
      </c>
      <c r="EI465" s="105">
        <v>0</v>
      </c>
      <c r="EJ465" s="536">
        <f t="shared" si="290"/>
        <v>0</v>
      </c>
      <c r="EK465" s="514"/>
      <c r="EL465" s="511">
        <f t="shared" si="294"/>
        <v>0</v>
      </c>
    </row>
    <row r="466" spans="51:142">
      <c r="AY466" s="250" t="s">
        <v>2729</v>
      </c>
      <c r="AZ466" s="137" t="s">
        <v>1723</v>
      </c>
      <c r="BA466" s="138" t="str">
        <f t="shared" si="293"/>
        <v>ДП Лінда.1/1.б/з фальц.</v>
      </c>
      <c r="BW466" s="249" t="s">
        <v>1071</v>
      </c>
      <c r="BX466" s="248" t="s">
        <v>832</v>
      </c>
      <c r="BY466" s="139" t="str">
        <f t="shared" si="287"/>
        <v>ДП ЛАДА-ЛОФТ.5/0.Бронза</v>
      </c>
      <c r="CA466" s="146" t="s">
        <v>3281</v>
      </c>
      <c r="CB466" s="783" t="s">
        <v>5756</v>
      </c>
      <c r="CC466" s="138" t="str">
        <f t="shared" si="295"/>
        <v>ДП Ліса.фальц..робоча..Stand кл Лів +3завіс</v>
      </c>
      <c r="DD466" s="740" t="s">
        <v>5179</v>
      </c>
      <c r="DE466" s="166">
        <v>8770</v>
      </c>
      <c r="DF466" s="528">
        <f t="shared" si="274"/>
        <v>8770</v>
      </c>
      <c r="DG466" s="529"/>
      <c r="DH466" s="530">
        <f t="shared" si="275"/>
        <v>8770</v>
      </c>
      <c r="DP466" s="250" t="s">
        <v>2668</v>
      </c>
      <c r="DQ466" s="166">
        <v>0</v>
      </c>
      <c r="DR466" s="522">
        <f t="shared" si="291"/>
        <v>0</v>
      </c>
      <c r="DS466" s="523"/>
      <c r="DT466" s="524">
        <f t="shared" si="292"/>
        <v>0</v>
      </c>
      <c r="DU466" s="166"/>
      <c r="DV466" s="738" t="s">
        <v>6313</v>
      </c>
      <c r="DW466" s="166">
        <v>1</v>
      </c>
      <c r="DX466" s="522">
        <f t="shared" si="284"/>
        <v>1</v>
      </c>
      <c r="DY466" s="523"/>
      <c r="DZ466" s="524">
        <f t="shared" si="285"/>
        <v>1</v>
      </c>
      <c r="EH466" s="736" t="s">
        <v>3723</v>
      </c>
      <c r="EI466" s="105">
        <v>0</v>
      </c>
      <c r="EJ466" s="536">
        <f t="shared" si="290"/>
        <v>0</v>
      </c>
      <c r="EK466" s="514"/>
      <c r="EL466" s="511">
        <f t="shared" si="294"/>
        <v>0</v>
      </c>
    </row>
    <row r="467" spans="51:142">
      <c r="AY467" s="249" t="s">
        <v>2729</v>
      </c>
      <c r="AZ467" s="62" t="s">
        <v>1724</v>
      </c>
      <c r="BA467" s="139" t="str">
        <f t="shared" si="293"/>
        <v>ДП Лінда.1/1.купе.</v>
      </c>
      <c r="BW467" s="249" t="s">
        <v>1071</v>
      </c>
      <c r="BX467" s="248" t="s">
        <v>6046</v>
      </c>
      <c r="BY467" s="139" t="str">
        <f>CONCATENATE(BW467,".",BX467)</f>
        <v>ДП ЛАДА-ЛОФТ.5/0.Лакобель</v>
      </c>
      <c r="CA467" s="146" t="s">
        <v>3281</v>
      </c>
      <c r="CB467" s="783" t="s">
        <v>5757</v>
      </c>
      <c r="CC467" s="138" t="str">
        <f t="shared" si="295"/>
        <v>ДП Ліса.фальц..робоча..Stand кл Пр +3завіс</v>
      </c>
      <c r="DD467" s="740" t="s">
        <v>5180</v>
      </c>
      <c r="DE467" s="166">
        <v>8770</v>
      </c>
      <c r="DF467" s="528">
        <f t="shared" si="274"/>
        <v>8770</v>
      </c>
      <c r="DG467" s="529"/>
      <c r="DH467" s="530">
        <f t="shared" si="275"/>
        <v>8770</v>
      </c>
      <c r="DP467" s="740" t="s">
        <v>3965</v>
      </c>
      <c r="DQ467" s="166">
        <v>550</v>
      </c>
      <c r="DR467" s="522">
        <f t="shared" si="291"/>
        <v>550</v>
      </c>
      <c r="DS467" s="523"/>
      <c r="DT467" s="524">
        <f t="shared" si="292"/>
        <v>550</v>
      </c>
      <c r="DU467" s="166"/>
      <c r="DV467" s="739" t="s">
        <v>6314</v>
      </c>
      <c r="DW467" s="166">
        <v>1</v>
      </c>
      <c r="DX467" s="525">
        <f t="shared" si="284"/>
        <v>1</v>
      </c>
      <c r="DY467" s="526"/>
      <c r="DZ467" s="527">
        <f t="shared" si="285"/>
        <v>1</v>
      </c>
      <c r="EH467" s="736" t="s">
        <v>5181</v>
      </c>
      <c r="EI467" s="105">
        <v>0</v>
      </c>
      <c r="EJ467" s="536">
        <f>ROUND(((EI467-(EI467/6))/$DD$3)*$DE$3,2)</f>
        <v>0</v>
      </c>
      <c r="EK467" s="514"/>
      <c r="EL467" s="511">
        <f>IF(EK467="",EJ467,
IF(AND($EI$10&gt;=VLOOKUP(EK467,$EH$5:$EL$9,2,0),$EI$10&lt;=VLOOKUP(EK467,$EH$5:$EL$9,3,0)),
(EJ467*(1-VLOOKUP(EK467,$EH$5:$EL$9,4,0))),
EJ467))</f>
        <v>0</v>
      </c>
    </row>
    <row r="468" spans="51:142">
      <c r="AY468" s="250" t="s">
        <v>2730</v>
      </c>
      <c r="AZ468" s="137" t="s">
        <v>1722</v>
      </c>
      <c r="BA468" s="138" t="str">
        <f t="shared" si="293"/>
        <v>ДП Лінда.1/2.фальц.</v>
      </c>
      <c r="BW468" s="251" t="s">
        <v>1072</v>
      </c>
      <c r="BX468" s="246" t="s">
        <v>458</v>
      </c>
      <c r="BY468" s="135" t="str">
        <f t="shared" si="287"/>
        <v>ДП ЛАДА-ЛОФТ.5/1.Сатин</v>
      </c>
      <c r="CA468" s="146" t="s">
        <v>3281</v>
      </c>
      <c r="CB468" s="783" t="s">
        <v>5758</v>
      </c>
      <c r="CC468" s="138" t="str">
        <f t="shared" si="295"/>
        <v>ДП Ліса.фальц..робоча..Stand ст Лів +3завіс</v>
      </c>
      <c r="DD468" s="740" t="s">
        <v>5182</v>
      </c>
      <c r="DE468" s="166">
        <v>8770</v>
      </c>
      <c r="DF468" s="528">
        <f t="shared" si="274"/>
        <v>8770</v>
      </c>
      <c r="DG468" s="529"/>
      <c r="DH468" s="530">
        <f t="shared" si="275"/>
        <v>8770</v>
      </c>
      <c r="DP468" s="249" t="s">
        <v>2669</v>
      </c>
      <c r="DQ468" s="164">
        <v>550</v>
      </c>
      <c r="DR468" s="531">
        <f t="shared" si="291"/>
        <v>550</v>
      </c>
      <c r="DS468" s="526"/>
      <c r="DT468" s="527">
        <f t="shared" si="292"/>
        <v>550</v>
      </c>
      <c r="DU468" s="166"/>
      <c r="DV468" s="165" t="s">
        <v>1682</v>
      </c>
      <c r="DW468" s="166">
        <v>0</v>
      </c>
      <c r="DX468" s="522">
        <f t="shared" si="284"/>
        <v>0</v>
      </c>
      <c r="DY468" s="523"/>
      <c r="DZ468" s="524">
        <f t="shared" si="285"/>
        <v>0</v>
      </c>
      <c r="EH468" s="736" t="s">
        <v>3724</v>
      </c>
      <c r="EI468" s="105">
        <v>0</v>
      </c>
      <c r="EJ468" s="536">
        <f t="shared" si="290"/>
        <v>0</v>
      </c>
      <c r="EK468" s="514"/>
      <c r="EL468" s="511">
        <f t="shared" si="294"/>
        <v>0</v>
      </c>
    </row>
    <row r="469" spans="51:142">
      <c r="AY469" s="250" t="s">
        <v>2730</v>
      </c>
      <c r="AZ469" s="137" t="s">
        <v>1723</v>
      </c>
      <c r="BA469" s="138" t="str">
        <f t="shared" si="293"/>
        <v>ДП Лінда.1/2.б/з фальц.</v>
      </c>
      <c r="BW469" s="250" t="s">
        <v>1072</v>
      </c>
      <c r="BX469" s="770" t="s">
        <v>3851</v>
      </c>
      <c r="BY469" s="138" t="str">
        <f t="shared" si="287"/>
        <v>ДП ЛАДА-ЛОФТ.5/1.Графіт</v>
      </c>
      <c r="CA469" s="146" t="s">
        <v>3281</v>
      </c>
      <c r="CB469" s="783" t="s">
        <v>5759</v>
      </c>
      <c r="CC469" s="138" t="str">
        <f t="shared" si="295"/>
        <v>ДП Ліса.фальц..робоча..Stand ст Пр +3завіс</v>
      </c>
      <c r="DD469" s="740" t="s">
        <v>5183</v>
      </c>
      <c r="DE469" s="166">
        <v>8770</v>
      </c>
      <c r="DF469" s="528">
        <f t="shared" si="274"/>
        <v>8770</v>
      </c>
      <c r="DG469" s="529"/>
      <c r="DH469" s="530">
        <f t="shared" si="275"/>
        <v>8770</v>
      </c>
      <c r="DP469" s="249" t="s">
        <v>6065</v>
      </c>
      <c r="DQ469" s="164">
        <v>550</v>
      </c>
      <c r="DR469" s="531">
        <f>ROUND(((DQ469-(DQ469/6))/$DD$3)*$DE$3,2)</f>
        <v>550</v>
      </c>
      <c r="DS469" s="526"/>
      <c r="DT469" s="527">
        <f>IF(DS469="",DR469,
IF(AND($DQ$10&gt;=VLOOKUP(DS469,$DP$5:$DT$9,2,0),$DQ$10&lt;=VLOOKUP(DS469,$DP$5:$DT$9,3,0)),
(DR469*(1-VLOOKUP(DS469,$DP$5:$DT$9,4,0))),
DR469))</f>
        <v>550</v>
      </c>
      <c r="DU469" s="166"/>
      <c r="DV469" s="108" t="s">
        <v>1683</v>
      </c>
      <c r="DW469" s="164">
        <v>560</v>
      </c>
      <c r="DX469" s="531">
        <f t="shared" si="284"/>
        <v>560</v>
      </c>
      <c r="DY469" s="526"/>
      <c r="DZ469" s="527">
        <f t="shared" si="285"/>
        <v>560</v>
      </c>
      <c r="EH469" s="256"/>
      <c r="EI469" s="257"/>
      <c r="EJ469" s="517"/>
      <c r="EK469" s="532"/>
      <c r="EL469" s="259"/>
    </row>
    <row r="470" spans="51:142">
      <c r="AY470" s="249" t="s">
        <v>2730</v>
      </c>
      <c r="AZ470" s="62" t="s">
        <v>1724</v>
      </c>
      <c r="BA470" s="139" t="str">
        <f t="shared" si="293"/>
        <v>ДП Лінда.1/2.купе.</v>
      </c>
      <c r="BW470" s="249" t="s">
        <v>1072</v>
      </c>
      <c r="BX470" s="248" t="s">
        <v>832</v>
      </c>
      <c r="BY470" s="139" t="str">
        <f t="shared" si="287"/>
        <v>ДП ЛАДА-ЛОФТ.5/1.Бронза</v>
      </c>
      <c r="CA470" s="146" t="s">
        <v>3281</v>
      </c>
      <c r="CC470" s="138"/>
      <c r="DD470" s="740" t="s">
        <v>5184</v>
      </c>
      <c r="DE470" s="166">
        <v>8770</v>
      </c>
      <c r="DF470" s="528">
        <f t="shared" si="274"/>
        <v>8770</v>
      </c>
      <c r="DG470" s="529"/>
      <c r="DH470" s="530">
        <f t="shared" si="275"/>
        <v>8770</v>
      </c>
      <c r="DP470" s="250" t="s">
        <v>2670</v>
      </c>
      <c r="DQ470" s="166">
        <v>0</v>
      </c>
      <c r="DR470" s="522">
        <f t="shared" si="291"/>
        <v>0</v>
      </c>
      <c r="DS470" s="523"/>
      <c r="DT470" s="524">
        <f t="shared" si="292"/>
        <v>0</v>
      </c>
      <c r="DU470" s="166"/>
      <c r="DV470" s="647"/>
      <c r="DW470" s="648"/>
      <c r="DX470" s="654"/>
      <c r="DY470" s="655"/>
      <c r="DZ470" s="656"/>
      <c r="EH470" s="736" t="s">
        <v>4997</v>
      </c>
      <c r="EI470" s="105">
        <v>0</v>
      </c>
      <c r="EJ470" s="536">
        <f t="shared" si="290"/>
        <v>0</v>
      </c>
      <c r="EK470" s="514"/>
      <c r="EL470" s="511">
        <f t="shared" si="294"/>
        <v>0</v>
      </c>
    </row>
    <row r="471" spans="51:142">
      <c r="AY471" s="250" t="s">
        <v>2731</v>
      </c>
      <c r="AZ471" s="137" t="s">
        <v>1722</v>
      </c>
      <c r="BA471" s="138" t="str">
        <f t="shared" si="293"/>
        <v>ДП Лінда.1/3.фальц.</v>
      </c>
      <c r="BW471" s="251" t="s">
        <v>1073</v>
      </c>
      <c r="BX471" s="246" t="s">
        <v>458</v>
      </c>
      <c r="BY471" s="135" t="str">
        <f t="shared" si="287"/>
        <v>ДП ЛАДА-ЛОФТ.6/0.Сатин</v>
      </c>
      <c r="CA471" s="146" t="s">
        <v>3281</v>
      </c>
      <c r="CB471" s="137" t="s">
        <v>4304</v>
      </c>
      <c r="CC471" s="138" t="str">
        <f>CONCATENATE(CA471,".",CB471)</f>
        <v>ДП Ліса.фальц..робоча..Soft цл +3завіс</v>
      </c>
      <c r="DD471" s="740" t="s">
        <v>5185</v>
      </c>
      <c r="DE471" s="166">
        <v>8770</v>
      </c>
      <c r="DF471" s="528">
        <f t="shared" si="274"/>
        <v>8770</v>
      </c>
      <c r="DG471" s="529"/>
      <c r="DH471" s="530">
        <f t="shared" si="275"/>
        <v>8770</v>
      </c>
      <c r="DP471" s="740" t="s">
        <v>3966</v>
      </c>
      <c r="DQ471" s="166">
        <v>550</v>
      </c>
      <c r="DR471" s="522">
        <f t="shared" si="291"/>
        <v>550</v>
      </c>
      <c r="DS471" s="523"/>
      <c r="DT471" s="524">
        <f t="shared" si="292"/>
        <v>550</v>
      </c>
      <c r="DU471" s="166"/>
      <c r="DV471" s="736" t="s">
        <v>4158</v>
      </c>
      <c r="DW471" s="105">
        <v>0</v>
      </c>
      <c r="DX471" s="403">
        <f t="shared" ref="DX471:DX501" si="296">ROUND(((DW471-(DW471/6))/$DD$3)*$DE$3,2)</f>
        <v>0</v>
      </c>
      <c r="DY471" s="514"/>
      <c r="DZ471" s="511">
        <f t="shared" ref="DZ471:DZ501" si="297">IF(DY471="",DX471,
IF(AND($DW$10&gt;=VLOOKUP(DY471,$DV$5:$DZ$9,2,0),$DW$10&lt;=VLOOKUP(DY471,$DV$5:$DZ$9,3,0)),
(DX471*(1-VLOOKUP(DY471,$DV$5:$DZ$9,4,0))),
DX471))</f>
        <v>0</v>
      </c>
      <c r="EH471" s="736" t="s">
        <v>3725</v>
      </c>
      <c r="EI471" s="105">
        <v>0</v>
      </c>
      <c r="EJ471" s="536">
        <f t="shared" si="290"/>
        <v>0</v>
      </c>
      <c r="EK471" s="514"/>
      <c r="EL471" s="511">
        <f t="shared" si="294"/>
        <v>0</v>
      </c>
    </row>
    <row r="472" spans="51:142">
      <c r="AY472" s="250" t="s">
        <v>2731</v>
      </c>
      <c r="AZ472" s="137" t="s">
        <v>1723</v>
      </c>
      <c r="BA472" s="138" t="str">
        <f t="shared" si="293"/>
        <v>ДП Лінда.1/3.б/з фальц.</v>
      </c>
      <c r="BW472" s="250" t="s">
        <v>1073</v>
      </c>
      <c r="BX472" s="770" t="s">
        <v>3851</v>
      </c>
      <c r="BY472" s="138" t="str">
        <f t="shared" si="287"/>
        <v>ДП ЛАДА-ЛОФТ.6/0.Графіт</v>
      </c>
      <c r="CA472" s="146" t="s">
        <v>3281</v>
      </c>
      <c r="CB472" s="137" t="s">
        <v>4307</v>
      </c>
      <c r="CC472" s="138" t="str">
        <f>CONCATENATE(CA472,".",CB472)</f>
        <v>ДП Ліса.фальц..робоча..Soft ст +3завіс</v>
      </c>
      <c r="DD472" s="740" t="s">
        <v>5186</v>
      </c>
      <c r="DE472" s="166">
        <v>8770</v>
      </c>
      <c r="DF472" s="528">
        <f t="shared" si="274"/>
        <v>8770</v>
      </c>
      <c r="DG472" s="529"/>
      <c r="DH472" s="530">
        <f t="shared" si="275"/>
        <v>8770</v>
      </c>
      <c r="DP472" s="249" t="s">
        <v>2671</v>
      </c>
      <c r="DQ472" s="164">
        <v>550</v>
      </c>
      <c r="DR472" s="531">
        <f t="shared" si="291"/>
        <v>550</v>
      </c>
      <c r="DS472" s="526"/>
      <c r="DT472" s="527">
        <f t="shared" si="292"/>
        <v>550</v>
      </c>
      <c r="DU472" s="166"/>
      <c r="DV472" s="737" t="s">
        <v>5844</v>
      </c>
      <c r="DW472" s="163">
        <v>0</v>
      </c>
      <c r="DX472" s="528">
        <f t="shared" si="296"/>
        <v>0</v>
      </c>
      <c r="DY472" s="529"/>
      <c r="DZ472" s="530">
        <f t="shared" si="297"/>
        <v>0</v>
      </c>
      <c r="EH472" s="736" t="s">
        <v>3726</v>
      </c>
      <c r="EI472" s="105">
        <v>0</v>
      </c>
      <c r="EJ472" s="536">
        <f>ROUND(((EI472-(EI472/6))/$DD$3)*$DE$3,2)</f>
        <v>0</v>
      </c>
      <c r="EK472" s="514"/>
      <c r="EL472" s="511">
        <f>IF(EK472="",EJ472,
IF(AND($EI$10&gt;=VLOOKUP(EK472,$EH$5:$EL$9,2,0),$EI$10&lt;=VLOOKUP(EK472,$EH$5:$EL$9,3,0)),
(EJ472*(1-VLOOKUP(EK472,$EH$5:$EL$9,4,0))),
EJ472))</f>
        <v>0</v>
      </c>
    </row>
    <row r="473" spans="51:142">
      <c r="AY473" s="249" t="s">
        <v>2731</v>
      </c>
      <c r="AZ473" s="62" t="s">
        <v>1724</v>
      </c>
      <c r="BA473" s="139" t="str">
        <f t="shared" si="293"/>
        <v>ДП Лінда.1/3.купе.</v>
      </c>
      <c r="BW473" s="249" t="s">
        <v>1073</v>
      </c>
      <c r="BX473" s="248" t="s">
        <v>832</v>
      </c>
      <c r="BY473" s="139" t="str">
        <f t="shared" si="287"/>
        <v>ДП ЛАДА-ЛОФТ.6/0.Бронза</v>
      </c>
      <c r="CA473" s="146" t="s">
        <v>3281</v>
      </c>
      <c r="CB473" s="21"/>
      <c r="CC473" s="21"/>
      <c r="DD473" s="740" t="s">
        <v>5187</v>
      </c>
      <c r="DE473" s="166">
        <v>8770</v>
      </c>
      <c r="DF473" s="528">
        <f t="shared" si="274"/>
        <v>8770</v>
      </c>
      <c r="DG473" s="529"/>
      <c r="DH473" s="530">
        <f t="shared" si="275"/>
        <v>8770</v>
      </c>
      <c r="DP473" s="249" t="s">
        <v>6066</v>
      </c>
      <c r="DQ473" s="164">
        <v>550</v>
      </c>
      <c r="DR473" s="531">
        <f>ROUND(((DQ473-(DQ473/6))/$DD$3)*$DE$3,2)</f>
        <v>550</v>
      </c>
      <c r="DS473" s="526"/>
      <c r="DT473" s="527">
        <f>IF(DS473="",DR473,
IF(AND($DQ$10&gt;=VLOOKUP(DS473,$DP$5:$DT$9,2,0),$DQ$10&lt;=VLOOKUP(DS473,$DP$5:$DT$9,3,0)),
(DR473*(1-VLOOKUP(DS473,$DP$5:$DT$9,4,0))),
DR473))</f>
        <v>550</v>
      </c>
      <c r="DU473" s="166"/>
      <c r="DV473" s="737" t="s">
        <v>5845</v>
      </c>
      <c r="DW473" s="163">
        <v>0</v>
      </c>
      <c r="DX473" s="528">
        <f>ROUND(((DW473-(DW473/6))/$DD$3)*$DE$3,2)</f>
        <v>0</v>
      </c>
      <c r="DY473" s="529"/>
      <c r="DZ473" s="530">
        <f>IF(DY473="",DX473,
IF(AND($DW$10&gt;=VLOOKUP(DY473,$DV$5:$DZ$9,2,0),$DW$10&lt;=VLOOKUP(DY473,$DV$5:$DZ$9,3,0)),
(DX473*(1-VLOOKUP(DY473,$DV$5:$DZ$9,4,0))),
DX473))</f>
        <v>0</v>
      </c>
      <c r="EH473" s="736" t="s">
        <v>3727</v>
      </c>
      <c r="EI473" s="105">
        <v>0</v>
      </c>
      <c r="EJ473" s="536">
        <f>ROUND(((EI473-(EI473/6))/$DD$3)*$DE$3,2)</f>
        <v>0</v>
      </c>
      <c r="EK473" s="514"/>
      <c r="EL473" s="511">
        <f>IF(EK473="",EJ473,
IF(AND($EI$10&gt;=VLOOKUP(EK473,$EH$5:$EL$9,2,0),$EI$10&lt;=VLOOKUP(EK473,$EH$5:$EL$9,3,0)),
(EJ473*(1-VLOOKUP(EK473,$EH$5:$EL$9,4,0))),
EJ473))</f>
        <v>0</v>
      </c>
    </row>
    <row r="474" spans="51:142">
      <c r="AY474" s="250" t="s">
        <v>2732</v>
      </c>
      <c r="AZ474" s="137" t="s">
        <v>1722</v>
      </c>
      <c r="BA474" s="138" t="str">
        <f t="shared" si="293"/>
        <v>ДП Лінда.1/4.фальц.</v>
      </c>
      <c r="BW474" s="249" t="s">
        <v>1073</v>
      </c>
      <c r="BX474" s="248" t="s">
        <v>6046</v>
      </c>
      <c r="BY474" s="139" t="str">
        <f>CONCATENATE(BW474,".",BX474)</f>
        <v>ДП ЛАДА-ЛОФТ.6/0.Лакобель</v>
      </c>
      <c r="CA474" s="146" t="s">
        <v>3281</v>
      </c>
      <c r="CB474" s="137" t="s">
        <v>4316</v>
      </c>
      <c r="CC474" s="138" t="str">
        <f>CONCATENATE(CA474,".",CB474)</f>
        <v>ДП Ліса.фальц..робоча..Magnet цл +3завіс</v>
      </c>
      <c r="DD474" s="740" t="s">
        <v>5188</v>
      </c>
      <c r="DE474" s="166">
        <v>8770</v>
      </c>
      <c r="DF474" s="528">
        <f t="shared" si="274"/>
        <v>8770</v>
      </c>
      <c r="DG474" s="529"/>
      <c r="DH474" s="530">
        <f t="shared" si="275"/>
        <v>8770</v>
      </c>
      <c r="DP474" s="250" t="s">
        <v>2672</v>
      </c>
      <c r="DQ474" s="166">
        <v>0</v>
      </c>
      <c r="DR474" s="522">
        <f t="shared" si="291"/>
        <v>0</v>
      </c>
      <c r="DS474" s="523"/>
      <c r="DT474" s="524">
        <f t="shared" si="292"/>
        <v>0</v>
      </c>
      <c r="DU474" s="166"/>
      <c r="DV474" s="738" t="s">
        <v>5846</v>
      </c>
      <c r="DW474" s="166">
        <v>0</v>
      </c>
      <c r="DX474" s="522">
        <f t="shared" si="296"/>
        <v>0</v>
      </c>
      <c r="DY474" s="523"/>
      <c r="DZ474" s="524">
        <f t="shared" si="297"/>
        <v>0</v>
      </c>
      <c r="EH474" s="736" t="s">
        <v>3728</v>
      </c>
      <c r="EI474" s="105">
        <v>0</v>
      </c>
      <c r="EJ474" s="536">
        <f t="shared" si="290"/>
        <v>0</v>
      </c>
      <c r="EK474" s="514"/>
      <c r="EL474" s="511">
        <f t="shared" si="294"/>
        <v>0</v>
      </c>
    </row>
    <row r="475" spans="51:142">
      <c r="AY475" s="250" t="s">
        <v>2732</v>
      </c>
      <c r="AZ475" s="137" t="s">
        <v>1723</v>
      </c>
      <c r="BA475" s="138" t="str">
        <f t="shared" si="293"/>
        <v>ДП Лінда.1/4.б/з фальц.</v>
      </c>
      <c r="BW475" s="251" t="s">
        <v>1074</v>
      </c>
      <c r="BX475" s="246" t="s">
        <v>458</v>
      </c>
      <c r="BY475" s="135" t="str">
        <f t="shared" si="287"/>
        <v>ДП ЛАДА-ЛОФТ.6/1.Сатин</v>
      </c>
      <c r="CA475" s="147" t="s">
        <v>3281</v>
      </c>
      <c r="CB475" s="62" t="s">
        <v>4319</v>
      </c>
      <c r="CC475" s="139" t="str">
        <f>CONCATENATE(CA475,".",CB475)</f>
        <v>ДП Ліса.фальц..робоча..Magnet ст +3завіс</v>
      </c>
      <c r="DD475" s="741" t="s">
        <v>5189</v>
      </c>
      <c r="DE475" s="164">
        <v>8770</v>
      </c>
      <c r="DF475" s="528">
        <f>ROUND(((DE475-(DE475/6))/$DD$3)*$DE$3,2)</f>
        <v>8770</v>
      </c>
      <c r="DG475" s="529"/>
      <c r="DH475" s="530">
        <f t="shared" si="275"/>
        <v>8770</v>
      </c>
      <c r="DP475" s="740" t="s">
        <v>3967</v>
      </c>
      <c r="DQ475" s="166">
        <v>550</v>
      </c>
      <c r="DR475" s="522">
        <f t="shared" si="291"/>
        <v>550</v>
      </c>
      <c r="DS475" s="523"/>
      <c r="DT475" s="524">
        <f t="shared" si="292"/>
        <v>550</v>
      </c>
      <c r="DU475" s="166"/>
      <c r="DV475" s="738" t="s">
        <v>5847</v>
      </c>
      <c r="DW475" s="163">
        <v>0</v>
      </c>
      <c r="DX475" s="528">
        <f>ROUND(((DW475-(DW475/6))/$DD$3)*$DE$3,2)</f>
        <v>0</v>
      </c>
      <c r="DY475" s="529"/>
      <c r="DZ475" s="530">
        <f>IF(DY475="",DX475,
IF(AND($DW$10&gt;=VLOOKUP(DY475,$DV$5:$DZ$9,2,0),$DW$10&lt;=VLOOKUP(DY475,$DV$5:$DZ$9,3,0)),
(DX475*(1-VLOOKUP(DY475,$DV$5:$DZ$9,4,0))),
DX475))</f>
        <v>0</v>
      </c>
      <c r="EH475" s="736" t="s">
        <v>3729</v>
      </c>
      <c r="EI475" s="105">
        <v>0</v>
      </c>
      <c r="EJ475" s="536">
        <f t="shared" si="290"/>
        <v>0</v>
      </c>
      <c r="EK475" s="514"/>
      <c r="EL475" s="511">
        <f t="shared" si="294"/>
        <v>0</v>
      </c>
    </row>
    <row r="476" spans="51:142">
      <c r="AY476" s="249" t="s">
        <v>2732</v>
      </c>
      <c r="AZ476" s="62" t="s">
        <v>1724</v>
      </c>
      <c r="BA476" s="139" t="str">
        <f t="shared" si="293"/>
        <v>ДП Лінда.1/4.купе.</v>
      </c>
      <c r="BW476" s="250" t="s">
        <v>1074</v>
      </c>
      <c r="BX476" s="770" t="s">
        <v>3851</v>
      </c>
      <c r="BY476" s="138" t="str">
        <f t="shared" si="287"/>
        <v>ДП ЛАДА-ЛОФТ.6/1.Графіт</v>
      </c>
      <c r="CA476" s="145" t="s">
        <v>3282</v>
      </c>
      <c r="CB476" s="134" t="s">
        <v>4106</v>
      </c>
      <c r="CC476" s="135" t="str">
        <f>CONCATENATE(CA476,".",CB476)</f>
        <v>ДП Ліса.фальц..неробоча..(ні)</v>
      </c>
      <c r="DD476" s="641"/>
      <c r="DE476" s="648"/>
      <c r="DF476" s="643"/>
      <c r="DG476" s="644"/>
      <c r="DH476" s="645"/>
      <c r="DP476" s="249" t="s">
        <v>2673</v>
      </c>
      <c r="DQ476" s="164">
        <v>550</v>
      </c>
      <c r="DR476" s="531">
        <f t="shared" si="291"/>
        <v>550</v>
      </c>
      <c r="DS476" s="526"/>
      <c r="DT476" s="527">
        <f t="shared" si="292"/>
        <v>550</v>
      </c>
      <c r="DU476" s="166"/>
      <c r="DV476" s="738" t="s">
        <v>5848</v>
      </c>
      <c r="DW476" s="166">
        <v>0</v>
      </c>
      <c r="DX476" s="522">
        <f t="shared" si="296"/>
        <v>0</v>
      </c>
      <c r="DY476" s="523"/>
      <c r="DZ476" s="524">
        <f t="shared" si="297"/>
        <v>0</v>
      </c>
      <c r="EH476" s="736" t="s">
        <v>5190</v>
      </c>
      <c r="EI476" s="105">
        <v>0</v>
      </c>
      <c r="EJ476" s="536">
        <f>ROUND(((EI476-(EI476/6))/$DD$3)*$DE$3,2)</f>
        <v>0</v>
      </c>
      <c r="EK476" s="514"/>
      <c r="EL476" s="511">
        <f>IF(EK476="",EJ476,
IF(AND($EI$10&gt;=VLOOKUP(EK476,$EH$5:$EL$9,2,0),$EI$10&lt;=VLOOKUP(EK476,$EH$5:$EL$9,3,0)),
(EJ476*(1-VLOOKUP(EK476,$EH$5:$EL$9,4,0))),
EJ476))</f>
        <v>0</v>
      </c>
    </row>
    <row r="477" spans="51:142">
      <c r="AY477" s="250" t="s">
        <v>2733</v>
      </c>
      <c r="AZ477" s="137" t="s">
        <v>1722</v>
      </c>
      <c r="BA477" s="138" t="str">
        <f t="shared" si="293"/>
        <v>ДП Лінда.1/5.фальц.</v>
      </c>
      <c r="BW477" s="249" t="s">
        <v>1074</v>
      </c>
      <c r="BX477" s="248" t="s">
        <v>832</v>
      </c>
      <c r="BY477" s="139" t="str">
        <f t="shared" si="287"/>
        <v>ДП ЛАДА-ЛОФТ.6/1.Бронза</v>
      </c>
      <c r="CA477" s="146" t="s">
        <v>3282</v>
      </c>
      <c r="CB477" s="21"/>
      <c r="CC477" s="21"/>
      <c r="DD477" s="251" t="s">
        <v>2618</v>
      </c>
      <c r="DE477" s="163">
        <v>5910</v>
      </c>
      <c r="DF477" s="528">
        <f>ROUND(((DE477-(DE477/6))/$DD$3)*$DE$3,2)</f>
        <v>5910</v>
      </c>
      <c r="DG477" s="529"/>
      <c r="DH477" s="530">
        <f t="shared" si="275"/>
        <v>5910</v>
      </c>
      <c r="DP477" s="249" t="s">
        <v>6067</v>
      </c>
      <c r="DQ477" s="164">
        <v>550</v>
      </c>
      <c r="DR477" s="531">
        <f>ROUND(((DQ477-(DQ477/6))/$DD$3)*$DE$3,2)</f>
        <v>550</v>
      </c>
      <c r="DS477" s="526"/>
      <c r="DT477" s="527">
        <f>IF(DS477="",DR477,
IF(AND($DQ$10&gt;=VLOOKUP(DS477,$DP$5:$DT$9,2,0),$DQ$10&lt;=VLOOKUP(DS477,$DP$5:$DT$9,3,0)),
(DR477*(1-VLOOKUP(DS477,$DP$5:$DT$9,4,0))),
DR477))</f>
        <v>550</v>
      </c>
      <c r="DU477" s="166"/>
      <c r="DV477" s="738" t="s">
        <v>5849</v>
      </c>
      <c r="DW477" s="163">
        <v>0</v>
      </c>
      <c r="DX477" s="528">
        <f>ROUND(((DW477-(DW477/6))/$DD$3)*$DE$3,2)</f>
        <v>0</v>
      </c>
      <c r="DY477" s="529"/>
      <c r="DZ477" s="530">
        <f>IF(DY477="",DX477,
IF(AND($DW$10&gt;=VLOOKUP(DY477,$DV$5:$DZ$9,2,0),$DW$10&lt;=VLOOKUP(DY477,$DV$5:$DZ$9,3,0)),
(DX477*(1-VLOOKUP(DY477,$DV$5:$DZ$9,4,0))),
DX477))</f>
        <v>0</v>
      </c>
      <c r="EH477" s="736" t="s">
        <v>3730</v>
      </c>
      <c r="EI477" s="105">
        <v>0</v>
      </c>
      <c r="EJ477" s="536">
        <f t="shared" si="290"/>
        <v>0</v>
      </c>
      <c r="EK477" s="514"/>
      <c r="EL477" s="511">
        <f t="shared" si="294"/>
        <v>0</v>
      </c>
    </row>
    <row r="478" spans="51:142">
      <c r="AY478" s="250" t="s">
        <v>2733</v>
      </c>
      <c r="AZ478" s="137" t="s">
        <v>1723</v>
      </c>
      <c r="BA478" s="138" t="str">
        <f t="shared" si="293"/>
        <v>ДП Лінда.1/5.б/з фальц.</v>
      </c>
      <c r="BW478" s="432"/>
      <c r="BX478" s="432"/>
      <c r="BY478" s="432"/>
      <c r="CA478" s="146" t="s">
        <v>3282</v>
      </c>
      <c r="CB478" s="783" t="s">
        <v>4325</v>
      </c>
      <c r="CC478" s="138" t="str">
        <f>CONCATENATE(CA478,".",CB478)</f>
        <v>ДП Ліса.фальц..неробоча..Пл Stand +3завіс</v>
      </c>
      <c r="DD478" s="250" t="s">
        <v>2619</v>
      </c>
      <c r="DE478" s="166">
        <v>5910</v>
      </c>
      <c r="DF478" s="528">
        <f t="shared" ref="DF478:DF515" si="298">ROUND(((DE478-(DE478/6))/$DD$3)*$DE$3,2)</f>
        <v>5910</v>
      </c>
      <c r="DG478" s="529"/>
      <c r="DH478" s="530">
        <f t="shared" si="275"/>
        <v>5910</v>
      </c>
      <c r="DP478" s="250" t="s">
        <v>2674</v>
      </c>
      <c r="DQ478" s="166">
        <v>0</v>
      </c>
      <c r="DR478" s="522">
        <f t="shared" si="291"/>
        <v>0</v>
      </c>
      <c r="DS478" s="523"/>
      <c r="DT478" s="524">
        <f t="shared" si="292"/>
        <v>0</v>
      </c>
      <c r="DU478" s="166"/>
      <c r="DV478" s="738" t="s">
        <v>4611</v>
      </c>
      <c r="DW478" s="166">
        <v>550</v>
      </c>
      <c r="DX478" s="522">
        <f t="shared" si="296"/>
        <v>550</v>
      </c>
      <c r="DY478" s="523"/>
      <c r="DZ478" s="524">
        <f t="shared" si="297"/>
        <v>550</v>
      </c>
      <c r="EH478" s="256"/>
      <c r="EI478" s="257"/>
      <c r="EJ478" s="517"/>
      <c r="EK478" s="532"/>
      <c r="EL478" s="259"/>
    </row>
    <row r="479" spans="51:142">
      <c r="AY479" s="249" t="s">
        <v>2733</v>
      </c>
      <c r="AZ479" s="62" t="s">
        <v>1724</v>
      </c>
      <c r="BA479" s="139" t="str">
        <f t="shared" si="293"/>
        <v>ДП Лінда.1/5.купе.</v>
      </c>
      <c r="BW479" s="58" t="s">
        <v>2728</v>
      </c>
      <c r="BX479" s="770" t="s">
        <v>4106</v>
      </c>
      <c r="BY479" s="138" t="str">
        <f t="shared" ref="BY479:BY532" si="299">CONCATENATE(BW479,".",BX479)</f>
        <v>ДП Лінда.1/0.(ні)</v>
      </c>
      <c r="CA479" s="146" t="s">
        <v>3282</v>
      </c>
      <c r="CB479" s="783" t="s">
        <v>4333</v>
      </c>
      <c r="CC479" s="138" t="str">
        <f>CONCATENATE(CA479,".",CB479)</f>
        <v>ДП Ліса.фальц..неробоча..Пл Soft +3завіс</v>
      </c>
      <c r="DD479" s="250" t="s">
        <v>2620</v>
      </c>
      <c r="DE479" s="166">
        <v>5910</v>
      </c>
      <c r="DF479" s="528">
        <f t="shared" si="298"/>
        <v>5910</v>
      </c>
      <c r="DG479" s="529"/>
      <c r="DH479" s="530">
        <f t="shared" ref="DH479:DH542" si="300">IF(DG479="",DF479,
IF(AND($DE$10&gt;=VLOOKUP(DG479,$DD$5:$DH$9,2,0),$DE$10&lt;=VLOOKUP(DG479,$DD$5:$DH$9,3,0)),
(DF479*(1-VLOOKUP(DG479,$DD$5:$DH$9,4,0))),
DF479))</f>
        <v>5910</v>
      </c>
      <c r="DP479" s="740" t="s">
        <v>3968</v>
      </c>
      <c r="DQ479" s="166">
        <v>550</v>
      </c>
      <c r="DR479" s="522">
        <f t="shared" si="291"/>
        <v>550</v>
      </c>
      <c r="DS479" s="523"/>
      <c r="DT479" s="524">
        <f t="shared" si="292"/>
        <v>550</v>
      </c>
      <c r="DU479" s="166"/>
      <c r="DV479" s="738" t="s">
        <v>4612</v>
      </c>
      <c r="DW479" s="166">
        <v>550</v>
      </c>
      <c r="DX479" s="522">
        <f t="shared" si="296"/>
        <v>550</v>
      </c>
      <c r="DY479" s="523"/>
      <c r="DZ479" s="524">
        <f t="shared" si="297"/>
        <v>550</v>
      </c>
      <c r="EH479" s="256"/>
      <c r="EI479" s="257"/>
      <c r="EJ479" s="517"/>
      <c r="EK479" s="532"/>
      <c r="EL479" s="259"/>
    </row>
    <row r="480" spans="51:142">
      <c r="AY480" s="250" t="s">
        <v>2734</v>
      </c>
      <c r="AZ480" s="137" t="s">
        <v>1722</v>
      </c>
      <c r="BA480" s="138" t="str">
        <f t="shared" si="293"/>
        <v>ДП Лінда.1/6.фальц.</v>
      </c>
      <c r="BW480" s="251" t="s">
        <v>2729</v>
      </c>
      <c r="BX480" s="246" t="s">
        <v>458</v>
      </c>
      <c r="BY480" s="135" t="str">
        <f t="shared" si="299"/>
        <v>ДП Лінда.1/1.Сатин</v>
      </c>
      <c r="CA480" s="147" t="s">
        <v>3282</v>
      </c>
      <c r="CB480" s="152" t="s">
        <v>4336</v>
      </c>
      <c r="CC480" s="139" t="str">
        <f>CONCATENATE(CA480,".",CB480)</f>
        <v>ДП Ліса.фальц..неробоча..Пл Magnet +3завіс</v>
      </c>
      <c r="DD480" s="250" t="s">
        <v>2621</v>
      </c>
      <c r="DE480" s="166">
        <v>5910</v>
      </c>
      <c r="DF480" s="528">
        <f t="shared" si="298"/>
        <v>5910</v>
      </c>
      <c r="DG480" s="529"/>
      <c r="DH480" s="530">
        <f t="shared" si="300"/>
        <v>5910</v>
      </c>
      <c r="DP480" s="249" t="s">
        <v>2675</v>
      </c>
      <c r="DQ480" s="164">
        <v>550</v>
      </c>
      <c r="DR480" s="531">
        <f t="shared" si="291"/>
        <v>550</v>
      </c>
      <c r="DS480" s="526"/>
      <c r="DT480" s="527">
        <f t="shared" si="292"/>
        <v>550</v>
      </c>
      <c r="DU480" s="166"/>
      <c r="DV480" s="738" t="s">
        <v>4613</v>
      </c>
      <c r="DW480" s="166">
        <v>800</v>
      </c>
      <c r="DX480" s="522">
        <f>ROUND(((DW480-(DW480/6))/$DD$3)*$DE$3,2)</f>
        <v>800</v>
      </c>
      <c r="DY480" s="523"/>
      <c r="DZ480" s="524">
        <f>IF(DY480="",DX480,
IF(AND($DW$10&gt;=VLOOKUP(DY480,$DV$5:$DZ$9,2,0),$DW$10&lt;=VLOOKUP(DY480,$DV$5:$DZ$9,3,0)),
(DX480*(1-VLOOKUP(DY480,$DV$5:$DZ$9,4,0))),
DX480))</f>
        <v>800</v>
      </c>
      <c r="EH480" s="736" t="s">
        <v>4998</v>
      </c>
      <c r="EI480" s="105">
        <v>0</v>
      </c>
      <c r="EJ480" s="536">
        <f t="shared" ref="EJ480:EJ487" si="301">ROUND(((EI480-(EI480/6))/$DD$3)*$DE$3,2)</f>
        <v>0</v>
      </c>
      <c r="EK480" s="514"/>
      <c r="EL480" s="511">
        <f t="shared" ref="EL480:EL487" si="302">IF(EK480="",EJ480,
IF(AND($EI$10&gt;=VLOOKUP(EK480,$EH$5:$EL$9,2,0),$EI$10&lt;=VLOOKUP(EK480,$EH$5:$EL$9,3,0)),
(EJ480*(1-VLOOKUP(EK480,$EH$5:$EL$9,4,0))),
EJ480))</f>
        <v>0</v>
      </c>
    </row>
    <row r="481" spans="51:142">
      <c r="AY481" s="250" t="s">
        <v>2734</v>
      </c>
      <c r="AZ481" s="137" t="s">
        <v>1723</v>
      </c>
      <c r="BA481" s="138" t="str">
        <f t="shared" si="293"/>
        <v>ДП Лінда.1/6.б/з фальц.</v>
      </c>
      <c r="BW481" s="250" t="s">
        <v>2729</v>
      </c>
      <c r="BX481" s="770" t="s">
        <v>3851</v>
      </c>
      <c r="BY481" s="138" t="str">
        <f t="shared" si="299"/>
        <v>ДП Лінда.1/1.Графіт</v>
      </c>
      <c r="CA481" s="146" t="s">
        <v>3283</v>
      </c>
      <c r="CB481" s="137" t="s">
        <v>4106</v>
      </c>
      <c r="CC481" s="239" t="str">
        <f>CONCATENATE(CA481,".",CB481)</f>
        <v>ДП Ліса.б/з фальц..робоча..(ні)</v>
      </c>
      <c r="DD481" s="250" t="s">
        <v>2622</v>
      </c>
      <c r="DE481" s="166">
        <v>5910</v>
      </c>
      <c r="DF481" s="528">
        <f t="shared" si="298"/>
        <v>5910</v>
      </c>
      <c r="DG481" s="529"/>
      <c r="DH481" s="530">
        <f t="shared" si="300"/>
        <v>5910</v>
      </c>
      <c r="DP481" s="249" t="s">
        <v>6068</v>
      </c>
      <c r="DQ481" s="164">
        <v>550</v>
      </c>
      <c r="DR481" s="531">
        <f>ROUND(((DQ481-(DQ481/6))/$DD$3)*$DE$3,2)</f>
        <v>550</v>
      </c>
      <c r="DS481" s="526"/>
      <c r="DT481" s="527">
        <f>IF(DS481="",DR481,
IF(AND($DQ$10&gt;=VLOOKUP(DS481,$DP$5:$DT$9,2,0),$DQ$10&lt;=VLOOKUP(DS481,$DP$5:$DT$9,3,0)),
(DR481*(1-VLOOKUP(DS481,$DP$5:$DT$9,4,0))),
DR481))</f>
        <v>550</v>
      </c>
      <c r="DU481" s="166"/>
      <c r="DV481" s="739" t="s">
        <v>4614</v>
      </c>
      <c r="DW481" s="164">
        <v>800</v>
      </c>
      <c r="DX481" s="525">
        <f>ROUND(((DW481-(DW481/6))/$DD$3)*$DE$3,2)</f>
        <v>800</v>
      </c>
      <c r="DY481" s="526"/>
      <c r="DZ481" s="527">
        <f>IF(DY481="",DX481,
IF(AND($DW$10&gt;=VLOOKUP(DY481,$DV$5:$DZ$9,2,0),$DW$10&lt;=VLOOKUP(DY481,$DV$5:$DZ$9,3,0)),
(DX481*(1-VLOOKUP(DY481,$DV$5:$DZ$9,4,0))),
DX481))</f>
        <v>800</v>
      </c>
      <c r="EH481" s="736" t="s">
        <v>3731</v>
      </c>
      <c r="EI481" s="105">
        <v>0</v>
      </c>
      <c r="EJ481" s="536">
        <f t="shared" si="301"/>
        <v>0</v>
      </c>
      <c r="EK481" s="514"/>
      <c r="EL481" s="511">
        <f t="shared" si="302"/>
        <v>0</v>
      </c>
    </row>
    <row r="482" spans="51:142">
      <c r="AY482" s="249" t="s">
        <v>2734</v>
      </c>
      <c r="AZ482" s="62" t="s">
        <v>1724</v>
      </c>
      <c r="BA482" s="139" t="str">
        <f t="shared" si="293"/>
        <v>ДП Лінда.1/6.купе.</v>
      </c>
      <c r="BW482" s="249" t="s">
        <v>2729</v>
      </c>
      <c r="BX482" s="248" t="s">
        <v>832</v>
      </c>
      <c r="BY482" s="139" t="str">
        <f t="shared" si="299"/>
        <v>ДП Лінда.1/1.Бронза</v>
      </c>
      <c r="CA482" s="146" t="s">
        <v>3283</v>
      </c>
      <c r="CB482" s="97"/>
      <c r="CC482" s="97"/>
      <c r="DD482" s="250" t="s">
        <v>2623</v>
      </c>
      <c r="DE482" s="166">
        <v>5910</v>
      </c>
      <c r="DF482" s="528">
        <f t="shared" si="298"/>
        <v>5910</v>
      </c>
      <c r="DG482" s="529"/>
      <c r="DH482" s="530">
        <f t="shared" si="300"/>
        <v>5910</v>
      </c>
      <c r="DP482" s="250" t="s">
        <v>2676</v>
      </c>
      <c r="DQ482" s="166">
        <v>0</v>
      </c>
      <c r="DR482" s="522">
        <f t="shared" si="291"/>
        <v>0</v>
      </c>
      <c r="DS482" s="523"/>
      <c r="DT482" s="524">
        <f t="shared" si="292"/>
        <v>0</v>
      </c>
      <c r="DU482" s="166"/>
      <c r="DV482" s="738" t="s">
        <v>6315</v>
      </c>
      <c r="DW482" s="166">
        <v>1</v>
      </c>
      <c r="DX482" s="522">
        <f t="shared" si="296"/>
        <v>1</v>
      </c>
      <c r="DY482" s="523"/>
      <c r="DZ482" s="524">
        <f t="shared" si="297"/>
        <v>1</v>
      </c>
      <c r="EH482" s="736" t="s">
        <v>3732</v>
      </c>
      <c r="EI482" s="105">
        <v>0</v>
      </c>
      <c r="EJ482" s="536">
        <f>ROUND(((EI482-(EI482/6))/$DD$3)*$DE$3,2)</f>
        <v>0</v>
      </c>
      <c r="EK482" s="514"/>
      <c r="EL482" s="511">
        <f>IF(EK482="",EJ482,
IF(AND($EI$10&gt;=VLOOKUP(EK482,$EH$5:$EL$9,2,0),$EI$10&lt;=VLOOKUP(EK482,$EH$5:$EL$9,3,0)),
(EJ482*(1-VLOOKUP(EK482,$EH$5:$EL$9,4,0))),
EJ482))</f>
        <v>0</v>
      </c>
    </row>
    <row r="483" spans="51:142">
      <c r="AY483" s="250" t="s">
        <v>2735</v>
      </c>
      <c r="AZ483" s="137" t="s">
        <v>1722</v>
      </c>
      <c r="BA483" s="138" t="str">
        <f t="shared" si="293"/>
        <v>ДП Лінда.1/7.фальц.</v>
      </c>
      <c r="BW483" s="251" t="s">
        <v>2730</v>
      </c>
      <c r="BX483" s="246" t="s">
        <v>458</v>
      </c>
      <c r="BY483" s="135" t="str">
        <f t="shared" si="299"/>
        <v>ДП Лінда.1/2.Сатин</v>
      </c>
      <c r="CA483" s="146" t="s">
        <v>3283</v>
      </c>
      <c r="CB483" s="478" t="s">
        <v>4337</v>
      </c>
      <c r="CC483" s="239" t="str">
        <f>CONCATENATE(CA483,".",CB483)</f>
        <v>ДП Ліса.б/з фальц..робоча..Magnet цл б/з завіс.</v>
      </c>
      <c r="DD483" s="250" t="s">
        <v>2624</v>
      </c>
      <c r="DE483" s="166">
        <v>5910</v>
      </c>
      <c r="DF483" s="528">
        <f t="shared" si="298"/>
        <v>5910</v>
      </c>
      <c r="DG483" s="529"/>
      <c r="DH483" s="530">
        <f t="shared" si="300"/>
        <v>5910</v>
      </c>
      <c r="DP483" s="740" t="s">
        <v>3969</v>
      </c>
      <c r="DQ483" s="166">
        <v>550</v>
      </c>
      <c r="DR483" s="522">
        <f t="shared" si="291"/>
        <v>550</v>
      </c>
      <c r="DS483" s="523"/>
      <c r="DT483" s="524">
        <f t="shared" si="292"/>
        <v>550</v>
      </c>
      <c r="DU483" s="166"/>
      <c r="DV483" s="739" t="s">
        <v>6316</v>
      </c>
      <c r="DW483" s="164">
        <v>1</v>
      </c>
      <c r="DX483" s="525">
        <f t="shared" si="296"/>
        <v>1</v>
      </c>
      <c r="DY483" s="526"/>
      <c r="DZ483" s="527">
        <f t="shared" si="297"/>
        <v>1</v>
      </c>
      <c r="EH483" s="736" t="s">
        <v>3733</v>
      </c>
      <c r="EI483" s="105">
        <v>0</v>
      </c>
      <c r="EJ483" s="536">
        <f>ROUND(((EI483-(EI483/6))/$DD$3)*$DE$3,2)</f>
        <v>0</v>
      </c>
      <c r="EK483" s="514"/>
      <c r="EL483" s="511">
        <f>IF(EK483="",EJ483,
IF(AND($EI$10&gt;=VLOOKUP(EK483,$EH$5:$EL$9,2,0),$EI$10&lt;=VLOOKUP(EK483,$EH$5:$EL$9,3,0)),
(EJ483*(1-VLOOKUP(EK483,$EH$5:$EL$9,4,0))),
EJ483))</f>
        <v>0</v>
      </c>
    </row>
    <row r="484" spans="51:142">
      <c r="AY484" s="250" t="s">
        <v>2735</v>
      </c>
      <c r="AZ484" s="137" t="s">
        <v>1723</v>
      </c>
      <c r="BA484" s="138" t="str">
        <f t="shared" si="293"/>
        <v>ДП Лінда.1/7.б/з фальц.</v>
      </c>
      <c r="BW484" s="250" t="s">
        <v>2730</v>
      </c>
      <c r="BX484" s="770" t="s">
        <v>3851</v>
      </c>
      <c r="BY484" s="138" t="str">
        <f t="shared" si="299"/>
        <v>ДП Лінда.1/2.Графіт</v>
      </c>
      <c r="CA484" s="146" t="s">
        <v>3283</v>
      </c>
      <c r="CB484" s="478" t="s">
        <v>4339</v>
      </c>
      <c r="CC484" s="239" t="str">
        <f>CONCATENATE(CA484,".",CB484)</f>
        <v>ДП Ліса.б/з фальц..робоча..Magnet ст б/з завіс.</v>
      </c>
      <c r="DD484" s="249" t="s">
        <v>2625</v>
      </c>
      <c r="DE484" s="164">
        <v>5910</v>
      </c>
      <c r="DF484" s="528">
        <f t="shared" si="298"/>
        <v>5910</v>
      </c>
      <c r="DG484" s="529"/>
      <c r="DH484" s="530">
        <f t="shared" si="300"/>
        <v>5910</v>
      </c>
      <c r="DP484" s="249" t="s">
        <v>2677</v>
      </c>
      <c r="DQ484" s="164">
        <v>550</v>
      </c>
      <c r="DR484" s="531">
        <f t="shared" si="291"/>
        <v>550</v>
      </c>
      <c r="DS484" s="526"/>
      <c r="DT484" s="527">
        <f t="shared" si="292"/>
        <v>550</v>
      </c>
      <c r="DU484" s="166"/>
      <c r="DV484" s="737" t="s">
        <v>4615</v>
      </c>
      <c r="DW484" s="163">
        <v>0</v>
      </c>
      <c r="DX484" s="528">
        <f t="shared" si="296"/>
        <v>0</v>
      </c>
      <c r="DY484" s="529"/>
      <c r="DZ484" s="530">
        <f t="shared" si="297"/>
        <v>0</v>
      </c>
      <c r="EH484" s="736" t="s">
        <v>3734</v>
      </c>
      <c r="EI484" s="105">
        <v>0</v>
      </c>
      <c r="EJ484" s="536">
        <f t="shared" si="301"/>
        <v>0</v>
      </c>
      <c r="EK484" s="514"/>
      <c r="EL484" s="511">
        <f t="shared" si="302"/>
        <v>0</v>
      </c>
    </row>
    <row r="485" spans="51:142">
      <c r="AY485" s="249" t="s">
        <v>2735</v>
      </c>
      <c r="AZ485" s="62" t="s">
        <v>1724</v>
      </c>
      <c r="BA485" s="139" t="str">
        <f t="shared" si="293"/>
        <v>ДП Лінда.1/7.купе.</v>
      </c>
      <c r="BW485" s="249" t="s">
        <v>2730</v>
      </c>
      <c r="BX485" s="248" t="s">
        <v>832</v>
      </c>
      <c r="BY485" s="139" t="str">
        <f t="shared" si="299"/>
        <v>ДП Лінда.1/2.Бронза</v>
      </c>
      <c r="CA485" s="146" t="s">
        <v>3283</v>
      </c>
      <c r="CB485" s="97"/>
      <c r="CC485" s="97"/>
      <c r="DD485" s="250" t="s">
        <v>2626</v>
      </c>
      <c r="DE485" s="166">
        <v>6520.0000000000009</v>
      </c>
      <c r="DF485" s="528">
        <f t="shared" si="298"/>
        <v>6520</v>
      </c>
      <c r="DG485" s="529"/>
      <c r="DH485" s="530">
        <f t="shared" si="300"/>
        <v>6520</v>
      </c>
      <c r="DP485" s="249" t="s">
        <v>6069</v>
      </c>
      <c r="DQ485" s="164">
        <v>550</v>
      </c>
      <c r="DR485" s="531">
        <f>ROUND(((DQ485-(DQ485/6))/$DD$3)*$DE$3,2)</f>
        <v>550</v>
      </c>
      <c r="DS485" s="526"/>
      <c r="DT485" s="527">
        <f>IF(DS485="",DR485,
IF(AND($DQ$10&gt;=VLOOKUP(DS485,$DP$5:$DT$9,2,0),$DQ$10&lt;=VLOOKUP(DS485,$DP$5:$DT$9,3,0)),
(DR485*(1-VLOOKUP(DS485,$DP$5:$DT$9,4,0))),
DR485))</f>
        <v>550</v>
      </c>
      <c r="DU485" s="166"/>
      <c r="DV485" s="738" t="s">
        <v>4616</v>
      </c>
      <c r="DW485" s="166">
        <v>0</v>
      </c>
      <c r="DX485" s="522">
        <f t="shared" si="296"/>
        <v>0</v>
      </c>
      <c r="DY485" s="523"/>
      <c r="DZ485" s="524">
        <f t="shared" si="297"/>
        <v>0</v>
      </c>
      <c r="EH485" s="736" t="s">
        <v>3735</v>
      </c>
      <c r="EI485" s="105">
        <v>0</v>
      </c>
      <c r="EJ485" s="536">
        <f t="shared" si="301"/>
        <v>0</v>
      </c>
      <c r="EK485" s="514"/>
      <c r="EL485" s="511">
        <f t="shared" si="302"/>
        <v>0</v>
      </c>
    </row>
    <row r="486" spans="51:142">
      <c r="AY486" s="250" t="s">
        <v>2736</v>
      </c>
      <c r="AZ486" s="137" t="s">
        <v>1722</v>
      </c>
      <c r="BA486" s="138" t="str">
        <f t="shared" si="293"/>
        <v>ДП Лінда.1/8.фальц.</v>
      </c>
      <c r="BW486" s="251" t="s">
        <v>2731</v>
      </c>
      <c r="BX486" s="246" t="s">
        <v>458</v>
      </c>
      <c r="BY486" s="135" t="str">
        <f t="shared" si="299"/>
        <v>ДП Лінда.1/3.Сатин</v>
      </c>
      <c r="CA486" s="146" t="s">
        <v>3283</v>
      </c>
      <c r="CB486" s="478" t="s">
        <v>4343</v>
      </c>
      <c r="CC486" s="239" t="str">
        <f>CONCATENATE(CA486,".",CB486)</f>
        <v>ДП Ліса.б/з фальц..робоча..Magnet цл +2завіс 3D</v>
      </c>
      <c r="DD486" s="250" t="s">
        <v>2627</v>
      </c>
      <c r="DE486" s="166">
        <v>6520.0000000000009</v>
      </c>
      <c r="DF486" s="528">
        <f t="shared" si="298"/>
        <v>6520</v>
      </c>
      <c r="DG486" s="529"/>
      <c r="DH486" s="530">
        <f t="shared" si="300"/>
        <v>6520</v>
      </c>
      <c r="DP486" s="250" t="s">
        <v>2678</v>
      </c>
      <c r="DQ486" s="166">
        <v>0</v>
      </c>
      <c r="DR486" s="522">
        <f t="shared" si="291"/>
        <v>0</v>
      </c>
      <c r="DS486" s="523"/>
      <c r="DT486" s="524">
        <f t="shared" si="292"/>
        <v>0</v>
      </c>
      <c r="DU486" s="166"/>
      <c r="DV486" s="739" t="s">
        <v>4617</v>
      </c>
      <c r="DW486" s="164">
        <v>0</v>
      </c>
      <c r="DX486" s="531">
        <f t="shared" ref="DX486:DX492" si="303">ROUND(((DW486-(DW486/6))/$DD$3)*$DE$3,2)</f>
        <v>0</v>
      </c>
      <c r="DY486" s="526"/>
      <c r="DZ486" s="527">
        <f t="shared" ref="DZ486:DZ492" si="304">IF(DY486="",DX486,
IF(AND($DW$10&gt;=VLOOKUP(DY486,$DV$5:$DZ$9,2,0),$DW$10&lt;=VLOOKUP(DY486,$DV$5:$DZ$9,3,0)),
(DX486*(1-VLOOKUP(DY486,$DV$5:$DZ$9,4,0))),
DX486))</f>
        <v>0</v>
      </c>
      <c r="EH486" s="736" t="s">
        <v>5191</v>
      </c>
      <c r="EI486" s="105">
        <v>0</v>
      </c>
      <c r="EJ486" s="536">
        <f>ROUND(((EI486-(EI486/6))/$DD$3)*$DE$3,2)</f>
        <v>0</v>
      </c>
      <c r="EK486" s="514"/>
      <c r="EL486" s="511">
        <f>IF(EK486="",EJ486,
IF(AND($EI$10&gt;=VLOOKUP(EK486,$EH$5:$EL$9,2,0),$EI$10&lt;=VLOOKUP(EK486,$EH$5:$EL$9,3,0)),
(EJ486*(1-VLOOKUP(EK486,$EH$5:$EL$9,4,0))),
EJ486))</f>
        <v>0</v>
      </c>
    </row>
    <row r="487" spans="51:142">
      <c r="AY487" s="250" t="s">
        <v>2736</v>
      </c>
      <c r="AZ487" s="137" t="s">
        <v>1723</v>
      </c>
      <c r="BA487" s="138" t="str">
        <f t="shared" si="293"/>
        <v>ДП Лінда.1/8.б/з фальц.</v>
      </c>
      <c r="BW487" s="250" t="s">
        <v>2731</v>
      </c>
      <c r="BX487" s="770" t="s">
        <v>3851</v>
      </c>
      <c r="BY487" s="138" t="str">
        <f t="shared" si="299"/>
        <v>ДП Лінда.1/3.Графіт</v>
      </c>
      <c r="CA487" s="146" t="s">
        <v>3283</v>
      </c>
      <c r="CB487" s="478" t="s">
        <v>4347</v>
      </c>
      <c r="CC487" s="239" t="str">
        <f>CONCATENATE(CA487,".",CB487)</f>
        <v>ДП Ліса.б/з фальц..робоча..Magnet ст +2завіс 3D</v>
      </c>
      <c r="DD487" s="250" t="s">
        <v>2628</v>
      </c>
      <c r="DE487" s="166">
        <v>6520.0000000000009</v>
      </c>
      <c r="DF487" s="528">
        <f t="shared" si="298"/>
        <v>6520</v>
      </c>
      <c r="DG487" s="529"/>
      <c r="DH487" s="530">
        <f t="shared" si="300"/>
        <v>6520</v>
      </c>
      <c r="DP487" s="740" t="s">
        <v>3970</v>
      </c>
      <c r="DQ487" s="166">
        <v>550</v>
      </c>
      <c r="DR487" s="522">
        <f t="shared" si="291"/>
        <v>550</v>
      </c>
      <c r="DS487" s="523"/>
      <c r="DT487" s="524">
        <f t="shared" si="292"/>
        <v>550</v>
      </c>
      <c r="DU487" s="166"/>
      <c r="DV487" s="738" t="s">
        <v>4618</v>
      </c>
      <c r="DW487" s="166">
        <v>800</v>
      </c>
      <c r="DX487" s="522">
        <f t="shared" si="303"/>
        <v>800</v>
      </c>
      <c r="DY487" s="523"/>
      <c r="DZ487" s="524">
        <f t="shared" si="304"/>
        <v>800</v>
      </c>
      <c r="EH487" s="736" t="s">
        <v>3736</v>
      </c>
      <c r="EI487" s="105">
        <v>0</v>
      </c>
      <c r="EJ487" s="536">
        <f t="shared" si="301"/>
        <v>0</v>
      </c>
      <c r="EK487" s="514"/>
      <c r="EL487" s="511">
        <f t="shared" si="302"/>
        <v>0</v>
      </c>
    </row>
    <row r="488" spans="51:142">
      <c r="AY488" s="249" t="s">
        <v>2736</v>
      </c>
      <c r="AZ488" s="62" t="s">
        <v>1724</v>
      </c>
      <c r="BA488" s="139" t="str">
        <f t="shared" si="293"/>
        <v>ДП Лінда.1/8.купе.</v>
      </c>
      <c r="BW488" s="249" t="s">
        <v>2731</v>
      </c>
      <c r="BX488" s="248" t="s">
        <v>832</v>
      </c>
      <c r="BY488" s="139" t="str">
        <f t="shared" si="299"/>
        <v>ДП Лінда.1/3.Бронза</v>
      </c>
      <c r="CA488" s="146" t="s">
        <v>3283</v>
      </c>
      <c r="CB488" s="97"/>
      <c r="CC488" s="97"/>
      <c r="DD488" s="250" t="s">
        <v>2629</v>
      </c>
      <c r="DE488" s="166">
        <v>6520.0000000000009</v>
      </c>
      <c r="DF488" s="528">
        <f t="shared" si="298"/>
        <v>6520</v>
      </c>
      <c r="DG488" s="529"/>
      <c r="DH488" s="530">
        <f t="shared" si="300"/>
        <v>6520</v>
      </c>
      <c r="DP488" s="249" t="s">
        <v>2679</v>
      </c>
      <c r="DQ488" s="164">
        <v>550</v>
      </c>
      <c r="DR488" s="531">
        <f t="shared" si="291"/>
        <v>550</v>
      </c>
      <c r="DS488" s="526"/>
      <c r="DT488" s="527">
        <f t="shared" si="292"/>
        <v>550</v>
      </c>
      <c r="DU488" s="166"/>
      <c r="DV488" s="738" t="s">
        <v>4619</v>
      </c>
      <c r="DW488" s="166">
        <v>800</v>
      </c>
      <c r="DX488" s="522">
        <f t="shared" si="303"/>
        <v>800</v>
      </c>
      <c r="DY488" s="523"/>
      <c r="DZ488" s="524">
        <f t="shared" si="304"/>
        <v>800</v>
      </c>
      <c r="EH488" s="256"/>
      <c r="EI488" s="257"/>
      <c r="EJ488" s="517"/>
      <c r="EK488" s="532"/>
      <c r="EL488" s="259"/>
    </row>
    <row r="489" spans="51:142">
      <c r="AY489" s="227"/>
      <c r="AZ489" s="222"/>
      <c r="BA489" s="223"/>
      <c r="BW489" s="251" t="s">
        <v>2732</v>
      </c>
      <c r="BX489" s="246" t="s">
        <v>458</v>
      </c>
      <c r="BY489" s="135" t="str">
        <f t="shared" si="299"/>
        <v>ДП Лінда.1/4.Сатин</v>
      </c>
      <c r="CA489" s="146" t="s">
        <v>3283</v>
      </c>
      <c r="CB489" s="478" t="s">
        <v>4349</v>
      </c>
      <c r="CC489" s="239" t="str">
        <f>CONCATENATE(CA489,".",CB489)</f>
        <v>ДП Ліса.б/з фальц..робоча..Magnet цл +3завіс 3D</v>
      </c>
      <c r="DD489" s="250" t="s">
        <v>2630</v>
      </c>
      <c r="DE489" s="166">
        <v>6520.0000000000009</v>
      </c>
      <c r="DF489" s="528">
        <f t="shared" si="298"/>
        <v>6520</v>
      </c>
      <c r="DG489" s="529"/>
      <c r="DH489" s="530">
        <f t="shared" si="300"/>
        <v>6520</v>
      </c>
      <c r="DP489" s="249" t="s">
        <v>6070</v>
      </c>
      <c r="DQ489" s="164">
        <v>550</v>
      </c>
      <c r="DR489" s="531">
        <f>ROUND(((DQ489-(DQ489/6))/$DD$3)*$DE$3,2)</f>
        <v>550</v>
      </c>
      <c r="DS489" s="526"/>
      <c r="DT489" s="527">
        <f>IF(DS489="",DR489,
IF(AND($DQ$10&gt;=VLOOKUP(DS489,$DP$5:$DT$9,2,0),$DQ$10&lt;=VLOOKUP(DS489,$DP$5:$DT$9,3,0)),
(DR489*(1-VLOOKUP(DS489,$DP$5:$DT$9,4,0))),
DR489))</f>
        <v>550</v>
      </c>
      <c r="DU489" s="166"/>
      <c r="DV489" s="738" t="s">
        <v>4620</v>
      </c>
      <c r="DW489" s="166">
        <v>800</v>
      </c>
      <c r="DX489" s="522">
        <f t="shared" si="303"/>
        <v>800</v>
      </c>
      <c r="DY489" s="523"/>
      <c r="DZ489" s="524">
        <f t="shared" si="304"/>
        <v>800</v>
      </c>
      <c r="EH489" s="256"/>
      <c r="EI489" s="257"/>
      <c r="EJ489" s="517"/>
      <c r="EK489" s="532"/>
      <c r="EL489" s="259"/>
    </row>
    <row r="490" spans="51:142">
      <c r="AY490" s="740" t="s">
        <v>2869</v>
      </c>
      <c r="AZ490" s="137" t="s">
        <v>1722</v>
      </c>
      <c r="BA490" s="138" t="str">
        <f t="shared" ref="BA490:BA516" si="305">CONCATENATE(AY490,".",AZ490)</f>
        <v>ДП Тіана.1/0.фальц.</v>
      </c>
      <c r="BW490" s="250" t="s">
        <v>2732</v>
      </c>
      <c r="BX490" s="770" t="s">
        <v>3851</v>
      </c>
      <c r="BY490" s="138" t="str">
        <f t="shared" si="299"/>
        <v>ДП Лінда.1/4.Графіт</v>
      </c>
      <c r="CA490" s="147" t="s">
        <v>3283</v>
      </c>
      <c r="CB490" s="590" t="s">
        <v>4350</v>
      </c>
      <c r="CC490" s="240" t="str">
        <f>CONCATENATE(CA490,".",CB490)</f>
        <v>ДП Ліса.б/з фальц..робоча..Magnet ст +3завіс 3D</v>
      </c>
      <c r="DD490" s="250" t="s">
        <v>2631</v>
      </c>
      <c r="DE490" s="166">
        <v>6520.0000000000009</v>
      </c>
      <c r="DF490" s="528">
        <f t="shared" si="298"/>
        <v>6520</v>
      </c>
      <c r="DG490" s="529"/>
      <c r="DH490" s="530">
        <f t="shared" si="300"/>
        <v>6520</v>
      </c>
      <c r="DP490" s="250" t="s">
        <v>2680</v>
      </c>
      <c r="DQ490" s="166">
        <v>0</v>
      </c>
      <c r="DR490" s="522">
        <f t="shared" si="291"/>
        <v>0</v>
      </c>
      <c r="DS490" s="523"/>
      <c r="DT490" s="524">
        <f t="shared" si="292"/>
        <v>0</v>
      </c>
      <c r="DU490" s="166"/>
      <c r="DV490" s="738" t="s">
        <v>4621</v>
      </c>
      <c r="DW490" s="166">
        <v>800</v>
      </c>
      <c r="DX490" s="522">
        <f t="shared" si="303"/>
        <v>800</v>
      </c>
      <c r="DY490" s="523"/>
      <c r="DZ490" s="524">
        <f t="shared" si="304"/>
        <v>800</v>
      </c>
      <c r="EH490" s="738" t="s">
        <v>5940</v>
      </c>
      <c r="EI490" s="166">
        <v>0</v>
      </c>
      <c r="EJ490" s="522">
        <f t="shared" ref="EJ490:EJ504" si="306">ROUND(((EI490-(EI490/6))/$DD$3)*$DE$3,2)</f>
        <v>0</v>
      </c>
      <c r="EK490" s="523"/>
      <c r="EL490" s="524">
        <f t="shared" ref="EL490:EL505" si="307">IF(EK490="",EJ490,
IF(AND($EI$10&gt;=VLOOKUP(EK490,$EH$5:$EL$9,2,0),$EI$10&lt;=VLOOKUP(EK490,$EH$5:$EL$9,3,0)),
(EJ490*(1-VLOOKUP(EK490,$EH$5:$EL$9,4,0))),
EJ490))</f>
        <v>0</v>
      </c>
    </row>
    <row r="491" spans="51:142">
      <c r="AY491" s="740" t="s">
        <v>2869</v>
      </c>
      <c r="AZ491" s="137" t="s">
        <v>1723</v>
      </c>
      <c r="BA491" s="138" t="str">
        <f t="shared" si="305"/>
        <v>ДП Тіана.1/0.б/з фальц.</v>
      </c>
      <c r="BW491" s="249" t="s">
        <v>2732</v>
      </c>
      <c r="BX491" s="248" t="s">
        <v>832</v>
      </c>
      <c r="BY491" s="139" t="str">
        <f t="shared" si="299"/>
        <v>ДП Лінда.1/4.Бронза</v>
      </c>
      <c r="CA491" s="145" t="s">
        <v>3284</v>
      </c>
      <c r="CB491" s="134" t="s">
        <v>4106</v>
      </c>
      <c r="CC491" s="135" t="str">
        <f>CONCATENATE(CA491,".",CB491)</f>
        <v>ДП Ліса.купе..робоча..(ні)</v>
      </c>
      <c r="DD491" s="250" t="s">
        <v>2632</v>
      </c>
      <c r="DE491" s="166">
        <v>6520.0000000000009</v>
      </c>
      <c r="DF491" s="528">
        <f t="shared" si="298"/>
        <v>6520</v>
      </c>
      <c r="DG491" s="529"/>
      <c r="DH491" s="530">
        <f t="shared" si="300"/>
        <v>6520</v>
      </c>
      <c r="DP491" s="740" t="s">
        <v>3971</v>
      </c>
      <c r="DQ491" s="166">
        <v>550</v>
      </c>
      <c r="DR491" s="522">
        <f t="shared" si="291"/>
        <v>550</v>
      </c>
      <c r="DS491" s="523"/>
      <c r="DT491" s="524">
        <f t="shared" si="292"/>
        <v>550</v>
      </c>
      <c r="DU491" s="166"/>
      <c r="DV491" s="738" t="s">
        <v>4622</v>
      </c>
      <c r="DW491" s="166">
        <v>800</v>
      </c>
      <c r="DX491" s="522">
        <f t="shared" si="303"/>
        <v>800</v>
      </c>
      <c r="DY491" s="523"/>
      <c r="DZ491" s="524">
        <f t="shared" si="304"/>
        <v>800</v>
      </c>
      <c r="EH491" s="739" t="s">
        <v>5941</v>
      </c>
      <c r="EI491" s="164">
        <v>150</v>
      </c>
      <c r="EJ491" s="531">
        <f t="shared" si="306"/>
        <v>150</v>
      </c>
      <c r="EK491" s="526"/>
      <c r="EL491" s="527">
        <f t="shared" si="307"/>
        <v>150</v>
      </c>
    </row>
    <row r="492" spans="51:142">
      <c r="AY492" s="741" t="s">
        <v>2869</v>
      </c>
      <c r="AZ492" s="62" t="s">
        <v>1724</v>
      </c>
      <c r="BA492" s="139" t="str">
        <f t="shared" si="305"/>
        <v>ДП Тіана.1/0.купе.</v>
      </c>
      <c r="BW492" s="251" t="s">
        <v>2733</v>
      </c>
      <c r="BX492" s="246" t="s">
        <v>458</v>
      </c>
      <c r="BY492" s="135" t="str">
        <f t="shared" si="299"/>
        <v>ДП Лінда.1/5.Сатин</v>
      </c>
      <c r="CA492" s="146" t="s">
        <v>3284</v>
      </c>
      <c r="CB492" s="21"/>
      <c r="CC492" s="21"/>
      <c r="DD492" s="249" t="s">
        <v>2633</v>
      </c>
      <c r="DE492" s="164">
        <v>6520.0000000000009</v>
      </c>
      <c r="DF492" s="528">
        <f t="shared" si="298"/>
        <v>6520</v>
      </c>
      <c r="DG492" s="529"/>
      <c r="DH492" s="530">
        <f t="shared" si="300"/>
        <v>6520</v>
      </c>
      <c r="DP492" s="249" t="s">
        <v>2681</v>
      </c>
      <c r="DQ492" s="164">
        <v>550</v>
      </c>
      <c r="DR492" s="531">
        <f t="shared" si="291"/>
        <v>550</v>
      </c>
      <c r="DS492" s="526"/>
      <c r="DT492" s="527">
        <f t="shared" si="292"/>
        <v>550</v>
      </c>
      <c r="DU492" s="166"/>
      <c r="DV492" s="739" t="s">
        <v>4623</v>
      </c>
      <c r="DW492" s="166">
        <v>800</v>
      </c>
      <c r="DX492" s="525">
        <f t="shared" si="303"/>
        <v>800</v>
      </c>
      <c r="DY492" s="526"/>
      <c r="DZ492" s="527">
        <f t="shared" si="304"/>
        <v>800</v>
      </c>
      <c r="EH492" s="738" t="s">
        <v>5942</v>
      </c>
      <c r="EI492" s="166">
        <v>0</v>
      </c>
      <c r="EJ492" s="522">
        <f t="shared" si="306"/>
        <v>0</v>
      </c>
      <c r="EK492" s="523"/>
      <c r="EL492" s="524">
        <f t="shared" si="307"/>
        <v>0</v>
      </c>
    </row>
    <row r="493" spans="51:142">
      <c r="AY493" s="740" t="s">
        <v>2870</v>
      </c>
      <c r="AZ493" s="137" t="s">
        <v>1722</v>
      </c>
      <c r="BA493" s="138" t="str">
        <f t="shared" si="305"/>
        <v>ДП Тіана.1/1.фальц.</v>
      </c>
      <c r="BW493" s="250" t="s">
        <v>2733</v>
      </c>
      <c r="BX493" s="770" t="s">
        <v>3851</v>
      </c>
      <c r="BY493" s="138" t="str">
        <f t="shared" si="299"/>
        <v>ДП Лінда.1/5.Графіт</v>
      </c>
      <c r="CA493" s="146" t="s">
        <v>3284</v>
      </c>
      <c r="CB493" s="137" t="s">
        <v>462</v>
      </c>
      <c r="CC493" s="138" t="str">
        <f>CONCATENATE(CA493,".",CB493)</f>
        <v>ДП Ліса.купе..робоча..Ручка-Захват</v>
      </c>
      <c r="DD493" s="250" t="s">
        <v>2634</v>
      </c>
      <c r="DE493" s="166">
        <v>6710</v>
      </c>
      <c r="DF493" s="528">
        <f t="shared" si="298"/>
        <v>6710</v>
      </c>
      <c r="DG493" s="529"/>
      <c r="DH493" s="530">
        <f t="shared" si="300"/>
        <v>6710</v>
      </c>
      <c r="DP493" s="249" t="s">
        <v>6071</v>
      </c>
      <c r="DQ493" s="164">
        <v>550</v>
      </c>
      <c r="DR493" s="531">
        <f>ROUND(((DQ493-(DQ493/6))/$DD$3)*$DE$3,2)</f>
        <v>550</v>
      </c>
      <c r="DS493" s="526"/>
      <c r="DT493" s="527">
        <f>IF(DS493="",DR493,
IF(AND($DQ$10&gt;=VLOOKUP(DS493,$DP$5:$DT$9,2,0),$DQ$10&lt;=VLOOKUP(DS493,$DP$5:$DT$9,3,0)),
(DR493*(1-VLOOKUP(DS493,$DP$5:$DT$9,4,0))),
DR493))</f>
        <v>550</v>
      </c>
      <c r="DU493" s="166"/>
      <c r="DV493" s="739" t="s">
        <v>6317</v>
      </c>
      <c r="DW493" s="164">
        <v>0</v>
      </c>
      <c r="DX493" s="531">
        <f t="shared" si="296"/>
        <v>0</v>
      </c>
      <c r="DY493" s="526"/>
      <c r="DZ493" s="527">
        <f t="shared" si="297"/>
        <v>0</v>
      </c>
      <c r="EH493" s="739" t="s">
        <v>5943</v>
      </c>
      <c r="EI493" s="164">
        <v>150</v>
      </c>
      <c r="EJ493" s="531">
        <f t="shared" si="306"/>
        <v>150</v>
      </c>
      <c r="EK493" s="526"/>
      <c r="EL493" s="527">
        <f t="shared" si="307"/>
        <v>150</v>
      </c>
    </row>
    <row r="494" spans="51:142">
      <c r="AY494" s="740" t="s">
        <v>2870</v>
      </c>
      <c r="AZ494" s="137" t="s">
        <v>1723</v>
      </c>
      <c r="BA494" s="138" t="str">
        <f t="shared" si="305"/>
        <v>ДП Тіана.1/1.б/з фальц.</v>
      </c>
      <c r="BW494" s="249" t="s">
        <v>2733</v>
      </c>
      <c r="BX494" s="248" t="s">
        <v>832</v>
      </c>
      <c r="BY494" s="139" t="str">
        <f t="shared" si="299"/>
        <v>ДП Лінда.1/5.Бронза</v>
      </c>
      <c r="CA494" s="146" t="s">
        <v>3284</v>
      </c>
      <c r="CB494" s="137" t="s">
        <v>684</v>
      </c>
      <c r="CC494" s="138" t="str">
        <f>CONCATENATE(CA494,".",CB494)</f>
        <v>ДП Ліса.купе..робоча..Ручка-Замок</v>
      </c>
      <c r="DD494" s="250" t="s">
        <v>2635</v>
      </c>
      <c r="DE494" s="166">
        <v>6710</v>
      </c>
      <c r="DF494" s="528">
        <f t="shared" si="298"/>
        <v>6710</v>
      </c>
      <c r="DG494" s="529"/>
      <c r="DH494" s="530">
        <f t="shared" si="300"/>
        <v>6710</v>
      </c>
      <c r="DP494" s="250" t="s">
        <v>2682</v>
      </c>
      <c r="DQ494" s="166">
        <v>0</v>
      </c>
      <c r="DR494" s="522">
        <f t="shared" si="291"/>
        <v>0</v>
      </c>
      <c r="DS494" s="523"/>
      <c r="DT494" s="524">
        <f t="shared" si="292"/>
        <v>0</v>
      </c>
      <c r="DU494" s="166"/>
      <c r="DV494" s="738" t="s">
        <v>6318</v>
      </c>
      <c r="DW494" s="166">
        <v>1</v>
      </c>
      <c r="DX494" s="522">
        <f t="shared" si="296"/>
        <v>1</v>
      </c>
      <c r="DY494" s="523"/>
      <c r="DZ494" s="524">
        <f t="shared" si="297"/>
        <v>1</v>
      </c>
      <c r="EH494" s="738" t="s">
        <v>5944</v>
      </c>
      <c r="EI494" s="166">
        <v>0</v>
      </c>
      <c r="EJ494" s="522">
        <f>ROUND(((EI494-(EI494/6))/$DD$3)*$DE$3,2)</f>
        <v>0</v>
      </c>
      <c r="EK494" s="523"/>
      <c r="EL494" s="524">
        <f>IF(EK494="",EJ494,
IF(AND($EI$10&gt;=VLOOKUP(EK494,$EH$5:$EL$9,2,0),$EI$10&lt;=VLOOKUP(EK494,$EH$5:$EL$9,3,0)),
(EJ494*(1-VLOOKUP(EK494,$EH$5:$EL$9,4,0))),
EJ494))</f>
        <v>0</v>
      </c>
    </row>
    <row r="495" spans="51:142">
      <c r="AY495" s="741" t="s">
        <v>2870</v>
      </c>
      <c r="AZ495" s="62" t="s">
        <v>1724</v>
      </c>
      <c r="BA495" s="139" t="str">
        <f t="shared" si="305"/>
        <v>ДП Тіана.1/1.купе.</v>
      </c>
      <c r="BW495" s="251" t="s">
        <v>2734</v>
      </c>
      <c r="BX495" s="246" t="s">
        <v>458</v>
      </c>
      <c r="BY495" s="135" t="str">
        <f t="shared" si="299"/>
        <v>ДП Лінда.1/6.Сатин</v>
      </c>
      <c r="CA495" s="432"/>
      <c r="CB495" s="222"/>
      <c r="CC495" s="223"/>
      <c r="DD495" s="250" t="s">
        <v>2636</v>
      </c>
      <c r="DE495" s="166">
        <v>6710</v>
      </c>
      <c r="DF495" s="528">
        <f t="shared" si="298"/>
        <v>6710</v>
      </c>
      <c r="DG495" s="529"/>
      <c r="DH495" s="530">
        <f t="shared" si="300"/>
        <v>6710</v>
      </c>
      <c r="DP495" s="740" t="s">
        <v>3972</v>
      </c>
      <c r="DQ495" s="166">
        <v>550</v>
      </c>
      <c r="DR495" s="522">
        <f t="shared" si="291"/>
        <v>550</v>
      </c>
      <c r="DS495" s="523"/>
      <c r="DT495" s="524">
        <f t="shared" si="292"/>
        <v>550</v>
      </c>
      <c r="DU495" s="166"/>
      <c r="DV495" s="738" t="s">
        <v>6319</v>
      </c>
      <c r="DW495" s="166">
        <v>1</v>
      </c>
      <c r="DX495" s="522">
        <f t="shared" si="296"/>
        <v>1</v>
      </c>
      <c r="DY495" s="523"/>
      <c r="DZ495" s="524">
        <f t="shared" si="297"/>
        <v>1</v>
      </c>
      <c r="EH495" s="739" t="s">
        <v>5945</v>
      </c>
      <c r="EI495" s="164">
        <v>150</v>
      </c>
      <c r="EJ495" s="531">
        <f>ROUND(((EI495-(EI495/6))/$DD$3)*$DE$3,2)</f>
        <v>150</v>
      </c>
      <c r="EK495" s="526"/>
      <c r="EL495" s="527">
        <f>IF(EK495="",EJ495,
IF(AND($EI$10&gt;=VLOOKUP(EK495,$EH$5:$EL$9,2,0),$EI$10&lt;=VLOOKUP(EK495,$EH$5:$EL$9,3,0)),
(EJ495*(1-VLOOKUP(EK495,$EH$5:$EL$9,4,0))),
EJ495))</f>
        <v>150</v>
      </c>
    </row>
    <row r="496" spans="51:142">
      <c r="AY496" s="740" t="s">
        <v>2871</v>
      </c>
      <c r="AZ496" s="137" t="s">
        <v>1722</v>
      </c>
      <c r="BA496" s="138" t="str">
        <f t="shared" si="305"/>
        <v>ДП Тіана.1/2.фальц.</v>
      </c>
      <c r="BW496" s="250" t="s">
        <v>2734</v>
      </c>
      <c r="BX496" s="770" t="s">
        <v>3851</v>
      </c>
      <c r="BY496" s="138" t="str">
        <f t="shared" si="299"/>
        <v>ДП Лінда.1/6.Графіт</v>
      </c>
      <c r="CA496" s="742" t="s">
        <v>3285</v>
      </c>
      <c r="CB496" s="137" t="s">
        <v>4106</v>
      </c>
      <c r="CC496" s="138" t="str">
        <f>CONCATENATE(CA496,".",CB496)</f>
        <v>ДП ЛАДА-КОНЦЕПТ.фальц..робоча..(ні)</v>
      </c>
      <c r="DD496" s="250" t="s">
        <v>2637</v>
      </c>
      <c r="DE496" s="166">
        <v>6710</v>
      </c>
      <c r="DF496" s="528">
        <f t="shared" si="298"/>
        <v>6710</v>
      </c>
      <c r="DG496" s="529"/>
      <c r="DH496" s="530">
        <f t="shared" si="300"/>
        <v>6710</v>
      </c>
      <c r="DP496" s="249" t="s">
        <v>2683</v>
      </c>
      <c r="DQ496" s="164">
        <v>550</v>
      </c>
      <c r="DR496" s="531">
        <f t="shared" si="291"/>
        <v>550</v>
      </c>
      <c r="DS496" s="526"/>
      <c r="DT496" s="527">
        <f t="shared" si="292"/>
        <v>550</v>
      </c>
      <c r="DU496" s="166"/>
      <c r="DV496" s="738" t="s">
        <v>6320</v>
      </c>
      <c r="DW496" s="166">
        <v>1</v>
      </c>
      <c r="DX496" s="522">
        <f t="shared" si="296"/>
        <v>1</v>
      </c>
      <c r="DY496" s="523"/>
      <c r="DZ496" s="524">
        <f t="shared" si="297"/>
        <v>1</v>
      </c>
      <c r="EH496" s="738" t="s">
        <v>5946</v>
      </c>
      <c r="EI496" s="166">
        <v>0</v>
      </c>
      <c r="EJ496" s="522">
        <f>ROUND(((EI496-(EI496/6))/$DD$3)*$DE$3,2)</f>
        <v>0</v>
      </c>
      <c r="EK496" s="523"/>
      <c r="EL496" s="524">
        <f>IF(EK496="",EJ496,
IF(AND($EI$10&gt;=VLOOKUP(EK496,$EH$5:$EL$9,2,0),$EI$10&lt;=VLOOKUP(EK496,$EH$5:$EL$9,3,0)),
(EJ496*(1-VLOOKUP(EK496,$EH$5:$EL$9,4,0))),
EJ496))</f>
        <v>0</v>
      </c>
    </row>
    <row r="497" spans="51:142">
      <c r="AY497" s="740" t="s">
        <v>2871</v>
      </c>
      <c r="AZ497" s="137" t="s">
        <v>1723</v>
      </c>
      <c r="BA497" s="138" t="str">
        <f t="shared" si="305"/>
        <v>ДП Тіана.1/2.б/з фальц.</v>
      </c>
      <c r="BW497" s="249" t="s">
        <v>2734</v>
      </c>
      <c r="BX497" s="248" t="s">
        <v>832</v>
      </c>
      <c r="BY497" s="139" t="str">
        <f t="shared" si="299"/>
        <v>ДП Лінда.1/6.Бронза</v>
      </c>
      <c r="CA497" s="742" t="s">
        <v>3285</v>
      </c>
      <c r="CB497" s="21"/>
      <c r="CC497" s="21"/>
      <c r="DD497" s="250" t="s">
        <v>2638</v>
      </c>
      <c r="DE497" s="166">
        <v>6710</v>
      </c>
      <c r="DF497" s="528">
        <f t="shared" si="298"/>
        <v>6710</v>
      </c>
      <c r="DG497" s="529"/>
      <c r="DH497" s="530">
        <f t="shared" si="300"/>
        <v>6710</v>
      </c>
      <c r="DP497" s="249" t="s">
        <v>6072</v>
      </c>
      <c r="DQ497" s="164">
        <v>550</v>
      </c>
      <c r="DR497" s="531">
        <f>ROUND(((DQ497-(DQ497/6))/$DD$3)*$DE$3,2)</f>
        <v>550</v>
      </c>
      <c r="DS497" s="526"/>
      <c r="DT497" s="527">
        <f>IF(DS497="",DR497,
IF(AND($DQ$10&gt;=VLOOKUP(DS497,$DP$5:$DT$9,2,0),$DQ$10&lt;=VLOOKUP(DS497,$DP$5:$DT$9,3,0)),
(DR497*(1-VLOOKUP(DS497,$DP$5:$DT$9,4,0))),
DR497))</f>
        <v>550</v>
      </c>
      <c r="DU497" s="166"/>
      <c r="DV497" s="738" t="s">
        <v>6321</v>
      </c>
      <c r="DW497" s="166">
        <v>1</v>
      </c>
      <c r="DX497" s="522">
        <f t="shared" si="296"/>
        <v>1</v>
      </c>
      <c r="DY497" s="523"/>
      <c r="DZ497" s="524">
        <f t="shared" si="297"/>
        <v>1</v>
      </c>
      <c r="EH497" s="739" t="s">
        <v>5947</v>
      </c>
      <c r="EI497" s="164">
        <v>170</v>
      </c>
      <c r="EJ497" s="531">
        <f>ROUND(((EI497-(EI497/6))/$DD$3)*$DE$3,2)</f>
        <v>170</v>
      </c>
      <c r="EK497" s="526"/>
      <c r="EL497" s="527">
        <f>IF(EK497="",EJ497,
IF(AND($EI$10&gt;=VLOOKUP(EK497,$EH$5:$EL$9,2,0),$EI$10&lt;=VLOOKUP(EK497,$EH$5:$EL$9,3,0)),
(EJ497*(1-VLOOKUP(EK497,$EH$5:$EL$9,4,0))),
EJ497))</f>
        <v>170</v>
      </c>
    </row>
    <row r="498" spans="51:142">
      <c r="AY498" s="741" t="s">
        <v>2871</v>
      </c>
      <c r="AZ498" s="62" t="s">
        <v>1724</v>
      </c>
      <c r="BA498" s="139" t="str">
        <f t="shared" si="305"/>
        <v>ДП Тіана.1/2.купе.</v>
      </c>
      <c r="BW498" s="251" t="s">
        <v>2735</v>
      </c>
      <c r="BX498" s="246" t="s">
        <v>458</v>
      </c>
      <c r="BY498" s="135" t="str">
        <f t="shared" si="299"/>
        <v>ДП Лінда.1/7.Сатин</v>
      </c>
      <c r="CA498" s="742" t="s">
        <v>3285</v>
      </c>
      <c r="CB498" s="783" t="s">
        <v>5754</v>
      </c>
      <c r="CC498" s="138" t="str">
        <f t="shared" ref="CC498:CC503" si="308">CONCATENATE(CA498,".",CB498)</f>
        <v>ДП ЛАДА-КОНЦЕПТ.фальц..робоча..Stand цл Лів +3завіс</v>
      </c>
      <c r="DD498" s="250" t="s">
        <v>2639</v>
      </c>
      <c r="DE498" s="166">
        <v>6710</v>
      </c>
      <c r="DF498" s="528">
        <f t="shared" si="298"/>
        <v>6710</v>
      </c>
      <c r="DG498" s="529"/>
      <c r="DH498" s="530">
        <f t="shared" si="300"/>
        <v>6710</v>
      </c>
      <c r="DP498" s="538"/>
      <c r="DQ498" s="539"/>
      <c r="DR498" s="650"/>
      <c r="DS498" s="651"/>
      <c r="DT498" s="652"/>
      <c r="DU498" s="166"/>
      <c r="DV498" s="738" t="s">
        <v>6322</v>
      </c>
      <c r="DW498" s="166">
        <v>1</v>
      </c>
      <c r="DX498" s="522">
        <f t="shared" si="296"/>
        <v>1</v>
      </c>
      <c r="DY498" s="523"/>
      <c r="DZ498" s="524">
        <f t="shared" si="297"/>
        <v>1</v>
      </c>
      <c r="EH498" s="738" t="s">
        <v>5948</v>
      </c>
      <c r="EI498" s="166">
        <v>0</v>
      </c>
      <c r="EJ498" s="522">
        <f t="shared" si="306"/>
        <v>0</v>
      </c>
      <c r="EK498" s="523"/>
      <c r="EL498" s="524">
        <f t="shared" si="307"/>
        <v>0</v>
      </c>
    </row>
    <row r="499" spans="51:142">
      <c r="AY499" s="740" t="s">
        <v>2872</v>
      </c>
      <c r="AZ499" s="137" t="s">
        <v>1722</v>
      </c>
      <c r="BA499" s="138" t="str">
        <f t="shared" si="305"/>
        <v>ДП Тіана.1/3.фальц.</v>
      </c>
      <c r="BW499" s="250" t="s">
        <v>2735</v>
      </c>
      <c r="BX499" s="770" t="s">
        <v>3851</v>
      </c>
      <c r="BY499" s="138" t="str">
        <f t="shared" si="299"/>
        <v>ДП Лінда.1/7.Графіт</v>
      </c>
      <c r="CA499" s="742" t="s">
        <v>3285</v>
      </c>
      <c r="CB499" s="783" t="s">
        <v>5755</v>
      </c>
      <c r="CC499" s="138" t="str">
        <f t="shared" si="308"/>
        <v>ДП ЛАДА-КОНЦЕПТ.фальц..робоча..Stand цл Пр +3завіс</v>
      </c>
      <c r="DD499" s="250" t="s">
        <v>2640</v>
      </c>
      <c r="DE499" s="166">
        <v>6710</v>
      </c>
      <c r="DF499" s="528">
        <f t="shared" si="298"/>
        <v>6710</v>
      </c>
      <c r="DG499" s="529"/>
      <c r="DH499" s="530">
        <f t="shared" si="300"/>
        <v>6710</v>
      </c>
      <c r="DP499" s="736" t="s">
        <v>4168</v>
      </c>
      <c r="DQ499" s="105">
        <v>0</v>
      </c>
      <c r="DR499" s="403">
        <f t="shared" ref="DR499:DR528" si="309">ROUND(((DQ499-(DQ499/6))/$DD$3)*$DE$3,2)</f>
        <v>0</v>
      </c>
      <c r="DS499" s="514"/>
      <c r="DT499" s="511">
        <f t="shared" ref="DT499:DT528" si="310">IF(DS499="",DR499,
IF(AND($DQ$10&gt;=VLOOKUP(DS499,$DP$5:$DT$9,2,0),$DQ$10&lt;=VLOOKUP(DS499,$DP$5:$DT$9,3,0)),
(DR499*(1-VLOOKUP(DS499,$DP$5:$DT$9,4,0))),
DR499))</f>
        <v>0</v>
      </c>
      <c r="DU499" s="166"/>
      <c r="DV499" s="739" t="s">
        <v>6323</v>
      </c>
      <c r="DW499" s="166">
        <v>1</v>
      </c>
      <c r="DX499" s="525">
        <f t="shared" si="296"/>
        <v>1</v>
      </c>
      <c r="DY499" s="526"/>
      <c r="DZ499" s="527">
        <f t="shared" si="297"/>
        <v>1</v>
      </c>
      <c r="EH499" s="739" t="s">
        <v>5949</v>
      </c>
      <c r="EI499" s="164">
        <v>200</v>
      </c>
      <c r="EJ499" s="531">
        <f t="shared" si="306"/>
        <v>200</v>
      </c>
      <c r="EK499" s="526"/>
      <c r="EL499" s="527">
        <f t="shared" si="307"/>
        <v>200</v>
      </c>
    </row>
    <row r="500" spans="51:142">
      <c r="AY500" s="740" t="s">
        <v>2872</v>
      </c>
      <c r="AZ500" s="137" t="s">
        <v>1723</v>
      </c>
      <c r="BA500" s="138" t="str">
        <f t="shared" si="305"/>
        <v>ДП Тіана.1/3.б/з фальц.</v>
      </c>
      <c r="BW500" s="249" t="s">
        <v>2735</v>
      </c>
      <c r="BX500" s="248" t="s">
        <v>832</v>
      </c>
      <c r="BY500" s="139" t="str">
        <f t="shared" si="299"/>
        <v>ДП Лінда.1/7.Бронза</v>
      </c>
      <c r="CA500" s="742" t="s">
        <v>3285</v>
      </c>
      <c r="CB500" s="783" t="s">
        <v>5756</v>
      </c>
      <c r="CC500" s="138" t="str">
        <f t="shared" si="308"/>
        <v>ДП ЛАДА-КОНЦЕПТ.фальц..робоча..Stand кл Лів +3завіс</v>
      </c>
      <c r="DD500" s="249" t="s">
        <v>2641</v>
      </c>
      <c r="DE500" s="164">
        <v>6710</v>
      </c>
      <c r="DF500" s="528">
        <f t="shared" si="298"/>
        <v>6710</v>
      </c>
      <c r="DG500" s="529"/>
      <c r="DH500" s="530">
        <f t="shared" si="300"/>
        <v>6710</v>
      </c>
      <c r="DP500" s="162" t="s">
        <v>1129</v>
      </c>
      <c r="DQ500" s="163">
        <v>0</v>
      </c>
      <c r="DR500" s="528">
        <f t="shared" si="309"/>
        <v>0</v>
      </c>
      <c r="DS500" s="529"/>
      <c r="DT500" s="530">
        <f t="shared" si="310"/>
        <v>0</v>
      </c>
      <c r="DU500" s="166"/>
      <c r="DV500" s="165" t="s">
        <v>2529</v>
      </c>
      <c r="DW500" s="166">
        <v>0</v>
      </c>
      <c r="DX500" s="522">
        <f t="shared" si="296"/>
        <v>0</v>
      </c>
      <c r="DY500" s="523"/>
      <c r="DZ500" s="524">
        <f t="shared" si="297"/>
        <v>0</v>
      </c>
      <c r="EH500" s="738" t="s">
        <v>5950</v>
      </c>
      <c r="EI500" s="166">
        <v>0</v>
      </c>
      <c r="EJ500" s="522">
        <f t="shared" si="306"/>
        <v>0</v>
      </c>
      <c r="EK500" s="523"/>
      <c r="EL500" s="524">
        <f t="shared" si="307"/>
        <v>0</v>
      </c>
    </row>
    <row r="501" spans="51:142">
      <c r="AY501" s="741" t="s">
        <v>2872</v>
      </c>
      <c r="AZ501" s="62" t="s">
        <v>1724</v>
      </c>
      <c r="BA501" s="139" t="str">
        <f t="shared" si="305"/>
        <v>ДП Тіана.1/3.купе.</v>
      </c>
      <c r="BW501" s="251" t="s">
        <v>2736</v>
      </c>
      <c r="BX501" s="246" t="s">
        <v>458</v>
      </c>
      <c r="BY501" s="135" t="str">
        <f t="shared" si="299"/>
        <v>ДП Лінда.1/8.Сатин</v>
      </c>
      <c r="CA501" s="742" t="s">
        <v>3285</v>
      </c>
      <c r="CB501" s="783" t="s">
        <v>5757</v>
      </c>
      <c r="CC501" s="138" t="str">
        <f t="shared" si="308"/>
        <v>ДП ЛАДА-КОНЦЕПТ.фальц..робоча..Stand кл Пр +3завіс</v>
      </c>
      <c r="DD501" s="250" t="s">
        <v>2642</v>
      </c>
      <c r="DE501" s="166">
        <v>7220</v>
      </c>
      <c r="DF501" s="528">
        <f t="shared" si="298"/>
        <v>7220</v>
      </c>
      <c r="DG501" s="529"/>
      <c r="DH501" s="530">
        <f t="shared" si="300"/>
        <v>7220</v>
      </c>
      <c r="DP501" s="738" t="s">
        <v>3973</v>
      </c>
      <c r="DQ501" s="166">
        <v>550</v>
      </c>
      <c r="DR501" s="522">
        <f t="shared" si="309"/>
        <v>550</v>
      </c>
      <c r="DS501" s="523"/>
      <c r="DT501" s="524">
        <f t="shared" si="310"/>
        <v>550</v>
      </c>
      <c r="DU501" s="166"/>
      <c r="DV501" s="108" t="s">
        <v>2531</v>
      </c>
      <c r="DW501" s="164">
        <v>560</v>
      </c>
      <c r="DX501" s="531">
        <f t="shared" si="296"/>
        <v>560</v>
      </c>
      <c r="DY501" s="526"/>
      <c r="DZ501" s="527">
        <f t="shared" si="297"/>
        <v>560</v>
      </c>
      <c r="EH501" s="739" t="s">
        <v>5951</v>
      </c>
      <c r="EI501" s="164">
        <v>240</v>
      </c>
      <c r="EJ501" s="531">
        <f t="shared" si="306"/>
        <v>240</v>
      </c>
      <c r="EK501" s="526"/>
      <c r="EL501" s="527">
        <f t="shared" si="307"/>
        <v>240</v>
      </c>
    </row>
    <row r="502" spans="51:142">
      <c r="AY502" s="740" t="s">
        <v>2873</v>
      </c>
      <c r="AZ502" s="137" t="s">
        <v>1722</v>
      </c>
      <c r="BA502" s="138" t="str">
        <f t="shared" si="305"/>
        <v>ДП Тіана.1/4.фальц.</v>
      </c>
      <c r="BW502" s="250" t="s">
        <v>2736</v>
      </c>
      <c r="BX502" s="770" t="s">
        <v>3851</v>
      </c>
      <c r="BY502" s="138" t="str">
        <f t="shared" si="299"/>
        <v>ДП Лінда.1/8.Графіт</v>
      </c>
      <c r="CA502" s="742" t="s">
        <v>3285</v>
      </c>
      <c r="CB502" s="783" t="s">
        <v>5758</v>
      </c>
      <c r="CC502" s="138" t="str">
        <f t="shared" si="308"/>
        <v>ДП ЛАДА-КОНЦЕПТ.фальц..робоча..Stand ст Лів +3завіс</v>
      </c>
      <c r="DD502" s="250" t="s">
        <v>2643</v>
      </c>
      <c r="DE502" s="166">
        <v>7220</v>
      </c>
      <c r="DF502" s="528">
        <f t="shared" si="298"/>
        <v>7220</v>
      </c>
      <c r="DG502" s="529"/>
      <c r="DH502" s="530">
        <f t="shared" si="300"/>
        <v>7220</v>
      </c>
      <c r="DP502" s="108" t="s">
        <v>1134</v>
      </c>
      <c r="DQ502" s="164">
        <v>550</v>
      </c>
      <c r="DR502" s="531">
        <f t="shared" si="309"/>
        <v>550</v>
      </c>
      <c r="DS502" s="526"/>
      <c r="DT502" s="527">
        <f t="shared" si="310"/>
        <v>550</v>
      </c>
      <c r="DU502" s="166"/>
      <c r="DV502" s="647"/>
      <c r="DW502" s="648"/>
      <c r="DX502" s="654"/>
      <c r="DY502" s="655"/>
      <c r="DZ502" s="656"/>
      <c r="EH502" s="738" t="s">
        <v>5952</v>
      </c>
      <c r="EI502" s="166">
        <v>0</v>
      </c>
      <c r="EJ502" s="522">
        <f>ROUND(((EI502-(EI502/6))/$DD$3)*$DE$3,2)</f>
        <v>0</v>
      </c>
      <c r="EK502" s="523"/>
      <c r="EL502" s="524">
        <f>IF(EK502="",EJ502,
IF(AND($EI$10&gt;=VLOOKUP(EK502,$EH$5:$EL$9,2,0),$EI$10&lt;=VLOOKUP(EK502,$EH$5:$EL$9,3,0)),
(EJ502*(1-VLOOKUP(EK502,$EH$5:$EL$9,4,0))),
EJ502))</f>
        <v>0</v>
      </c>
    </row>
    <row r="503" spans="51:142">
      <c r="AY503" s="740" t="s">
        <v>2873</v>
      </c>
      <c r="AZ503" s="137" t="s">
        <v>1723</v>
      </c>
      <c r="BA503" s="138" t="str">
        <f t="shared" si="305"/>
        <v>ДП Тіана.1/4.б/з фальц.</v>
      </c>
      <c r="BW503" s="249" t="s">
        <v>2736</v>
      </c>
      <c r="BX503" s="248" t="s">
        <v>832</v>
      </c>
      <c r="BY503" s="139" t="str">
        <f t="shared" si="299"/>
        <v>ДП Лінда.1/8.Бронза</v>
      </c>
      <c r="CA503" s="742" t="s">
        <v>3285</v>
      </c>
      <c r="CB503" s="783" t="s">
        <v>5759</v>
      </c>
      <c r="CC503" s="138" t="str">
        <f t="shared" si="308"/>
        <v>ДП ЛАДА-КОНЦЕПТ.фальц..робоча..Stand ст Пр +3завіс</v>
      </c>
      <c r="DD503" s="250" t="s">
        <v>2644</v>
      </c>
      <c r="DE503" s="166">
        <v>7220</v>
      </c>
      <c r="DF503" s="528">
        <f t="shared" si="298"/>
        <v>7220</v>
      </c>
      <c r="DG503" s="529"/>
      <c r="DH503" s="530">
        <f t="shared" si="300"/>
        <v>7220</v>
      </c>
      <c r="DP503" s="739" t="s">
        <v>4169</v>
      </c>
      <c r="DQ503" s="164">
        <v>0</v>
      </c>
      <c r="DR503" s="525">
        <f t="shared" si="309"/>
        <v>0</v>
      </c>
      <c r="DS503" s="526"/>
      <c r="DT503" s="527">
        <f t="shared" si="310"/>
        <v>0</v>
      </c>
      <c r="DU503" s="166"/>
      <c r="DV503" s="736" t="s">
        <v>4159</v>
      </c>
      <c r="DW503" s="105">
        <v>0</v>
      </c>
      <c r="DX503" s="403">
        <f t="shared" ref="DX503:DX533" si="311">ROUND(((DW503-(DW503/6))/$DD$3)*$DE$3,2)</f>
        <v>0</v>
      </c>
      <c r="DY503" s="514"/>
      <c r="DZ503" s="511">
        <f t="shared" ref="DZ503:DZ533" si="312">IF(DY503="",DX503,
IF(AND($DW$10&gt;=VLOOKUP(DY503,$DV$5:$DZ$9,2,0),$DW$10&lt;=VLOOKUP(DY503,$DV$5:$DZ$9,3,0)),
(DX503*(1-VLOOKUP(DY503,$DV$5:$DZ$9,4,0))),
DX503))</f>
        <v>0</v>
      </c>
      <c r="EH503" s="739" t="s">
        <v>5953</v>
      </c>
      <c r="EI503" s="164">
        <v>260</v>
      </c>
      <c r="EJ503" s="531">
        <f>ROUND(((EI503-(EI503/6))/$DD$3)*$DE$3,2)</f>
        <v>260</v>
      </c>
      <c r="EK503" s="526"/>
      <c r="EL503" s="527">
        <f>IF(EK503="",EJ503,
IF(AND($EI$10&gt;=VLOOKUP(EK503,$EH$5:$EL$9,2,0),$EI$10&lt;=VLOOKUP(EK503,$EH$5:$EL$9,3,0)),
(EJ503*(1-VLOOKUP(EK503,$EH$5:$EL$9,4,0))),
EJ503))</f>
        <v>260</v>
      </c>
    </row>
    <row r="504" spans="51:142">
      <c r="AY504" s="741" t="s">
        <v>2873</v>
      </c>
      <c r="AZ504" s="62" t="s">
        <v>1724</v>
      </c>
      <c r="BA504" s="139" t="str">
        <f t="shared" si="305"/>
        <v>ДП Тіана.1/4.купе.</v>
      </c>
      <c r="BW504" s="432"/>
      <c r="BX504" s="432"/>
      <c r="BY504" s="432"/>
      <c r="CA504" s="742" t="s">
        <v>3285</v>
      </c>
      <c r="CC504" s="138"/>
      <c r="DD504" s="250" t="s">
        <v>2645</v>
      </c>
      <c r="DE504" s="166">
        <v>7220</v>
      </c>
      <c r="DF504" s="528">
        <f t="shared" si="298"/>
        <v>7220</v>
      </c>
      <c r="DG504" s="529"/>
      <c r="DH504" s="530">
        <f t="shared" si="300"/>
        <v>7220</v>
      </c>
      <c r="DP504" s="162" t="s">
        <v>1130</v>
      </c>
      <c r="DQ504" s="163">
        <v>0</v>
      </c>
      <c r="DR504" s="528">
        <f t="shared" si="309"/>
        <v>0</v>
      </c>
      <c r="DS504" s="529"/>
      <c r="DT504" s="530">
        <f t="shared" si="310"/>
        <v>0</v>
      </c>
      <c r="DU504" s="166"/>
      <c r="DV504" s="737" t="s">
        <v>5850</v>
      </c>
      <c r="DW504" s="163">
        <v>0</v>
      </c>
      <c r="DX504" s="528">
        <f t="shared" si="311"/>
        <v>0</v>
      </c>
      <c r="DY504" s="529"/>
      <c r="DZ504" s="530">
        <f t="shared" si="312"/>
        <v>0</v>
      </c>
      <c r="EH504" s="738" t="s">
        <v>5954</v>
      </c>
      <c r="EI504" s="166">
        <v>0</v>
      </c>
      <c r="EJ504" s="522">
        <f t="shared" si="306"/>
        <v>0</v>
      </c>
      <c r="EK504" s="523"/>
      <c r="EL504" s="524">
        <f t="shared" si="307"/>
        <v>0</v>
      </c>
    </row>
    <row r="505" spans="51:142">
      <c r="AY505" s="740" t="s">
        <v>2874</v>
      </c>
      <c r="AZ505" s="137" t="s">
        <v>1722</v>
      </c>
      <c r="BA505" s="138" t="str">
        <f t="shared" si="305"/>
        <v>ДП Тіана.1/5.фальц.</v>
      </c>
      <c r="BW505" s="744" t="s">
        <v>2869</v>
      </c>
      <c r="BX505" s="246" t="s">
        <v>458</v>
      </c>
      <c r="BY505" s="135" t="str">
        <f t="shared" si="299"/>
        <v>ДП Тіана.1/0.Сатин</v>
      </c>
      <c r="CA505" s="742" t="s">
        <v>3285</v>
      </c>
      <c r="CB505" s="137" t="s">
        <v>4304</v>
      </c>
      <c r="CC505" s="138" t="str">
        <f>CONCATENATE(CA505,".",CB505)</f>
        <v>ДП ЛАДА-КОНЦЕПТ.фальц..робоча..Soft цл +3завіс</v>
      </c>
      <c r="DD505" s="250" t="s">
        <v>2646</v>
      </c>
      <c r="DE505" s="166">
        <v>7220</v>
      </c>
      <c r="DF505" s="528">
        <f t="shared" si="298"/>
        <v>7220</v>
      </c>
      <c r="DG505" s="529"/>
      <c r="DH505" s="530">
        <f t="shared" si="300"/>
        <v>7220</v>
      </c>
      <c r="DP505" s="738" t="s">
        <v>3974</v>
      </c>
      <c r="DQ505" s="166">
        <v>550</v>
      </c>
      <c r="DR505" s="522">
        <f t="shared" si="309"/>
        <v>550</v>
      </c>
      <c r="DS505" s="523"/>
      <c r="DT505" s="524">
        <f t="shared" si="310"/>
        <v>550</v>
      </c>
      <c r="DU505" s="166"/>
      <c r="DV505" s="737" t="s">
        <v>5851</v>
      </c>
      <c r="DW505" s="163">
        <v>0</v>
      </c>
      <c r="DX505" s="528">
        <f>ROUND(((DW505-(DW505/6))/$DD$3)*$DE$3,2)</f>
        <v>0</v>
      </c>
      <c r="DY505" s="529"/>
      <c r="DZ505" s="530">
        <f>IF(DY505="",DX505,
IF(AND($DW$10&gt;=VLOOKUP(DY505,$DV$5:$DZ$9,2,0),$DW$10&lt;=VLOOKUP(DY505,$DV$5:$DZ$9,3,0)),
(DX505*(1-VLOOKUP(DY505,$DV$5:$DZ$9,4,0))),
DX505))</f>
        <v>0</v>
      </c>
      <c r="EH505" s="739" t="s">
        <v>5955</v>
      </c>
      <c r="EI505" s="164">
        <v>260</v>
      </c>
      <c r="EJ505" s="531">
        <f>ROUND(((EI505-(EI505/6))/$DD$3)*$DE$3,2)</f>
        <v>260</v>
      </c>
      <c r="EK505" s="526"/>
      <c r="EL505" s="527">
        <f t="shared" si="307"/>
        <v>260</v>
      </c>
    </row>
    <row r="506" spans="51:142">
      <c r="AY506" s="740" t="s">
        <v>2874</v>
      </c>
      <c r="AZ506" s="137" t="s">
        <v>1723</v>
      </c>
      <c r="BA506" s="138" t="str">
        <f t="shared" si="305"/>
        <v>ДП Тіана.1/5.б/з фальц.</v>
      </c>
      <c r="BW506" s="740" t="s">
        <v>2869</v>
      </c>
      <c r="BX506" s="770" t="s">
        <v>3851</v>
      </c>
      <c r="BY506" s="138" t="str">
        <f t="shared" si="299"/>
        <v>ДП Тіана.1/0.Графіт</v>
      </c>
      <c r="CA506" s="742" t="s">
        <v>3285</v>
      </c>
      <c r="CB506" s="137" t="s">
        <v>4307</v>
      </c>
      <c r="CC506" s="138" t="str">
        <f>CONCATENATE(CA506,".",CB506)</f>
        <v>ДП ЛАДА-КОНЦЕПТ.фальц..робоча..Soft ст +3завіс</v>
      </c>
      <c r="DD506" s="250" t="s">
        <v>2647</v>
      </c>
      <c r="DE506" s="166">
        <v>7220</v>
      </c>
      <c r="DF506" s="528">
        <f t="shared" si="298"/>
        <v>7220</v>
      </c>
      <c r="DG506" s="529"/>
      <c r="DH506" s="530">
        <f t="shared" si="300"/>
        <v>7220</v>
      </c>
      <c r="DP506" s="108" t="s">
        <v>1135</v>
      </c>
      <c r="DQ506" s="164">
        <v>550</v>
      </c>
      <c r="DR506" s="531">
        <f t="shared" si="309"/>
        <v>550</v>
      </c>
      <c r="DS506" s="526"/>
      <c r="DT506" s="527">
        <f t="shared" si="310"/>
        <v>550</v>
      </c>
      <c r="DU506" s="166"/>
      <c r="DV506" s="738" t="s">
        <v>5852</v>
      </c>
      <c r="DW506" s="166">
        <v>0</v>
      </c>
      <c r="DX506" s="522">
        <f t="shared" si="311"/>
        <v>0</v>
      </c>
      <c r="DY506" s="523"/>
      <c r="DZ506" s="524">
        <f t="shared" si="312"/>
        <v>0</v>
      </c>
      <c r="EH506" s="538"/>
      <c r="EI506" s="539"/>
      <c r="EJ506" s="650"/>
      <c r="EK506" s="651"/>
      <c r="EL506" s="652"/>
    </row>
    <row r="507" spans="51:142">
      <c r="AY507" s="741" t="s">
        <v>2874</v>
      </c>
      <c r="AZ507" s="62" t="s">
        <v>1724</v>
      </c>
      <c r="BA507" s="139" t="str">
        <f t="shared" si="305"/>
        <v>ДП Тіана.1/5.купе.</v>
      </c>
      <c r="BW507" s="741" t="s">
        <v>2869</v>
      </c>
      <c r="BX507" s="248" t="s">
        <v>832</v>
      </c>
      <c r="BY507" s="139" t="str">
        <f t="shared" si="299"/>
        <v>ДП Тіана.1/0.Бронза</v>
      </c>
      <c r="CA507" s="742" t="s">
        <v>3285</v>
      </c>
      <c r="CB507" s="21"/>
      <c r="CC507" s="21"/>
      <c r="DD507" s="250" t="s">
        <v>2648</v>
      </c>
      <c r="DE507" s="166">
        <v>7220</v>
      </c>
      <c r="DF507" s="528">
        <f t="shared" si="298"/>
        <v>7220</v>
      </c>
      <c r="DG507" s="529"/>
      <c r="DH507" s="530">
        <f t="shared" si="300"/>
        <v>7220</v>
      </c>
      <c r="DP507" s="165" t="s">
        <v>1144</v>
      </c>
      <c r="DQ507" s="166">
        <v>0</v>
      </c>
      <c r="DR507" s="522">
        <f t="shared" si="309"/>
        <v>0</v>
      </c>
      <c r="DS507" s="523"/>
      <c r="DT507" s="524">
        <f t="shared" si="310"/>
        <v>0</v>
      </c>
      <c r="DU507" s="166"/>
      <c r="DV507" s="738" t="s">
        <v>5853</v>
      </c>
      <c r="DW507" s="163">
        <v>0</v>
      </c>
      <c r="DX507" s="528">
        <f>ROUND(((DW507-(DW507/6))/$DD$3)*$DE$3,2)</f>
        <v>0</v>
      </c>
      <c r="DY507" s="529"/>
      <c r="DZ507" s="530">
        <f>IF(DY507="",DX507,
IF(AND($DW$10&gt;=VLOOKUP(DY507,$DV$5:$DZ$9,2,0),$DW$10&lt;=VLOOKUP(DY507,$DV$5:$DZ$9,3,0)),
(DX507*(1-VLOOKUP(DY507,$DV$5:$DZ$9,4,0))),
DX507))</f>
        <v>0</v>
      </c>
      <c r="EH507" s="738" t="s">
        <v>5956</v>
      </c>
      <c r="EI507" s="166">
        <v>0</v>
      </c>
      <c r="EJ507" s="522">
        <f t="shared" ref="EJ507:EJ522" si="313">ROUND(((EI507-(EI507/6))/$DD$3)*$DE$3,2)</f>
        <v>0</v>
      </c>
      <c r="EK507" s="523"/>
      <c r="EL507" s="524">
        <f t="shared" ref="EL507:EL522" si="314">IF(EK507="",EJ507,
IF(AND($EI$10&gt;=VLOOKUP(EK507,$EH$5:$EL$9,2,0),$EI$10&lt;=VLOOKUP(EK507,$EH$5:$EL$9,3,0)),
(EJ507*(1-VLOOKUP(EK507,$EH$5:$EL$9,4,0))),
EJ507))</f>
        <v>0</v>
      </c>
    </row>
    <row r="508" spans="51:142">
      <c r="AY508" s="740" t="s">
        <v>2875</v>
      </c>
      <c r="AZ508" s="137" t="s">
        <v>1722</v>
      </c>
      <c r="BA508" s="138" t="str">
        <f t="shared" si="305"/>
        <v>ДП Тіана.1/6.фальц.</v>
      </c>
      <c r="BW508" s="741" t="s">
        <v>2869</v>
      </c>
      <c r="BX508" s="248" t="s">
        <v>6046</v>
      </c>
      <c r="BY508" s="139" t="str">
        <f>CONCATENATE(BW508,".",BX508)</f>
        <v>ДП Тіана.1/0.Лакобель</v>
      </c>
      <c r="CA508" s="742" t="s">
        <v>3285</v>
      </c>
      <c r="CB508" s="137" t="s">
        <v>4316</v>
      </c>
      <c r="CC508" s="138" t="str">
        <f>CONCATENATE(CA508,".",CB508)</f>
        <v>ДП ЛАДА-КОНЦЕПТ.фальц..робоча..Magnet цл +3завіс</v>
      </c>
      <c r="DD508" s="249" t="s">
        <v>2649</v>
      </c>
      <c r="DE508" s="164">
        <v>7220</v>
      </c>
      <c r="DF508" s="528">
        <f t="shared" si="298"/>
        <v>7220</v>
      </c>
      <c r="DG508" s="529"/>
      <c r="DH508" s="530">
        <f t="shared" si="300"/>
        <v>7220</v>
      </c>
      <c r="DP508" s="738" t="s">
        <v>3975</v>
      </c>
      <c r="DQ508" s="166">
        <v>550</v>
      </c>
      <c r="DR508" s="522">
        <f t="shared" si="309"/>
        <v>550</v>
      </c>
      <c r="DS508" s="523"/>
      <c r="DT508" s="524">
        <f t="shared" si="310"/>
        <v>550</v>
      </c>
      <c r="DU508" s="166"/>
      <c r="DV508" s="738" t="s">
        <v>5854</v>
      </c>
      <c r="DW508" s="166">
        <v>0</v>
      </c>
      <c r="DX508" s="522">
        <f t="shared" si="311"/>
        <v>0</v>
      </c>
      <c r="DY508" s="523"/>
      <c r="DZ508" s="524">
        <f t="shared" si="312"/>
        <v>0</v>
      </c>
      <c r="EH508" s="739" t="s">
        <v>5957</v>
      </c>
      <c r="EI508" s="164">
        <v>170</v>
      </c>
      <c r="EJ508" s="531">
        <f t="shared" si="313"/>
        <v>170</v>
      </c>
      <c r="EK508" s="526"/>
      <c r="EL508" s="527">
        <f t="shared" si="314"/>
        <v>170</v>
      </c>
    </row>
    <row r="509" spans="51:142">
      <c r="AY509" s="740" t="s">
        <v>2875</v>
      </c>
      <c r="AZ509" s="137" t="s">
        <v>1723</v>
      </c>
      <c r="BA509" s="138" t="str">
        <f t="shared" si="305"/>
        <v>ДП Тіана.1/6.б/з фальц.</v>
      </c>
      <c r="BW509" s="744" t="s">
        <v>2870</v>
      </c>
      <c r="BX509" s="246" t="s">
        <v>458</v>
      </c>
      <c r="BY509" s="135" t="str">
        <f t="shared" si="299"/>
        <v>ДП Тіана.1/1.Сатин</v>
      </c>
      <c r="CA509" s="424" t="s">
        <v>3285</v>
      </c>
      <c r="CB509" s="62" t="s">
        <v>4319</v>
      </c>
      <c r="CC509" s="139" t="str">
        <f>CONCATENATE(CA509,".",CB509)</f>
        <v>ДП ЛАДА-КОНЦЕПТ.фальц..робоча..Magnet ст +3завіс</v>
      </c>
      <c r="DD509" s="740" t="s">
        <v>5192</v>
      </c>
      <c r="DE509" s="166">
        <v>7570</v>
      </c>
      <c r="DF509" s="528">
        <f t="shared" si="298"/>
        <v>7570</v>
      </c>
      <c r="DG509" s="529"/>
      <c r="DH509" s="530">
        <f t="shared" si="300"/>
        <v>7570</v>
      </c>
      <c r="DP509" s="108" t="s">
        <v>1145</v>
      </c>
      <c r="DQ509" s="164">
        <v>550</v>
      </c>
      <c r="DR509" s="531">
        <f t="shared" si="309"/>
        <v>550</v>
      </c>
      <c r="DS509" s="526"/>
      <c r="DT509" s="527">
        <f t="shared" si="310"/>
        <v>550</v>
      </c>
      <c r="DU509" s="166"/>
      <c r="DV509" s="738" t="s">
        <v>5855</v>
      </c>
      <c r="DW509" s="163">
        <v>0</v>
      </c>
      <c r="DX509" s="528">
        <f>ROUND(((DW509-(DW509/6))/$DD$3)*$DE$3,2)</f>
        <v>0</v>
      </c>
      <c r="DY509" s="529"/>
      <c r="DZ509" s="530">
        <f>IF(DY509="",DX509,
IF(AND($DW$10&gt;=VLOOKUP(DY509,$DV$5:$DZ$9,2,0),$DW$10&lt;=VLOOKUP(DY509,$DV$5:$DZ$9,3,0)),
(DX509*(1-VLOOKUP(DY509,$DV$5:$DZ$9,4,0))),
DX509))</f>
        <v>0</v>
      </c>
      <c r="EH509" s="738" t="s">
        <v>5958</v>
      </c>
      <c r="EI509" s="166">
        <v>0</v>
      </c>
      <c r="EJ509" s="522">
        <f t="shared" si="313"/>
        <v>0</v>
      </c>
      <c r="EK509" s="523"/>
      <c r="EL509" s="524">
        <f t="shared" si="314"/>
        <v>0</v>
      </c>
    </row>
    <row r="510" spans="51:142">
      <c r="AY510" s="741" t="s">
        <v>2875</v>
      </c>
      <c r="AZ510" s="62" t="s">
        <v>1724</v>
      </c>
      <c r="BA510" s="139" t="str">
        <f t="shared" si="305"/>
        <v>ДП Тіана.1/6.купе.</v>
      </c>
      <c r="BW510" s="740" t="s">
        <v>2870</v>
      </c>
      <c r="BX510" s="770" t="s">
        <v>3851</v>
      </c>
      <c r="BY510" s="138" t="str">
        <f t="shared" si="299"/>
        <v>ДП Тіана.1/1.Графіт</v>
      </c>
      <c r="CA510" s="746" t="s">
        <v>3286</v>
      </c>
      <c r="CB510" s="134" t="s">
        <v>4106</v>
      </c>
      <c r="CC510" s="135" t="str">
        <f>CONCATENATE(CA510,".",CB510)</f>
        <v>ДП ЛАДА-КОНЦЕПТ.фальц..неробоча..(ні)</v>
      </c>
      <c r="DD510" s="740" t="s">
        <v>5193</v>
      </c>
      <c r="DE510" s="166">
        <v>7570</v>
      </c>
      <c r="DF510" s="528">
        <f t="shared" si="298"/>
        <v>7570</v>
      </c>
      <c r="DG510" s="529"/>
      <c r="DH510" s="530">
        <f t="shared" si="300"/>
        <v>7570</v>
      </c>
      <c r="DP510" s="108" t="s">
        <v>6053</v>
      </c>
      <c r="DQ510" s="164">
        <v>550</v>
      </c>
      <c r="DR510" s="531">
        <f>ROUND(((DQ510-(DQ510/6))/$DD$3)*$DE$3,2)</f>
        <v>550</v>
      </c>
      <c r="DS510" s="526"/>
      <c r="DT510" s="527">
        <f>IF(DS510="",DR510,
IF(AND($DQ$10&gt;=VLOOKUP(DS510,$DP$5:$DT$9,2,0),$DQ$10&lt;=VLOOKUP(DS510,$DP$5:$DT$9,3,0)),
(DR510*(1-VLOOKUP(DS510,$DP$5:$DT$9,4,0))),
DR510))</f>
        <v>550</v>
      </c>
      <c r="DU510" s="166"/>
      <c r="DV510" s="738" t="s">
        <v>4624</v>
      </c>
      <c r="DW510" s="166">
        <v>550</v>
      </c>
      <c r="DX510" s="522">
        <f t="shared" si="311"/>
        <v>550</v>
      </c>
      <c r="DY510" s="523"/>
      <c r="DZ510" s="524">
        <f t="shared" si="312"/>
        <v>550</v>
      </c>
      <c r="EH510" s="739" t="s">
        <v>5959</v>
      </c>
      <c r="EI510" s="164">
        <v>170</v>
      </c>
      <c r="EJ510" s="531">
        <f t="shared" si="313"/>
        <v>170</v>
      </c>
      <c r="EK510" s="526"/>
      <c r="EL510" s="527">
        <f t="shared" si="314"/>
        <v>170</v>
      </c>
    </row>
    <row r="511" spans="51:142">
      <c r="AY511" s="740" t="s">
        <v>2876</v>
      </c>
      <c r="AZ511" s="137" t="s">
        <v>1722</v>
      </c>
      <c r="BA511" s="138" t="str">
        <f t="shared" si="305"/>
        <v>ДП Тіана.1/7.фальц.</v>
      </c>
      <c r="BW511" s="741" t="s">
        <v>2870</v>
      </c>
      <c r="BX511" s="248" t="s">
        <v>832</v>
      </c>
      <c r="BY511" s="139" t="str">
        <f t="shared" si="299"/>
        <v>ДП Тіана.1/1.Бронза</v>
      </c>
      <c r="CA511" s="742" t="s">
        <v>3286</v>
      </c>
      <c r="CB511" s="21"/>
      <c r="CC511" s="21"/>
      <c r="DD511" s="740" t="s">
        <v>5194</v>
      </c>
      <c r="DE511" s="166">
        <v>7570</v>
      </c>
      <c r="DF511" s="528">
        <f t="shared" si="298"/>
        <v>7570</v>
      </c>
      <c r="DG511" s="529"/>
      <c r="DH511" s="530">
        <f t="shared" si="300"/>
        <v>7570</v>
      </c>
      <c r="DP511" s="165" t="s">
        <v>1131</v>
      </c>
      <c r="DQ511" s="166">
        <v>0</v>
      </c>
      <c r="DR511" s="522">
        <f t="shared" si="309"/>
        <v>0</v>
      </c>
      <c r="DS511" s="523"/>
      <c r="DT511" s="524">
        <f t="shared" si="310"/>
        <v>0</v>
      </c>
      <c r="DU511" s="166"/>
      <c r="DV511" s="738" t="s">
        <v>4625</v>
      </c>
      <c r="DW511" s="166">
        <v>550</v>
      </c>
      <c r="DX511" s="522">
        <f t="shared" si="311"/>
        <v>550</v>
      </c>
      <c r="DY511" s="523"/>
      <c r="DZ511" s="524">
        <f t="shared" si="312"/>
        <v>550</v>
      </c>
      <c r="EH511" s="738" t="s">
        <v>5960</v>
      </c>
      <c r="EI511" s="166">
        <v>0</v>
      </c>
      <c r="EJ511" s="522">
        <f>ROUND(((EI511-(EI511/6))/$DD$3)*$DE$3,2)</f>
        <v>0</v>
      </c>
      <c r="EK511" s="523"/>
      <c r="EL511" s="524">
        <f>IF(EK511="",EJ511,
IF(AND($EI$10&gt;=VLOOKUP(EK511,$EH$5:$EL$9,2,0),$EI$10&lt;=VLOOKUP(EK511,$EH$5:$EL$9,3,0)),
(EJ511*(1-VLOOKUP(EK511,$EH$5:$EL$9,4,0))),
EJ511))</f>
        <v>0</v>
      </c>
    </row>
    <row r="512" spans="51:142">
      <c r="AY512" s="740" t="s">
        <v>2876</v>
      </c>
      <c r="AZ512" s="137" t="s">
        <v>1723</v>
      </c>
      <c r="BA512" s="138" t="str">
        <f t="shared" si="305"/>
        <v>ДП Тіана.1/7.б/з фальц.</v>
      </c>
      <c r="BW512" s="744" t="s">
        <v>2871</v>
      </c>
      <c r="BX512" s="246" t="s">
        <v>458</v>
      </c>
      <c r="BY512" s="135" t="str">
        <f t="shared" si="299"/>
        <v>ДП Тіана.1/2.Сатин</v>
      </c>
      <c r="CA512" s="742" t="s">
        <v>3286</v>
      </c>
      <c r="CB512" s="783" t="s">
        <v>4325</v>
      </c>
      <c r="CC512" s="138" t="str">
        <f>CONCATENATE(CA512,".",CB512)</f>
        <v>ДП ЛАДА-КОНЦЕПТ.фальц..неробоча..Пл Stand +3завіс</v>
      </c>
      <c r="DD512" s="740" t="s">
        <v>5195</v>
      </c>
      <c r="DE512" s="166">
        <v>7570</v>
      </c>
      <c r="DF512" s="528">
        <f t="shared" si="298"/>
        <v>7570</v>
      </c>
      <c r="DG512" s="529"/>
      <c r="DH512" s="530">
        <f t="shared" si="300"/>
        <v>7570</v>
      </c>
      <c r="DP512" s="738" t="s">
        <v>3976</v>
      </c>
      <c r="DQ512" s="166">
        <v>550</v>
      </c>
      <c r="DR512" s="522">
        <f t="shared" si="309"/>
        <v>550</v>
      </c>
      <c r="DS512" s="523"/>
      <c r="DT512" s="524">
        <f t="shared" si="310"/>
        <v>550</v>
      </c>
      <c r="DU512" s="166"/>
      <c r="DV512" s="738" t="s">
        <v>4626</v>
      </c>
      <c r="DW512" s="166">
        <v>800</v>
      </c>
      <c r="DX512" s="522">
        <f>ROUND(((DW512-(DW512/6))/$DD$3)*$DE$3,2)</f>
        <v>800</v>
      </c>
      <c r="DY512" s="523"/>
      <c r="DZ512" s="524">
        <f>IF(DY512="",DX512,
IF(AND($DW$10&gt;=VLOOKUP(DY512,$DV$5:$DZ$9,2,0),$DW$10&lt;=VLOOKUP(DY512,$DV$5:$DZ$9,3,0)),
(DX512*(1-VLOOKUP(DY512,$DV$5:$DZ$9,4,0))),
DX512))</f>
        <v>800</v>
      </c>
      <c r="EH512" s="739" t="s">
        <v>5961</v>
      </c>
      <c r="EI512" s="164">
        <v>200</v>
      </c>
      <c r="EJ512" s="531">
        <f>ROUND(((EI512-(EI512/6))/$DD$3)*$DE$3,2)</f>
        <v>200</v>
      </c>
      <c r="EK512" s="526"/>
      <c r="EL512" s="527">
        <f>IF(EK512="",EJ512,
IF(AND($EI$10&gt;=VLOOKUP(EK512,$EH$5:$EL$9,2,0),$EI$10&lt;=VLOOKUP(EK512,$EH$5:$EL$9,3,0)),
(EJ512*(1-VLOOKUP(EK512,$EH$5:$EL$9,4,0))),
EJ512))</f>
        <v>200</v>
      </c>
    </row>
    <row r="513" spans="51:142">
      <c r="AY513" s="741" t="s">
        <v>2876</v>
      </c>
      <c r="AZ513" s="62" t="s">
        <v>1724</v>
      </c>
      <c r="BA513" s="139" t="str">
        <f t="shared" si="305"/>
        <v>ДП Тіана.1/7.купе.</v>
      </c>
      <c r="BW513" s="740" t="s">
        <v>2871</v>
      </c>
      <c r="BX513" s="770" t="s">
        <v>3851</v>
      </c>
      <c r="BY513" s="138" t="str">
        <f t="shared" si="299"/>
        <v>ДП Тіана.1/2.Графіт</v>
      </c>
      <c r="CA513" s="742" t="s">
        <v>3286</v>
      </c>
      <c r="CB513" s="783" t="s">
        <v>4333</v>
      </c>
      <c r="CC513" s="138" t="str">
        <f>CONCATENATE(CA513,".",CB513)</f>
        <v>ДП ЛАДА-КОНЦЕПТ.фальц..неробоча..Пл Soft +3завіс</v>
      </c>
      <c r="DD513" s="740" t="s">
        <v>5196</v>
      </c>
      <c r="DE513" s="166">
        <v>7570</v>
      </c>
      <c r="DF513" s="528">
        <f t="shared" si="298"/>
        <v>7570</v>
      </c>
      <c r="DG513" s="529"/>
      <c r="DH513" s="530">
        <f t="shared" si="300"/>
        <v>7570</v>
      </c>
      <c r="DP513" s="108" t="s">
        <v>1136</v>
      </c>
      <c r="DQ513" s="164">
        <v>550</v>
      </c>
      <c r="DR513" s="531">
        <f t="shared" si="309"/>
        <v>550</v>
      </c>
      <c r="DS513" s="526"/>
      <c r="DT513" s="527">
        <f t="shared" si="310"/>
        <v>550</v>
      </c>
      <c r="DU513" s="166"/>
      <c r="DV513" s="739" t="s">
        <v>4627</v>
      </c>
      <c r="DW513" s="164">
        <v>800</v>
      </c>
      <c r="DX513" s="525">
        <f>ROUND(((DW513-(DW513/6))/$DD$3)*$DE$3,2)</f>
        <v>800</v>
      </c>
      <c r="DY513" s="526"/>
      <c r="DZ513" s="527">
        <f>IF(DY513="",DX513,
IF(AND($DW$10&gt;=VLOOKUP(DY513,$DV$5:$DZ$9,2,0),$DW$10&lt;=VLOOKUP(DY513,$DV$5:$DZ$9,3,0)),
(DX513*(1-VLOOKUP(DY513,$DV$5:$DZ$9,4,0))),
DX513))</f>
        <v>800</v>
      </c>
      <c r="EH513" s="738" t="s">
        <v>5962</v>
      </c>
      <c r="EI513" s="166">
        <v>0</v>
      </c>
      <c r="EJ513" s="522">
        <f>ROUND(((EI513-(EI513/6))/$DD$3)*$DE$3,2)</f>
        <v>0</v>
      </c>
      <c r="EK513" s="523"/>
      <c r="EL513" s="524">
        <f>IF(EK513="",EJ513,
IF(AND($EI$10&gt;=VLOOKUP(EK513,$EH$5:$EL$9,2,0),$EI$10&lt;=VLOOKUP(EK513,$EH$5:$EL$9,3,0)),
(EJ513*(1-VLOOKUP(EK513,$EH$5:$EL$9,4,0))),
EJ513))</f>
        <v>0</v>
      </c>
    </row>
    <row r="514" spans="51:142">
      <c r="AY514" s="740" t="s">
        <v>2877</v>
      </c>
      <c r="AZ514" s="137" t="s">
        <v>1722</v>
      </c>
      <c r="BA514" s="138" t="str">
        <f t="shared" si="305"/>
        <v>ДП Тіана.1/8.фальц.</v>
      </c>
      <c r="BW514" s="741" t="s">
        <v>2871</v>
      </c>
      <c r="BX514" s="248" t="s">
        <v>832</v>
      </c>
      <c r="BY514" s="139" t="str">
        <f t="shared" si="299"/>
        <v>ДП Тіана.1/2.Бронза</v>
      </c>
      <c r="CA514" s="424" t="s">
        <v>3286</v>
      </c>
      <c r="CB514" s="152" t="s">
        <v>4336</v>
      </c>
      <c r="CC514" s="139" t="str">
        <f>CONCATENATE(CA514,".",CB514)</f>
        <v>ДП ЛАДА-КОНЦЕПТ.фальц..неробоча..Пл Magnet +3завіс</v>
      </c>
      <c r="DD514" s="740" t="s">
        <v>5197</v>
      </c>
      <c r="DE514" s="166">
        <v>7570</v>
      </c>
      <c r="DF514" s="528">
        <f t="shared" si="298"/>
        <v>7570</v>
      </c>
      <c r="DG514" s="529"/>
      <c r="DH514" s="530">
        <f t="shared" si="300"/>
        <v>7570</v>
      </c>
      <c r="DP514" s="108" t="s">
        <v>6467</v>
      </c>
      <c r="DQ514" s="164">
        <v>550</v>
      </c>
      <c r="DR514" s="531">
        <f t="shared" si="309"/>
        <v>550</v>
      </c>
      <c r="DS514" s="526"/>
      <c r="DT514" s="527">
        <f t="shared" si="310"/>
        <v>550</v>
      </c>
      <c r="DU514" s="166"/>
      <c r="DV514" s="738" t="s">
        <v>6324</v>
      </c>
      <c r="DW514" s="166">
        <v>1</v>
      </c>
      <c r="DX514" s="522">
        <f t="shared" si="311"/>
        <v>1</v>
      </c>
      <c r="DY514" s="523"/>
      <c r="DZ514" s="524">
        <f t="shared" si="312"/>
        <v>1</v>
      </c>
      <c r="EH514" s="739" t="s">
        <v>5963</v>
      </c>
      <c r="EI514" s="164">
        <v>200</v>
      </c>
      <c r="EJ514" s="531">
        <f>ROUND(((EI514-(EI514/6))/$DD$3)*$DE$3,2)</f>
        <v>200</v>
      </c>
      <c r="EK514" s="526"/>
      <c r="EL514" s="527">
        <f>IF(EK514="",EJ514,
IF(AND($EI$10&gt;=VLOOKUP(EK514,$EH$5:$EL$9,2,0),$EI$10&lt;=VLOOKUP(EK514,$EH$5:$EL$9,3,0)),
(EJ514*(1-VLOOKUP(EK514,$EH$5:$EL$9,4,0))),
EJ514))</f>
        <v>200</v>
      </c>
    </row>
    <row r="515" spans="51:142">
      <c r="AY515" s="740" t="s">
        <v>2877</v>
      </c>
      <c r="AZ515" s="137" t="s">
        <v>1723</v>
      </c>
      <c r="BA515" s="138" t="str">
        <f t="shared" si="305"/>
        <v>ДП Тіана.1/8.б/з фальц.</v>
      </c>
      <c r="BW515" s="744" t="s">
        <v>2872</v>
      </c>
      <c r="BX515" s="246" t="s">
        <v>458</v>
      </c>
      <c r="BY515" s="135" t="str">
        <f t="shared" si="299"/>
        <v>ДП Тіана.1/3.Сатин</v>
      </c>
      <c r="CA515" s="146" t="s">
        <v>3287</v>
      </c>
      <c r="CB515" s="137" t="s">
        <v>4106</v>
      </c>
      <c r="CC515" s="239" t="str">
        <f>CONCATENATE(CA515,".",CB515)</f>
        <v>ДП ЛАДА-КОНЦЕПТ.б/з фальц..робоча..(ні)</v>
      </c>
      <c r="DD515" s="740" t="s">
        <v>5198</v>
      </c>
      <c r="DE515" s="166">
        <v>7570</v>
      </c>
      <c r="DF515" s="528">
        <f t="shared" si="298"/>
        <v>7570</v>
      </c>
      <c r="DG515" s="529"/>
      <c r="DH515" s="530">
        <f t="shared" si="300"/>
        <v>7570</v>
      </c>
      <c r="DP515" s="165" t="s">
        <v>1146</v>
      </c>
      <c r="DQ515" s="166">
        <v>0</v>
      </c>
      <c r="DR515" s="522">
        <f t="shared" si="309"/>
        <v>0</v>
      </c>
      <c r="DS515" s="523"/>
      <c r="DT515" s="524">
        <f t="shared" si="310"/>
        <v>0</v>
      </c>
      <c r="DU515" s="166"/>
      <c r="DV515" s="739" t="s">
        <v>6325</v>
      </c>
      <c r="DW515" s="164">
        <v>1</v>
      </c>
      <c r="DX515" s="525">
        <f t="shared" si="311"/>
        <v>1</v>
      </c>
      <c r="DY515" s="526"/>
      <c r="DZ515" s="527">
        <f t="shared" si="312"/>
        <v>1</v>
      </c>
      <c r="EH515" s="738" t="s">
        <v>5964</v>
      </c>
      <c r="EI515" s="166">
        <v>0</v>
      </c>
      <c r="EJ515" s="522">
        <f t="shared" si="313"/>
        <v>0</v>
      </c>
      <c r="EK515" s="523"/>
      <c r="EL515" s="524">
        <f t="shared" si="314"/>
        <v>0</v>
      </c>
    </row>
    <row r="516" spans="51:142">
      <c r="AY516" s="741" t="s">
        <v>2877</v>
      </c>
      <c r="AZ516" s="62" t="s">
        <v>1724</v>
      </c>
      <c r="BA516" s="139" t="str">
        <f t="shared" si="305"/>
        <v>ДП Тіана.1/8.купе.</v>
      </c>
      <c r="BW516" s="740" t="s">
        <v>2872</v>
      </c>
      <c r="BX516" s="770" t="s">
        <v>3851</v>
      </c>
      <c r="BY516" s="138" t="str">
        <f t="shared" si="299"/>
        <v>ДП Тіана.1/3.Графіт</v>
      </c>
      <c r="CA516" s="146" t="s">
        <v>3287</v>
      </c>
      <c r="CB516" s="97"/>
      <c r="CC516" s="97"/>
      <c r="DD516" s="741" t="s">
        <v>5199</v>
      </c>
      <c r="DE516" s="164">
        <v>7570</v>
      </c>
      <c r="DF516" s="528">
        <f>ROUND(((DE516-(DE516/6))/$DD$3)*$DE$3,2)</f>
        <v>7570</v>
      </c>
      <c r="DG516" s="529"/>
      <c r="DH516" s="530">
        <f t="shared" si="300"/>
        <v>7570</v>
      </c>
      <c r="DP516" s="738" t="s">
        <v>3977</v>
      </c>
      <c r="DQ516" s="166">
        <v>550</v>
      </c>
      <c r="DR516" s="522">
        <f t="shared" si="309"/>
        <v>550</v>
      </c>
      <c r="DS516" s="523"/>
      <c r="DT516" s="524">
        <f t="shared" si="310"/>
        <v>550</v>
      </c>
      <c r="DU516" s="166"/>
      <c r="DV516" s="737" t="s">
        <v>4628</v>
      </c>
      <c r="DW516" s="163">
        <v>0</v>
      </c>
      <c r="DX516" s="528">
        <f t="shared" si="311"/>
        <v>0</v>
      </c>
      <c r="DY516" s="529"/>
      <c r="DZ516" s="530">
        <f t="shared" si="312"/>
        <v>0</v>
      </c>
      <c r="EH516" s="739" t="s">
        <v>5965</v>
      </c>
      <c r="EI516" s="164">
        <v>250</v>
      </c>
      <c r="EJ516" s="531">
        <f t="shared" si="313"/>
        <v>250</v>
      </c>
      <c r="EK516" s="526"/>
      <c r="EL516" s="527">
        <f t="shared" si="314"/>
        <v>250</v>
      </c>
    </row>
    <row r="517" spans="51:142">
      <c r="AY517" s="432"/>
      <c r="AZ517" s="222"/>
      <c r="BA517" s="223"/>
      <c r="BW517" s="741" t="s">
        <v>2872</v>
      </c>
      <c r="BX517" s="248" t="s">
        <v>832</v>
      </c>
      <c r="BY517" s="139" t="str">
        <f t="shared" si="299"/>
        <v>ДП Тіана.1/3.Бронза</v>
      </c>
      <c r="CA517" s="146" t="s">
        <v>3287</v>
      </c>
      <c r="CB517" s="478" t="s">
        <v>4337</v>
      </c>
      <c r="CC517" s="239" t="str">
        <f>CONCATENATE(CA517,".",CB517)</f>
        <v>ДП ЛАДА-КОНЦЕПТ.б/з фальц..робоча..Magnet цл б/з завіс.</v>
      </c>
      <c r="DD517" s="641"/>
      <c r="DE517" s="648"/>
      <c r="DF517" s="643"/>
      <c r="DG517" s="644"/>
      <c r="DH517" s="645"/>
      <c r="DP517" s="108" t="s">
        <v>1147</v>
      </c>
      <c r="DQ517" s="164">
        <v>550</v>
      </c>
      <c r="DR517" s="531">
        <f t="shared" si="309"/>
        <v>550</v>
      </c>
      <c r="DS517" s="526"/>
      <c r="DT517" s="527">
        <f t="shared" si="310"/>
        <v>550</v>
      </c>
      <c r="DU517" s="166"/>
      <c r="DV517" s="738" t="s">
        <v>4629</v>
      </c>
      <c r="DW517" s="166">
        <v>0</v>
      </c>
      <c r="DX517" s="522">
        <f t="shared" si="311"/>
        <v>0</v>
      </c>
      <c r="DY517" s="523"/>
      <c r="DZ517" s="524">
        <f t="shared" si="312"/>
        <v>0</v>
      </c>
      <c r="EH517" s="738" t="s">
        <v>5966</v>
      </c>
      <c r="EI517" s="166">
        <v>0</v>
      </c>
      <c r="EJ517" s="522">
        <f t="shared" si="313"/>
        <v>0</v>
      </c>
      <c r="EK517" s="523"/>
      <c r="EL517" s="524">
        <f t="shared" si="314"/>
        <v>0</v>
      </c>
    </row>
    <row r="518" spans="51:142">
      <c r="AY518" s="740" t="s">
        <v>2795</v>
      </c>
      <c r="AZ518" s="137" t="s">
        <v>1722</v>
      </c>
      <c r="BA518" s="138" t="str">
        <f>CONCATENATE(AY518,".",AZ518)</f>
        <v>ДП Єва.2/0.фальц.</v>
      </c>
      <c r="BW518" s="744" t="s">
        <v>2873</v>
      </c>
      <c r="BX518" s="246" t="s">
        <v>458</v>
      </c>
      <c r="BY518" s="135" t="str">
        <f t="shared" si="299"/>
        <v>ДП Тіана.1/4.Сатин</v>
      </c>
      <c r="CA518" s="146" t="s">
        <v>3287</v>
      </c>
      <c r="CB518" s="478" t="s">
        <v>4339</v>
      </c>
      <c r="CC518" s="239" t="str">
        <f>CONCATENATE(CA518,".",CB518)</f>
        <v>ДП ЛАДА-КОНЦЕПТ.б/з фальц..робоча..Magnet ст б/з завіс.</v>
      </c>
      <c r="DD518" s="162" t="s">
        <v>427</v>
      </c>
      <c r="DE518" s="163">
        <v>6150</v>
      </c>
      <c r="DF518" s="528">
        <f>ROUND(((DE518-(DE518/6))/$DD$3)*$DE$3,2)</f>
        <v>6150</v>
      </c>
      <c r="DG518" s="529" t="s">
        <v>6466</v>
      </c>
      <c r="DH518" s="530">
        <f t="shared" ca="1" si="300"/>
        <v>6150</v>
      </c>
      <c r="DP518" s="108" t="s">
        <v>6054</v>
      </c>
      <c r="DQ518" s="164">
        <v>550</v>
      </c>
      <c r="DR518" s="531">
        <f>ROUND(((DQ518-(DQ518/6))/$DD$3)*$DE$3,2)</f>
        <v>550</v>
      </c>
      <c r="DS518" s="526"/>
      <c r="DT518" s="527">
        <f>IF(DS518="",DR518,
IF(AND($DQ$10&gt;=VLOOKUP(DS518,$DP$5:$DT$9,2,0),$DQ$10&lt;=VLOOKUP(DS518,$DP$5:$DT$9,3,0)),
(DR518*(1-VLOOKUP(DS518,$DP$5:$DT$9,4,0))),
DR518))</f>
        <v>550</v>
      </c>
      <c r="DU518" s="166"/>
      <c r="DV518" s="739" t="s">
        <v>4630</v>
      </c>
      <c r="DW518" s="164">
        <v>0</v>
      </c>
      <c r="DX518" s="531">
        <f>ROUND(((DW518-(DW518/6))/$DD$3)*$DE$3,2)</f>
        <v>0</v>
      </c>
      <c r="DY518" s="526"/>
      <c r="DZ518" s="527">
        <f>IF(DY518="",DX518,
IF(AND($DW$10&gt;=VLOOKUP(DY518,$DV$5:$DZ$9,2,0),$DW$10&lt;=VLOOKUP(DY518,$DV$5:$DZ$9,3,0)),
(DX518*(1-VLOOKUP(DY518,$DV$5:$DZ$9,4,0))),
DX518))</f>
        <v>0</v>
      </c>
      <c r="EH518" s="739" t="s">
        <v>5967</v>
      </c>
      <c r="EI518" s="164">
        <v>280</v>
      </c>
      <c r="EJ518" s="531">
        <f t="shared" si="313"/>
        <v>280</v>
      </c>
      <c r="EK518" s="526"/>
      <c r="EL518" s="527">
        <f t="shared" si="314"/>
        <v>280</v>
      </c>
    </row>
    <row r="519" spans="51:142">
      <c r="AY519" s="740" t="s">
        <v>2795</v>
      </c>
      <c r="AZ519" s="137" t="s">
        <v>1723</v>
      </c>
      <c r="BA519" s="138" t="str">
        <f>CONCATENATE(AY519,".",AZ519)</f>
        <v>ДП Єва.2/0.б/з фальц.</v>
      </c>
      <c r="BW519" s="740" t="s">
        <v>2873</v>
      </c>
      <c r="BX519" s="770" t="s">
        <v>3851</v>
      </c>
      <c r="BY519" s="138" t="str">
        <f t="shared" si="299"/>
        <v>ДП Тіана.1/4.Графіт</v>
      </c>
      <c r="CA519" s="146" t="s">
        <v>3287</v>
      </c>
      <c r="CB519" s="97"/>
      <c r="CC519" s="97"/>
      <c r="DD519" s="165" t="s">
        <v>428</v>
      </c>
      <c r="DE519" s="166">
        <v>6150</v>
      </c>
      <c r="DF519" s="528">
        <f t="shared" ref="DF519:DF582" si="315">ROUND(((DE519-(DE519/6))/$DD$3)*$DE$3,2)</f>
        <v>6150</v>
      </c>
      <c r="DG519" s="529" t="s">
        <v>6466</v>
      </c>
      <c r="DH519" s="530">
        <f t="shared" ca="1" si="300"/>
        <v>6150</v>
      </c>
      <c r="DP519" s="165" t="s">
        <v>1132</v>
      </c>
      <c r="DQ519" s="166">
        <v>0</v>
      </c>
      <c r="DR519" s="522">
        <f t="shared" si="309"/>
        <v>0</v>
      </c>
      <c r="DS519" s="523"/>
      <c r="DT519" s="524">
        <f t="shared" si="310"/>
        <v>0</v>
      </c>
      <c r="DU519" s="166"/>
      <c r="DV519" s="739" t="s">
        <v>6326</v>
      </c>
      <c r="DW519" s="164">
        <v>0</v>
      </c>
      <c r="DX519" s="531">
        <f t="shared" si="311"/>
        <v>0</v>
      </c>
      <c r="DY519" s="526"/>
      <c r="DZ519" s="527">
        <f t="shared" si="312"/>
        <v>0</v>
      </c>
      <c r="EH519" s="738" t="s">
        <v>5968</v>
      </c>
      <c r="EI519" s="166">
        <v>0</v>
      </c>
      <c r="EJ519" s="522">
        <f>ROUND(((EI519-(EI519/6))/$DD$3)*$DE$3,2)</f>
        <v>0</v>
      </c>
      <c r="EK519" s="523"/>
      <c r="EL519" s="524">
        <f>IF(EK519="",EJ519,
IF(AND($EI$10&gt;=VLOOKUP(EK519,$EH$5:$EL$9,2,0),$EI$10&lt;=VLOOKUP(EK519,$EH$5:$EL$9,3,0)),
(EJ519*(1-VLOOKUP(EK519,$EH$5:$EL$9,4,0))),
EJ519))</f>
        <v>0</v>
      </c>
    </row>
    <row r="520" spans="51:142">
      <c r="AY520" s="741" t="s">
        <v>2795</v>
      </c>
      <c r="AZ520" s="62" t="s">
        <v>1724</v>
      </c>
      <c r="BA520" s="139" t="str">
        <f>CONCATENATE(AY520,".",AZ520)</f>
        <v>ДП Єва.2/0.купе.</v>
      </c>
      <c r="BW520" s="741" t="s">
        <v>2873</v>
      </c>
      <c r="BX520" s="248" t="s">
        <v>832</v>
      </c>
      <c r="BY520" s="139" t="str">
        <f t="shared" si="299"/>
        <v>ДП Тіана.1/4.Бронза</v>
      </c>
      <c r="CA520" s="146" t="s">
        <v>3287</v>
      </c>
      <c r="CB520" s="478" t="s">
        <v>4343</v>
      </c>
      <c r="CC520" s="239" t="str">
        <f>CONCATENATE(CA520,".",CB520)</f>
        <v>ДП ЛАДА-КОНЦЕПТ.б/з фальц..робоча..Magnet цл +2завіс 3D</v>
      </c>
      <c r="DD520" s="165" t="s">
        <v>429</v>
      </c>
      <c r="DE520" s="166">
        <v>6370.0000000000009</v>
      </c>
      <c r="DF520" s="528">
        <f t="shared" si="315"/>
        <v>6370</v>
      </c>
      <c r="DG520" s="529" t="s">
        <v>6466</v>
      </c>
      <c r="DH520" s="530">
        <f t="shared" ca="1" si="300"/>
        <v>6370</v>
      </c>
      <c r="DP520" s="738" t="s">
        <v>3978</v>
      </c>
      <c r="DQ520" s="166">
        <v>550</v>
      </c>
      <c r="DR520" s="522">
        <f t="shared" si="309"/>
        <v>550</v>
      </c>
      <c r="DS520" s="523"/>
      <c r="DT520" s="524">
        <f t="shared" si="310"/>
        <v>550</v>
      </c>
      <c r="DU520" s="166"/>
      <c r="DV520" s="738" t="s">
        <v>4631</v>
      </c>
      <c r="DW520" s="166">
        <v>800</v>
      </c>
      <c r="DX520" s="522">
        <f t="shared" ref="DX520:DX525" si="316">ROUND(((DW520-(DW520/6))/$DD$3)*$DE$3,2)</f>
        <v>800</v>
      </c>
      <c r="DY520" s="523"/>
      <c r="DZ520" s="524">
        <f t="shared" ref="DZ520:DZ525" si="317">IF(DY520="",DX520,
IF(AND($DW$10&gt;=VLOOKUP(DY520,$DV$5:$DZ$9,2,0),$DW$10&lt;=VLOOKUP(DY520,$DV$5:$DZ$9,3,0)),
(DX520*(1-VLOOKUP(DY520,$DV$5:$DZ$9,4,0))),
DX520))</f>
        <v>800</v>
      </c>
      <c r="EH520" s="739" t="s">
        <v>5969</v>
      </c>
      <c r="EI520" s="164">
        <v>310</v>
      </c>
      <c r="EJ520" s="531">
        <f>ROUND(((EI520-(EI520/6))/$DD$3)*$DE$3,2)</f>
        <v>310</v>
      </c>
      <c r="EK520" s="526"/>
      <c r="EL520" s="527">
        <f>IF(EK520="",EJ520,
IF(AND($EI$10&gt;=VLOOKUP(EK520,$EH$5:$EL$9,2,0),$EI$10&lt;=VLOOKUP(EK520,$EH$5:$EL$9,3,0)),
(EJ520*(1-VLOOKUP(EK520,$EH$5:$EL$9,4,0))),
EJ520))</f>
        <v>310</v>
      </c>
    </row>
    <row r="521" spans="51:142">
      <c r="AY521" s="740" t="s">
        <v>2796</v>
      </c>
      <c r="AZ521" s="137" t="s">
        <v>1722</v>
      </c>
      <c r="BA521" s="138" t="str">
        <f t="shared" ref="BA521:BA547" si="318">CONCATENATE(AY521,".",AZ521)</f>
        <v>ДП Єва.2/1.фальц.</v>
      </c>
      <c r="BW521" s="744" t="s">
        <v>2874</v>
      </c>
      <c r="BX521" s="246" t="s">
        <v>458</v>
      </c>
      <c r="BY521" s="135" t="str">
        <f t="shared" si="299"/>
        <v>ДП Тіана.1/5.Сатин</v>
      </c>
      <c r="CA521" s="146" t="s">
        <v>3287</v>
      </c>
      <c r="CB521" s="478" t="s">
        <v>4347</v>
      </c>
      <c r="CC521" s="239" t="str">
        <f>CONCATENATE(CA521,".",CB521)</f>
        <v>ДП ЛАДА-КОНЦЕПТ.б/з фальц..робоча..Magnet ст +2завіс 3D</v>
      </c>
      <c r="DD521" s="165" t="s">
        <v>983</v>
      </c>
      <c r="DE521" s="166">
        <v>6370.0000000000009</v>
      </c>
      <c r="DF521" s="528">
        <f t="shared" si="315"/>
        <v>6370</v>
      </c>
      <c r="DG521" s="529" t="s">
        <v>6466</v>
      </c>
      <c r="DH521" s="530">
        <f t="shared" ca="1" si="300"/>
        <v>6370</v>
      </c>
      <c r="DP521" s="108" t="s">
        <v>1137</v>
      </c>
      <c r="DQ521" s="164">
        <v>550</v>
      </c>
      <c r="DR521" s="531">
        <f t="shared" si="309"/>
        <v>550</v>
      </c>
      <c r="DS521" s="526"/>
      <c r="DT521" s="527">
        <f t="shared" si="310"/>
        <v>550</v>
      </c>
      <c r="DV521" s="738" t="s">
        <v>4632</v>
      </c>
      <c r="DW521" s="166">
        <v>800</v>
      </c>
      <c r="DX521" s="522">
        <f t="shared" si="316"/>
        <v>800</v>
      </c>
      <c r="DY521" s="523"/>
      <c r="DZ521" s="524">
        <f t="shared" si="317"/>
        <v>800</v>
      </c>
      <c r="EH521" s="738" t="s">
        <v>5970</v>
      </c>
      <c r="EI521" s="166">
        <v>0</v>
      </c>
      <c r="EJ521" s="522">
        <f t="shared" si="313"/>
        <v>0</v>
      </c>
      <c r="EK521" s="523"/>
      <c r="EL521" s="524">
        <f t="shared" si="314"/>
        <v>0</v>
      </c>
    </row>
    <row r="522" spans="51:142">
      <c r="AY522" s="740" t="s">
        <v>2796</v>
      </c>
      <c r="AZ522" s="137" t="s">
        <v>1723</v>
      </c>
      <c r="BA522" s="138" t="str">
        <f t="shared" si="318"/>
        <v>ДП Єва.2/1.б/з фальц.</v>
      </c>
      <c r="BW522" s="740" t="s">
        <v>2874</v>
      </c>
      <c r="BX522" s="770" t="s">
        <v>3851</v>
      </c>
      <c r="BY522" s="138" t="str">
        <f t="shared" si="299"/>
        <v>ДП Тіана.1/5.Графіт</v>
      </c>
      <c r="CA522" s="146" t="s">
        <v>3287</v>
      </c>
      <c r="CB522" s="97"/>
      <c r="CC522" s="97"/>
      <c r="DD522" s="165" t="s">
        <v>984</v>
      </c>
      <c r="DE522" s="166">
        <v>6720</v>
      </c>
      <c r="DF522" s="528">
        <f t="shared" si="315"/>
        <v>6720</v>
      </c>
      <c r="DG522" s="529" t="s">
        <v>6466</v>
      </c>
      <c r="DH522" s="530">
        <f t="shared" ca="1" si="300"/>
        <v>6720</v>
      </c>
      <c r="DP522" s="165" t="s">
        <v>1148</v>
      </c>
      <c r="DQ522" s="166">
        <v>0</v>
      </c>
      <c r="DR522" s="522">
        <f t="shared" si="309"/>
        <v>0</v>
      </c>
      <c r="DS522" s="523"/>
      <c r="DT522" s="524">
        <f t="shared" si="310"/>
        <v>0</v>
      </c>
      <c r="DV522" s="738" t="s">
        <v>4633</v>
      </c>
      <c r="DW522" s="166">
        <v>800</v>
      </c>
      <c r="DX522" s="522">
        <f t="shared" si="316"/>
        <v>800</v>
      </c>
      <c r="DY522" s="523"/>
      <c r="DZ522" s="524">
        <f t="shared" si="317"/>
        <v>800</v>
      </c>
      <c r="EH522" s="739" t="s">
        <v>5971</v>
      </c>
      <c r="EI522" s="164">
        <v>310</v>
      </c>
      <c r="EJ522" s="531">
        <f t="shared" si="313"/>
        <v>310</v>
      </c>
      <c r="EK522" s="526"/>
      <c r="EL522" s="527">
        <f t="shared" si="314"/>
        <v>310</v>
      </c>
    </row>
    <row r="523" spans="51:142">
      <c r="AY523" s="741" t="s">
        <v>2796</v>
      </c>
      <c r="AZ523" s="62" t="s">
        <v>1724</v>
      </c>
      <c r="BA523" s="139" t="str">
        <f t="shared" si="318"/>
        <v>ДП Єва.2/1.купе.</v>
      </c>
      <c r="BW523" s="741" t="s">
        <v>2874</v>
      </c>
      <c r="BX523" s="248" t="s">
        <v>832</v>
      </c>
      <c r="BY523" s="139" t="str">
        <f t="shared" si="299"/>
        <v>ДП Тіана.1/5.Бронза</v>
      </c>
      <c r="CA523" s="146" t="s">
        <v>3287</v>
      </c>
      <c r="CB523" s="478" t="s">
        <v>4349</v>
      </c>
      <c r="CC523" s="239" t="str">
        <f>CONCATENATE(CA523,".",CB523)</f>
        <v>ДП ЛАДА-КОНЦЕПТ.б/з фальц..робоча..Magnet цл +3завіс 3D</v>
      </c>
      <c r="DD523" s="165" t="s">
        <v>985</v>
      </c>
      <c r="DE523" s="166">
        <v>6720</v>
      </c>
      <c r="DF523" s="528">
        <f t="shared" si="315"/>
        <v>6720</v>
      </c>
      <c r="DG523" s="529" t="s">
        <v>6466</v>
      </c>
      <c r="DH523" s="530">
        <f t="shared" ca="1" si="300"/>
        <v>6720</v>
      </c>
      <c r="DP523" s="738" t="s">
        <v>3979</v>
      </c>
      <c r="DQ523" s="166">
        <v>550</v>
      </c>
      <c r="DR523" s="522">
        <f t="shared" si="309"/>
        <v>550</v>
      </c>
      <c r="DS523" s="523"/>
      <c r="DT523" s="524">
        <f t="shared" si="310"/>
        <v>550</v>
      </c>
      <c r="DV523" s="738" t="s">
        <v>4634</v>
      </c>
      <c r="DW523" s="166">
        <v>800</v>
      </c>
      <c r="DX523" s="522">
        <f t="shared" si="316"/>
        <v>800</v>
      </c>
      <c r="DY523" s="523"/>
      <c r="DZ523" s="524">
        <f t="shared" si="317"/>
        <v>800</v>
      </c>
      <c r="EH523" s="538"/>
      <c r="EI523" s="539"/>
      <c r="EJ523" s="650"/>
      <c r="EK523" s="651"/>
      <c r="EL523" s="652"/>
    </row>
    <row r="524" spans="51:142">
      <c r="AY524" s="740" t="s">
        <v>2797</v>
      </c>
      <c r="AZ524" s="137" t="s">
        <v>1722</v>
      </c>
      <c r="BA524" s="138" t="str">
        <f t="shared" si="318"/>
        <v>ДП Єва.2/2.фальц.</v>
      </c>
      <c r="BW524" s="744" t="s">
        <v>2875</v>
      </c>
      <c r="BX524" s="246" t="s">
        <v>458</v>
      </c>
      <c r="BY524" s="135" t="str">
        <f t="shared" si="299"/>
        <v>ДП Тіана.1/6.Сатин</v>
      </c>
      <c r="CA524" s="147" t="s">
        <v>3287</v>
      </c>
      <c r="CB524" s="590" t="s">
        <v>4350</v>
      </c>
      <c r="CC524" s="240" t="str">
        <f>CONCATENATE(CA524,".",CB524)</f>
        <v>ДП ЛАДА-КОНЦЕПТ.б/з фальц..робоча..Magnet ст +3завіс 3D</v>
      </c>
      <c r="DD524" s="165" t="s">
        <v>986</v>
      </c>
      <c r="DE524" s="166">
        <v>6370.0000000000009</v>
      </c>
      <c r="DF524" s="528">
        <f t="shared" si="315"/>
        <v>6370</v>
      </c>
      <c r="DG524" s="529" t="s">
        <v>6466</v>
      </c>
      <c r="DH524" s="530">
        <f t="shared" ca="1" si="300"/>
        <v>6370</v>
      </c>
      <c r="DP524" s="108" t="s">
        <v>1149</v>
      </c>
      <c r="DQ524" s="164">
        <v>550</v>
      </c>
      <c r="DR524" s="531">
        <f t="shared" si="309"/>
        <v>550</v>
      </c>
      <c r="DS524" s="526"/>
      <c r="DT524" s="527">
        <f t="shared" si="310"/>
        <v>550</v>
      </c>
      <c r="DV524" s="738" t="s">
        <v>4635</v>
      </c>
      <c r="DW524" s="166">
        <v>800</v>
      </c>
      <c r="DX524" s="522">
        <f t="shared" si="316"/>
        <v>800</v>
      </c>
      <c r="DY524" s="523"/>
      <c r="DZ524" s="524">
        <f t="shared" si="317"/>
        <v>800</v>
      </c>
      <c r="EH524" s="538"/>
      <c r="EI524" s="539"/>
      <c r="EJ524" s="650"/>
      <c r="EK524" s="651"/>
      <c r="EL524" s="652"/>
    </row>
    <row r="525" spans="51:142">
      <c r="AY525" s="740" t="s">
        <v>2797</v>
      </c>
      <c r="AZ525" s="137" t="s">
        <v>1723</v>
      </c>
      <c r="BA525" s="138" t="str">
        <f t="shared" si="318"/>
        <v>ДП Єва.2/2.б/з фальц.</v>
      </c>
      <c r="BW525" s="740" t="s">
        <v>2875</v>
      </c>
      <c r="BX525" s="770" t="s">
        <v>3851</v>
      </c>
      <c r="BY525" s="138" t="str">
        <f t="shared" si="299"/>
        <v>ДП Тіана.1/6.Графіт</v>
      </c>
      <c r="CA525" s="746" t="s">
        <v>3288</v>
      </c>
      <c r="CB525" s="134" t="s">
        <v>4106</v>
      </c>
      <c r="CC525" s="135" t="str">
        <f>CONCATENATE(CA525,".",CB525)</f>
        <v>ДП ЛАДА-КОНЦЕПТ.купе..робоча..(ні)</v>
      </c>
      <c r="DD525" s="165" t="s">
        <v>987</v>
      </c>
      <c r="DE525" s="166">
        <v>6060</v>
      </c>
      <c r="DF525" s="528">
        <f t="shared" si="315"/>
        <v>6060</v>
      </c>
      <c r="DG525" s="529" t="s">
        <v>6466</v>
      </c>
      <c r="DH525" s="530">
        <f t="shared" ca="1" si="300"/>
        <v>6060</v>
      </c>
      <c r="DP525" s="108" t="s">
        <v>6055</v>
      </c>
      <c r="DQ525" s="164">
        <v>550</v>
      </c>
      <c r="DR525" s="531">
        <f>ROUND(((DQ525-(DQ525/6))/$DD$3)*$DE$3,2)</f>
        <v>550</v>
      </c>
      <c r="DS525" s="526"/>
      <c r="DT525" s="527">
        <f>IF(DS525="",DR525,
IF(AND($DQ$10&gt;=VLOOKUP(DS525,$DP$5:$DT$9,2,0),$DQ$10&lt;=VLOOKUP(DS525,$DP$5:$DT$9,3,0)),
(DR525*(1-VLOOKUP(DS525,$DP$5:$DT$9,4,0))),
DR525))</f>
        <v>550</v>
      </c>
      <c r="DV525" s="739" t="s">
        <v>4636</v>
      </c>
      <c r="DW525" s="166">
        <v>800</v>
      </c>
      <c r="DX525" s="525">
        <f t="shared" si="316"/>
        <v>800</v>
      </c>
      <c r="DY525" s="526"/>
      <c r="DZ525" s="527">
        <f t="shared" si="317"/>
        <v>800</v>
      </c>
      <c r="EH525" s="538"/>
      <c r="EI525" s="539"/>
      <c r="EJ525" s="650"/>
      <c r="EK525" s="651"/>
      <c r="EL525" s="652"/>
    </row>
    <row r="526" spans="51:142">
      <c r="AY526" s="741" t="s">
        <v>2797</v>
      </c>
      <c r="AZ526" s="62" t="s">
        <v>1724</v>
      </c>
      <c r="BA526" s="139" t="str">
        <f t="shared" si="318"/>
        <v>ДП Єва.2/2.купе.</v>
      </c>
      <c r="BW526" s="741" t="s">
        <v>2875</v>
      </c>
      <c r="BX526" s="248" t="s">
        <v>832</v>
      </c>
      <c r="BY526" s="139" t="str">
        <f t="shared" si="299"/>
        <v>ДП Тіана.1/6.Бронза</v>
      </c>
      <c r="CA526" s="742" t="s">
        <v>3288</v>
      </c>
      <c r="CB526" s="21"/>
      <c r="CC526" s="21"/>
      <c r="DD526" s="108" t="s">
        <v>988</v>
      </c>
      <c r="DE526" s="164">
        <v>5740.0000000000009</v>
      </c>
      <c r="DF526" s="528">
        <f t="shared" si="315"/>
        <v>5740</v>
      </c>
      <c r="DG526" s="529" t="s">
        <v>6466</v>
      </c>
      <c r="DH526" s="530">
        <f t="shared" ca="1" si="300"/>
        <v>5740</v>
      </c>
      <c r="DP526" s="165" t="s">
        <v>1133</v>
      </c>
      <c r="DQ526" s="166">
        <v>0</v>
      </c>
      <c r="DR526" s="522">
        <f t="shared" si="309"/>
        <v>0</v>
      </c>
      <c r="DS526" s="523"/>
      <c r="DT526" s="524">
        <f t="shared" si="310"/>
        <v>0</v>
      </c>
      <c r="DV526" s="738" t="s">
        <v>6327</v>
      </c>
      <c r="DW526" s="166">
        <v>1</v>
      </c>
      <c r="DX526" s="522">
        <f t="shared" si="311"/>
        <v>1</v>
      </c>
      <c r="DY526" s="523"/>
      <c r="DZ526" s="524">
        <f t="shared" si="312"/>
        <v>1</v>
      </c>
      <c r="EH526" s="738" t="s">
        <v>4999</v>
      </c>
      <c r="EI526" s="166">
        <v>0</v>
      </c>
      <c r="EJ526" s="522">
        <f t="shared" ref="EJ526:EJ541" si="319">ROUND(((EI526-(EI526/6))/$DD$3)*$DE$3,2)</f>
        <v>0</v>
      </c>
      <c r="EK526" s="523"/>
      <c r="EL526" s="524">
        <f t="shared" ref="EL526:EL541" si="320">IF(EK526="",EJ526,
IF(AND($EI$10&gt;=VLOOKUP(EK526,$EH$5:$EL$9,2,0),$EI$10&lt;=VLOOKUP(EK526,$EH$5:$EL$9,3,0)),
(EJ526*(1-VLOOKUP(EK526,$EH$5:$EL$9,4,0))),
EJ526))</f>
        <v>0</v>
      </c>
    </row>
    <row r="527" spans="51:142">
      <c r="AY527" s="740" t="s">
        <v>2798</v>
      </c>
      <c r="AZ527" s="137" t="s">
        <v>1722</v>
      </c>
      <c r="BA527" s="138" t="str">
        <f t="shared" si="318"/>
        <v>ДП Єва.4/0.фальц.</v>
      </c>
      <c r="BW527" s="744" t="s">
        <v>2876</v>
      </c>
      <c r="BX527" s="246" t="s">
        <v>458</v>
      </c>
      <c r="BY527" s="135" t="str">
        <f t="shared" si="299"/>
        <v>ДП Тіана.1/7.Сатин</v>
      </c>
      <c r="CA527" s="742" t="s">
        <v>3288</v>
      </c>
      <c r="CB527" s="137" t="s">
        <v>462</v>
      </c>
      <c r="CC527" s="138" t="str">
        <f>CONCATENATE(CA527,".",CB527)</f>
        <v>ДП ЛАДА-КОНЦЕПТ.купе..робоча..Ручка-Захват</v>
      </c>
      <c r="DD527" s="165" t="s">
        <v>1956</v>
      </c>
      <c r="DE527" s="166">
        <v>6820.0000000000009</v>
      </c>
      <c r="DF527" s="528">
        <f t="shared" si="315"/>
        <v>6820</v>
      </c>
      <c r="DG527" s="529" t="s">
        <v>6466</v>
      </c>
      <c r="DH527" s="530">
        <f t="shared" ca="1" si="300"/>
        <v>6820</v>
      </c>
      <c r="DP527" s="738" t="s">
        <v>3980</v>
      </c>
      <c r="DQ527" s="166">
        <v>550</v>
      </c>
      <c r="DR527" s="522">
        <f t="shared" si="309"/>
        <v>550</v>
      </c>
      <c r="DS527" s="523"/>
      <c r="DT527" s="524">
        <f t="shared" si="310"/>
        <v>550</v>
      </c>
      <c r="DV527" s="738" t="s">
        <v>6328</v>
      </c>
      <c r="DW527" s="166">
        <v>1</v>
      </c>
      <c r="DX527" s="522">
        <f t="shared" si="311"/>
        <v>1</v>
      </c>
      <c r="DY527" s="523"/>
      <c r="DZ527" s="524">
        <f t="shared" si="312"/>
        <v>1</v>
      </c>
      <c r="EH527" s="739" t="s">
        <v>5000</v>
      </c>
      <c r="EI527" s="164">
        <v>150</v>
      </c>
      <c r="EJ527" s="531">
        <f t="shared" si="319"/>
        <v>150</v>
      </c>
      <c r="EK527" s="526"/>
      <c r="EL527" s="527">
        <f t="shared" si="320"/>
        <v>150</v>
      </c>
    </row>
    <row r="528" spans="51:142">
      <c r="AY528" s="740" t="s">
        <v>2798</v>
      </c>
      <c r="AZ528" s="137" t="s">
        <v>1723</v>
      </c>
      <c r="BA528" s="138" t="str">
        <f t="shared" si="318"/>
        <v>ДП Єва.4/0.б/з фальц.</v>
      </c>
      <c r="BW528" s="740" t="s">
        <v>2876</v>
      </c>
      <c r="BX528" s="770" t="s">
        <v>3851</v>
      </c>
      <c r="BY528" s="138" t="str">
        <f t="shared" si="299"/>
        <v>ДП Тіана.1/7.Графіт</v>
      </c>
      <c r="CA528" s="742" t="s">
        <v>3288</v>
      </c>
      <c r="CB528" s="137" t="s">
        <v>684</v>
      </c>
      <c r="CC528" s="138" t="str">
        <f>CONCATENATE(CA528,".",CB528)</f>
        <v>ДП ЛАДА-КОНЦЕПТ.купе..робоча..Ручка-Замок</v>
      </c>
      <c r="DD528" s="165" t="s">
        <v>1957</v>
      </c>
      <c r="DE528" s="166">
        <v>6820.0000000000009</v>
      </c>
      <c r="DF528" s="528">
        <f t="shared" si="315"/>
        <v>6820</v>
      </c>
      <c r="DG528" s="529" t="s">
        <v>6466</v>
      </c>
      <c r="DH528" s="530">
        <f t="shared" ca="1" si="300"/>
        <v>6820</v>
      </c>
      <c r="DP528" s="108" t="s">
        <v>1138</v>
      </c>
      <c r="DQ528" s="164">
        <v>550</v>
      </c>
      <c r="DR528" s="531">
        <f t="shared" si="309"/>
        <v>550</v>
      </c>
      <c r="DS528" s="526"/>
      <c r="DT528" s="527">
        <f t="shared" si="310"/>
        <v>550</v>
      </c>
      <c r="DV528" s="738" t="s">
        <v>6329</v>
      </c>
      <c r="DW528" s="166">
        <v>1</v>
      </c>
      <c r="DX528" s="522">
        <f t="shared" si="311"/>
        <v>1</v>
      </c>
      <c r="DY528" s="523"/>
      <c r="DZ528" s="524">
        <f t="shared" si="312"/>
        <v>1</v>
      </c>
      <c r="EH528" s="738" t="s">
        <v>3737</v>
      </c>
      <c r="EI528" s="166">
        <v>0</v>
      </c>
      <c r="EJ528" s="522">
        <f t="shared" si="319"/>
        <v>0</v>
      </c>
      <c r="EK528" s="523"/>
      <c r="EL528" s="524">
        <f t="shared" si="320"/>
        <v>0</v>
      </c>
    </row>
    <row r="529" spans="51:142">
      <c r="AY529" s="741" t="s">
        <v>2798</v>
      </c>
      <c r="AZ529" s="62" t="s">
        <v>1724</v>
      </c>
      <c r="BA529" s="139" t="str">
        <f t="shared" si="318"/>
        <v>ДП Єва.4/0.купе.</v>
      </c>
      <c r="BW529" s="741" t="s">
        <v>2876</v>
      </c>
      <c r="BX529" s="248" t="s">
        <v>832</v>
      </c>
      <c r="BY529" s="139" t="str">
        <f t="shared" si="299"/>
        <v>ДП Тіана.1/7.Бронза</v>
      </c>
      <c r="CA529" s="432"/>
      <c r="CB529" s="222"/>
      <c r="CC529" s="223"/>
      <c r="DD529" s="165" t="s">
        <v>1958</v>
      </c>
      <c r="DE529" s="166">
        <v>7080</v>
      </c>
      <c r="DF529" s="528">
        <f t="shared" si="315"/>
        <v>7080</v>
      </c>
      <c r="DG529" s="529" t="s">
        <v>6466</v>
      </c>
      <c r="DH529" s="530">
        <f t="shared" ca="1" si="300"/>
        <v>7080</v>
      </c>
      <c r="DP529" s="538"/>
      <c r="DQ529" s="539"/>
      <c r="DR529" s="650"/>
      <c r="DS529" s="651"/>
      <c r="DT529" s="652"/>
      <c r="DV529" s="738" t="s">
        <v>6330</v>
      </c>
      <c r="DW529" s="166">
        <v>1</v>
      </c>
      <c r="DX529" s="522">
        <f t="shared" si="311"/>
        <v>1</v>
      </c>
      <c r="DY529" s="523"/>
      <c r="DZ529" s="524">
        <f t="shared" si="312"/>
        <v>1</v>
      </c>
      <c r="EH529" s="739" t="s">
        <v>3738</v>
      </c>
      <c r="EI529" s="164">
        <v>150</v>
      </c>
      <c r="EJ529" s="531">
        <f t="shared" si="319"/>
        <v>150</v>
      </c>
      <c r="EK529" s="526"/>
      <c r="EL529" s="527">
        <f t="shared" si="320"/>
        <v>150</v>
      </c>
    </row>
    <row r="530" spans="51:142">
      <c r="AY530" s="740" t="s">
        <v>2799</v>
      </c>
      <c r="AZ530" s="137" t="s">
        <v>1722</v>
      </c>
      <c r="BA530" s="138" t="str">
        <f t="shared" si="318"/>
        <v>ДП Єва.4/1.фальц.</v>
      </c>
      <c r="BW530" s="744" t="s">
        <v>2877</v>
      </c>
      <c r="BX530" s="246" t="s">
        <v>458</v>
      </c>
      <c r="BY530" s="135" t="str">
        <f t="shared" si="299"/>
        <v>ДП Тіана.1/8.Сатин</v>
      </c>
      <c r="CA530" s="742" t="s">
        <v>3289</v>
      </c>
      <c r="CB530" s="137" t="s">
        <v>4106</v>
      </c>
      <c r="CC530" s="138" t="str">
        <f>CONCATENATE(CA530,".",CB530)</f>
        <v>ДП ЛАДА-НОВА.фальц..робоча..(ні)</v>
      </c>
      <c r="DD530" s="165" t="s">
        <v>1959</v>
      </c>
      <c r="DE530" s="166">
        <v>7080</v>
      </c>
      <c r="DF530" s="528">
        <f t="shared" si="315"/>
        <v>7080</v>
      </c>
      <c r="DG530" s="529" t="s">
        <v>6466</v>
      </c>
      <c r="DH530" s="530">
        <f t="shared" ca="1" si="300"/>
        <v>7080</v>
      </c>
      <c r="DP530" s="743" t="s">
        <v>4172</v>
      </c>
      <c r="DQ530" s="105">
        <v>0</v>
      </c>
      <c r="DR530" s="403">
        <f t="shared" ref="DR530:DR583" si="321">ROUND(((DQ530-(DQ530/6))/$DD$3)*$DE$3,2)</f>
        <v>0</v>
      </c>
      <c r="DS530" s="514"/>
      <c r="DT530" s="511">
        <f t="shared" ref="DT530:DT583" si="322">IF(DS530="",DR530,
IF(AND($DQ$10&gt;=VLOOKUP(DS530,$DP$5:$DT$9,2,0),$DQ$10&lt;=VLOOKUP(DS530,$DP$5:$DT$9,3,0)),
(DR530*(1-VLOOKUP(DS530,$DP$5:$DT$9,4,0))),
DR530))</f>
        <v>0</v>
      </c>
      <c r="DV530" s="738" t="s">
        <v>6331</v>
      </c>
      <c r="DW530" s="166">
        <v>1</v>
      </c>
      <c r="DX530" s="522">
        <f t="shared" si="311"/>
        <v>1</v>
      </c>
      <c r="DY530" s="523"/>
      <c r="DZ530" s="524">
        <f t="shared" si="312"/>
        <v>1</v>
      </c>
      <c r="EH530" s="738" t="s">
        <v>3739</v>
      </c>
      <c r="EI530" s="166">
        <v>0</v>
      </c>
      <c r="EJ530" s="522">
        <f>ROUND(((EI530-(EI530/6))/$DD$3)*$DE$3,2)</f>
        <v>0</v>
      </c>
      <c r="EK530" s="523"/>
      <c r="EL530" s="524">
        <f>IF(EK530="",EJ530,
IF(AND($EI$10&gt;=VLOOKUP(EK530,$EH$5:$EL$9,2,0),$EI$10&lt;=VLOOKUP(EK530,$EH$5:$EL$9,3,0)),
(EJ530*(1-VLOOKUP(EK530,$EH$5:$EL$9,4,0))),
EJ530))</f>
        <v>0</v>
      </c>
    </row>
    <row r="531" spans="51:142">
      <c r="AY531" s="740" t="s">
        <v>2799</v>
      </c>
      <c r="AZ531" s="137" t="s">
        <v>1723</v>
      </c>
      <c r="BA531" s="138" t="str">
        <f t="shared" si="318"/>
        <v>ДП Єва.4/1.б/з фальц.</v>
      </c>
      <c r="BW531" s="740" t="s">
        <v>2877</v>
      </c>
      <c r="BX531" s="770" t="s">
        <v>3851</v>
      </c>
      <c r="BY531" s="138" t="str">
        <f t="shared" si="299"/>
        <v>ДП Тіана.1/8.Графіт</v>
      </c>
      <c r="CA531" s="742" t="s">
        <v>3289</v>
      </c>
      <c r="CB531" s="21"/>
      <c r="CC531" s="21"/>
      <c r="DD531" s="165" t="s">
        <v>1960</v>
      </c>
      <c r="DE531" s="166">
        <v>7460</v>
      </c>
      <c r="DF531" s="528">
        <f t="shared" si="315"/>
        <v>7460</v>
      </c>
      <c r="DG531" s="529" t="s">
        <v>6466</v>
      </c>
      <c r="DH531" s="530">
        <f t="shared" ca="1" si="300"/>
        <v>7460</v>
      </c>
      <c r="DP531" s="251" t="s">
        <v>2739</v>
      </c>
      <c r="DQ531" s="163">
        <v>0</v>
      </c>
      <c r="DR531" s="528">
        <f t="shared" si="321"/>
        <v>0</v>
      </c>
      <c r="DS531" s="529"/>
      <c r="DT531" s="530">
        <f t="shared" si="322"/>
        <v>0</v>
      </c>
      <c r="DV531" s="739" t="s">
        <v>6332</v>
      </c>
      <c r="DW531" s="166">
        <v>1</v>
      </c>
      <c r="DX531" s="525">
        <f t="shared" si="311"/>
        <v>1</v>
      </c>
      <c r="DY531" s="526"/>
      <c r="DZ531" s="527">
        <f t="shared" si="312"/>
        <v>1</v>
      </c>
      <c r="EH531" s="739" t="s">
        <v>3740</v>
      </c>
      <c r="EI531" s="164">
        <v>150</v>
      </c>
      <c r="EJ531" s="531">
        <f>ROUND(((EI531-(EI531/6))/$DD$3)*$DE$3,2)</f>
        <v>150</v>
      </c>
      <c r="EK531" s="526"/>
      <c r="EL531" s="527">
        <f>IF(EK531="",EJ531,
IF(AND($EI$10&gt;=VLOOKUP(EK531,$EH$5:$EL$9,2,0),$EI$10&lt;=VLOOKUP(EK531,$EH$5:$EL$9,3,0)),
(EJ531*(1-VLOOKUP(EK531,$EH$5:$EL$9,4,0))),
EJ531))</f>
        <v>150</v>
      </c>
    </row>
    <row r="532" spans="51:142">
      <c r="AY532" s="741" t="s">
        <v>2799</v>
      </c>
      <c r="AZ532" s="62" t="s">
        <v>1724</v>
      </c>
      <c r="BA532" s="139" t="str">
        <f t="shared" si="318"/>
        <v>ДП Єва.4/1.купе.</v>
      </c>
      <c r="BW532" s="741" t="s">
        <v>2877</v>
      </c>
      <c r="BX532" s="248" t="s">
        <v>832</v>
      </c>
      <c r="BY532" s="139" t="str">
        <f t="shared" si="299"/>
        <v>ДП Тіана.1/8.Бронза</v>
      </c>
      <c r="CA532" s="742" t="s">
        <v>3289</v>
      </c>
      <c r="CB532" s="783" t="s">
        <v>5754</v>
      </c>
      <c r="CC532" s="138" t="str">
        <f t="shared" ref="CC532:CC537" si="323">CONCATENATE(CA532,".",CB532)</f>
        <v>ДП ЛАДА-НОВА.фальц..робоча..Stand цл Лів +3завіс</v>
      </c>
      <c r="DD532" s="165" t="s">
        <v>1961</v>
      </c>
      <c r="DE532" s="166">
        <v>7460</v>
      </c>
      <c r="DF532" s="528">
        <f t="shared" si="315"/>
        <v>7460</v>
      </c>
      <c r="DG532" s="529" t="s">
        <v>6466</v>
      </c>
      <c r="DH532" s="530">
        <f t="shared" ca="1" si="300"/>
        <v>7460</v>
      </c>
      <c r="DP532" s="740" t="s">
        <v>3981</v>
      </c>
      <c r="DQ532" s="166">
        <v>550</v>
      </c>
      <c r="DR532" s="522">
        <f t="shared" si="321"/>
        <v>550</v>
      </c>
      <c r="DS532" s="523"/>
      <c r="DT532" s="524">
        <f t="shared" si="322"/>
        <v>550</v>
      </c>
      <c r="DV532" s="165" t="s">
        <v>2608</v>
      </c>
      <c r="DW532" s="166">
        <v>0</v>
      </c>
      <c r="DX532" s="522">
        <f t="shared" si="311"/>
        <v>0</v>
      </c>
      <c r="DY532" s="523"/>
      <c r="DZ532" s="524">
        <f t="shared" si="312"/>
        <v>0</v>
      </c>
      <c r="EH532" s="738" t="s">
        <v>3741</v>
      </c>
      <c r="EI532" s="166">
        <v>0</v>
      </c>
      <c r="EJ532" s="522">
        <f>ROUND(((EI532-(EI532/6))/$DD$3)*$DE$3,2)</f>
        <v>0</v>
      </c>
      <c r="EK532" s="523"/>
      <c r="EL532" s="524">
        <f>IF(EK532="",EJ532,
IF(AND($EI$10&gt;=VLOOKUP(EK532,$EH$5:$EL$9,2,0),$EI$10&lt;=VLOOKUP(EK532,$EH$5:$EL$9,3,0)),
(EJ532*(1-VLOOKUP(EK532,$EH$5:$EL$9,4,0))),
EJ532))</f>
        <v>0</v>
      </c>
    </row>
    <row r="533" spans="51:142">
      <c r="AY533" s="740" t="s">
        <v>2800</v>
      </c>
      <c r="AZ533" s="137" t="s">
        <v>1722</v>
      </c>
      <c r="BA533" s="138" t="str">
        <f t="shared" si="318"/>
        <v>ДП Єва.4/2.фальц.</v>
      </c>
      <c r="BW533" s="432"/>
      <c r="BX533" s="432"/>
      <c r="BY533" s="432"/>
      <c r="CA533" s="742" t="s">
        <v>3289</v>
      </c>
      <c r="CB533" s="783" t="s">
        <v>5755</v>
      </c>
      <c r="CC533" s="138" t="str">
        <f t="shared" si="323"/>
        <v>ДП ЛАДА-НОВА.фальц..робоча..Stand цл Пр +3завіс</v>
      </c>
      <c r="DD533" s="165" t="s">
        <v>1962</v>
      </c>
      <c r="DE533" s="166">
        <v>7080</v>
      </c>
      <c r="DF533" s="528">
        <f t="shared" si="315"/>
        <v>7080</v>
      </c>
      <c r="DG533" s="529" t="s">
        <v>6466</v>
      </c>
      <c r="DH533" s="530">
        <f t="shared" ca="1" si="300"/>
        <v>7080</v>
      </c>
      <c r="DP533" s="249" t="s">
        <v>2740</v>
      </c>
      <c r="DQ533" s="164">
        <v>550</v>
      </c>
      <c r="DR533" s="531">
        <f t="shared" si="321"/>
        <v>550</v>
      </c>
      <c r="DS533" s="526"/>
      <c r="DT533" s="527">
        <f t="shared" si="322"/>
        <v>550</v>
      </c>
      <c r="DV533" s="108" t="s">
        <v>2609</v>
      </c>
      <c r="DW533" s="164">
        <v>560</v>
      </c>
      <c r="DX533" s="531">
        <f t="shared" si="311"/>
        <v>560</v>
      </c>
      <c r="DY533" s="526"/>
      <c r="DZ533" s="527">
        <f t="shared" si="312"/>
        <v>560</v>
      </c>
      <c r="EH533" s="739" t="s">
        <v>3742</v>
      </c>
      <c r="EI533" s="164">
        <v>170</v>
      </c>
      <c r="EJ533" s="531">
        <f>ROUND(((EI533-(EI533/6))/$DD$3)*$DE$3,2)</f>
        <v>170</v>
      </c>
      <c r="EK533" s="526"/>
      <c r="EL533" s="527">
        <f>IF(EK533="",EJ533,
IF(AND($EI$10&gt;=VLOOKUP(EK533,$EH$5:$EL$9,2,0),$EI$10&lt;=VLOOKUP(EK533,$EH$5:$EL$9,3,0)),
(EJ533*(1-VLOOKUP(EK533,$EH$5:$EL$9,4,0))),
EJ533))</f>
        <v>170</v>
      </c>
    </row>
    <row r="534" spans="51:142">
      <c r="AY534" s="740" t="s">
        <v>2800</v>
      </c>
      <c r="AZ534" s="137" t="s">
        <v>1723</v>
      </c>
      <c r="BA534" s="138" t="str">
        <f t="shared" si="318"/>
        <v>ДП Єва.4/2.б/з фальц.</v>
      </c>
      <c r="BW534" s="744" t="s">
        <v>2795</v>
      </c>
      <c r="BX534" s="246" t="s">
        <v>458</v>
      </c>
      <c r="BY534" s="135" t="str">
        <f t="shared" ref="BY534:BY562" si="324">CONCATENATE(BW534,".",BX534)</f>
        <v>ДП Єва.2/0.Сатин</v>
      </c>
      <c r="CA534" s="742" t="s">
        <v>3289</v>
      </c>
      <c r="CB534" s="783" t="s">
        <v>5756</v>
      </c>
      <c r="CC534" s="138" t="str">
        <f t="shared" si="323"/>
        <v>ДП ЛАДА-НОВА.фальц..робоча..Stand кл Лів +3завіс</v>
      </c>
      <c r="DD534" s="165" t="s">
        <v>1963</v>
      </c>
      <c r="DE534" s="166">
        <v>6720</v>
      </c>
      <c r="DF534" s="528">
        <f t="shared" si="315"/>
        <v>6720</v>
      </c>
      <c r="DG534" s="529" t="s">
        <v>6466</v>
      </c>
      <c r="DH534" s="530">
        <f t="shared" ca="1" si="300"/>
        <v>6720</v>
      </c>
      <c r="DP534" s="250" t="s">
        <v>2741</v>
      </c>
      <c r="DQ534" s="166">
        <v>0</v>
      </c>
      <c r="DR534" s="522">
        <f t="shared" si="321"/>
        <v>0</v>
      </c>
      <c r="DS534" s="523"/>
      <c r="DT534" s="524">
        <f t="shared" si="322"/>
        <v>0</v>
      </c>
      <c r="DV534" s="647"/>
      <c r="DW534" s="648"/>
      <c r="DX534" s="654"/>
      <c r="DY534" s="655"/>
      <c r="DZ534" s="656"/>
      <c r="EH534" s="738" t="s">
        <v>3743</v>
      </c>
      <c r="EI534" s="166">
        <v>0</v>
      </c>
      <c r="EJ534" s="522">
        <f t="shared" si="319"/>
        <v>0</v>
      </c>
      <c r="EK534" s="523"/>
      <c r="EL534" s="524">
        <f t="shared" si="320"/>
        <v>0</v>
      </c>
    </row>
    <row r="535" spans="51:142">
      <c r="AY535" s="741" t="s">
        <v>2800</v>
      </c>
      <c r="AZ535" s="62" t="s">
        <v>1724</v>
      </c>
      <c r="BA535" s="139" t="str">
        <f t="shared" si="318"/>
        <v>ДП Єва.4/2.купе.</v>
      </c>
      <c r="BW535" s="740" t="s">
        <v>2795</v>
      </c>
      <c r="BX535" s="770" t="s">
        <v>3851</v>
      </c>
      <c r="BY535" s="138" t="str">
        <f t="shared" si="324"/>
        <v>ДП Єва.2/0.Графіт</v>
      </c>
      <c r="CA535" s="742" t="s">
        <v>3289</v>
      </c>
      <c r="CB535" s="783" t="s">
        <v>5757</v>
      </c>
      <c r="CC535" s="138" t="str">
        <f t="shared" si="323"/>
        <v>ДП ЛАДА-НОВА.фальц..робоча..Stand кл Пр +3завіс</v>
      </c>
      <c r="DD535" s="108" t="s">
        <v>1964</v>
      </c>
      <c r="DE535" s="164">
        <v>6360</v>
      </c>
      <c r="DF535" s="528">
        <f t="shared" si="315"/>
        <v>6360</v>
      </c>
      <c r="DG535" s="529" t="s">
        <v>6466</v>
      </c>
      <c r="DH535" s="530">
        <f t="shared" ca="1" si="300"/>
        <v>6360</v>
      </c>
      <c r="DP535" s="740" t="s">
        <v>3982</v>
      </c>
      <c r="DQ535" s="166">
        <v>550</v>
      </c>
      <c r="DR535" s="522">
        <f t="shared" si="321"/>
        <v>550</v>
      </c>
      <c r="DS535" s="523"/>
      <c r="DT535" s="524">
        <f t="shared" si="322"/>
        <v>550</v>
      </c>
      <c r="DV535" s="736" t="s">
        <v>4161</v>
      </c>
      <c r="DW535" s="105">
        <v>0</v>
      </c>
      <c r="DX535" s="403">
        <f t="shared" ref="DX535:DX565" si="325">ROUND(((DW535-(DW535/6))/$DD$3)*$DE$3,2)</f>
        <v>0</v>
      </c>
      <c r="DY535" s="514"/>
      <c r="DZ535" s="511">
        <f t="shared" ref="DZ535:DZ565" si="326">IF(DY535="",DX535,
IF(AND($DW$10&gt;=VLOOKUP(DY535,$DV$5:$DZ$9,2,0),$DW$10&lt;=VLOOKUP(DY535,$DV$5:$DZ$9,3,0)),
(DX535*(1-VLOOKUP(DY535,$DV$5:$DZ$9,4,0))),
DX535))</f>
        <v>0</v>
      </c>
      <c r="EH535" s="739" t="s">
        <v>3744</v>
      </c>
      <c r="EI535" s="164">
        <v>200</v>
      </c>
      <c r="EJ535" s="531">
        <f t="shared" si="319"/>
        <v>200</v>
      </c>
      <c r="EK535" s="526"/>
      <c r="EL535" s="527">
        <f t="shared" si="320"/>
        <v>200</v>
      </c>
    </row>
    <row r="536" spans="51:142">
      <c r="AY536" s="740" t="s">
        <v>2801</v>
      </c>
      <c r="AZ536" s="137" t="s">
        <v>1722</v>
      </c>
      <c r="BA536" s="138" t="str">
        <f t="shared" si="318"/>
        <v>ДП Єва.4/3.фальц.</v>
      </c>
      <c r="BW536" s="741" t="s">
        <v>2795</v>
      </c>
      <c r="BX536" s="248" t="s">
        <v>832</v>
      </c>
      <c r="BY536" s="139" t="str">
        <f t="shared" si="324"/>
        <v>ДП Єва.2/0.Бронза</v>
      </c>
      <c r="CA536" s="742" t="s">
        <v>3289</v>
      </c>
      <c r="CB536" s="783" t="s">
        <v>5758</v>
      </c>
      <c r="CC536" s="138" t="str">
        <f t="shared" si="323"/>
        <v>ДП ЛАДА-НОВА.фальц..робоча..Stand ст Лів +3завіс</v>
      </c>
      <c r="DD536" s="165" t="s">
        <v>430</v>
      </c>
      <c r="DE536" s="166">
        <v>7030.0000000000009</v>
      </c>
      <c r="DF536" s="528">
        <f t="shared" si="315"/>
        <v>7030</v>
      </c>
      <c r="DG536" s="529" t="s">
        <v>6466</v>
      </c>
      <c r="DH536" s="530">
        <f t="shared" ca="1" si="300"/>
        <v>7030</v>
      </c>
      <c r="DP536" s="249" t="s">
        <v>2742</v>
      </c>
      <c r="DQ536" s="164">
        <v>550</v>
      </c>
      <c r="DR536" s="531">
        <f t="shared" si="321"/>
        <v>550</v>
      </c>
      <c r="DS536" s="526"/>
      <c r="DT536" s="527">
        <f t="shared" si="322"/>
        <v>550</v>
      </c>
      <c r="DV536" s="737" t="s">
        <v>5856</v>
      </c>
      <c r="DW536" s="163">
        <v>0</v>
      </c>
      <c r="DX536" s="528">
        <f t="shared" si="325"/>
        <v>0</v>
      </c>
      <c r="DY536" s="529"/>
      <c r="DZ536" s="530">
        <f t="shared" si="326"/>
        <v>0</v>
      </c>
      <c r="EH536" s="738" t="s">
        <v>3745</v>
      </c>
      <c r="EI536" s="166">
        <v>0</v>
      </c>
      <c r="EJ536" s="522">
        <f t="shared" si="319"/>
        <v>0</v>
      </c>
      <c r="EK536" s="523"/>
      <c r="EL536" s="524">
        <f t="shared" si="320"/>
        <v>0</v>
      </c>
    </row>
    <row r="537" spans="51:142">
      <c r="AY537" s="740" t="s">
        <v>2801</v>
      </c>
      <c r="AZ537" s="137" t="s">
        <v>1723</v>
      </c>
      <c r="BA537" s="138" t="str">
        <f t="shared" si="318"/>
        <v>ДП Єва.4/3.б/з фальц.</v>
      </c>
      <c r="BW537" s="741" t="s">
        <v>2795</v>
      </c>
      <c r="BX537" s="248" t="s">
        <v>6046</v>
      </c>
      <c r="BY537" s="139" t="str">
        <f>CONCATENATE(BW537,".",BX537)</f>
        <v>ДП Єва.2/0.Лакобель</v>
      </c>
      <c r="CA537" s="742" t="s">
        <v>3289</v>
      </c>
      <c r="CB537" s="783" t="s">
        <v>5759</v>
      </c>
      <c r="CC537" s="138" t="str">
        <f t="shared" si="323"/>
        <v>ДП ЛАДА-НОВА.фальц..робоча..Stand ст Пр +3завіс</v>
      </c>
      <c r="DD537" s="165" t="s">
        <v>431</v>
      </c>
      <c r="DE537" s="166">
        <v>7030.0000000000009</v>
      </c>
      <c r="DF537" s="528">
        <f t="shared" si="315"/>
        <v>7030</v>
      </c>
      <c r="DG537" s="529" t="s">
        <v>6466</v>
      </c>
      <c r="DH537" s="530">
        <f t="shared" ca="1" si="300"/>
        <v>7030</v>
      </c>
      <c r="DP537" s="250" t="s">
        <v>2743</v>
      </c>
      <c r="DQ537" s="166">
        <v>0</v>
      </c>
      <c r="DR537" s="522">
        <f t="shared" si="321"/>
        <v>0</v>
      </c>
      <c r="DS537" s="523"/>
      <c r="DT537" s="524">
        <f t="shared" si="322"/>
        <v>0</v>
      </c>
      <c r="DV537" s="737" t="s">
        <v>5857</v>
      </c>
      <c r="DW537" s="163">
        <v>0</v>
      </c>
      <c r="DX537" s="528">
        <f>ROUND(((DW537-(DW537/6))/$DD$3)*$DE$3,2)</f>
        <v>0</v>
      </c>
      <c r="DY537" s="529"/>
      <c r="DZ537" s="530">
        <f>IF(DY537="",DX537,
IF(AND($DW$10&gt;=VLOOKUP(DY537,$DV$5:$DZ$9,2,0),$DW$10&lt;=VLOOKUP(DY537,$DV$5:$DZ$9,3,0)),
(DX537*(1-VLOOKUP(DY537,$DV$5:$DZ$9,4,0))),
DX537))</f>
        <v>0</v>
      </c>
      <c r="EH537" s="739" t="s">
        <v>3746</v>
      </c>
      <c r="EI537" s="164">
        <v>240</v>
      </c>
      <c r="EJ537" s="531">
        <f t="shared" si="319"/>
        <v>240</v>
      </c>
      <c r="EK537" s="526"/>
      <c r="EL537" s="527">
        <f t="shared" si="320"/>
        <v>240</v>
      </c>
    </row>
    <row r="538" spans="51:142">
      <c r="AY538" s="741" t="s">
        <v>2801</v>
      </c>
      <c r="AZ538" s="62" t="s">
        <v>1724</v>
      </c>
      <c r="BA538" s="139" t="str">
        <f t="shared" si="318"/>
        <v>ДП Єва.4/3.купе.</v>
      </c>
      <c r="BW538" s="744" t="s">
        <v>2796</v>
      </c>
      <c r="BX538" s="246" t="s">
        <v>458</v>
      </c>
      <c r="BY538" s="135" t="str">
        <f t="shared" si="324"/>
        <v>ДП Єва.2/1.Сатин</v>
      </c>
      <c r="CA538" s="742" t="s">
        <v>3289</v>
      </c>
      <c r="CC538" s="138"/>
      <c r="DD538" s="165" t="s">
        <v>432</v>
      </c>
      <c r="DE538" s="166">
        <v>7300.0000000000009</v>
      </c>
      <c r="DF538" s="528">
        <f t="shared" si="315"/>
        <v>7300</v>
      </c>
      <c r="DG538" s="529" t="s">
        <v>6466</v>
      </c>
      <c r="DH538" s="530">
        <f t="shared" ca="1" si="300"/>
        <v>7300</v>
      </c>
      <c r="DP538" s="740" t="s">
        <v>3983</v>
      </c>
      <c r="DQ538" s="166">
        <v>550</v>
      </c>
      <c r="DR538" s="522">
        <f t="shared" si="321"/>
        <v>550</v>
      </c>
      <c r="DS538" s="523"/>
      <c r="DT538" s="524">
        <f t="shared" si="322"/>
        <v>550</v>
      </c>
      <c r="DV538" s="738" t="s">
        <v>5858</v>
      </c>
      <c r="DW538" s="166">
        <v>0</v>
      </c>
      <c r="DX538" s="522">
        <f t="shared" si="325"/>
        <v>0</v>
      </c>
      <c r="DY538" s="523"/>
      <c r="DZ538" s="524">
        <f t="shared" si="326"/>
        <v>0</v>
      </c>
      <c r="EH538" s="738" t="s">
        <v>5200</v>
      </c>
      <c r="EI538" s="166">
        <v>0</v>
      </c>
      <c r="EJ538" s="522">
        <f>ROUND(((EI538-(EI538/6))/$DD$3)*$DE$3,2)</f>
        <v>0</v>
      </c>
      <c r="EK538" s="523"/>
      <c r="EL538" s="524">
        <f>IF(EK538="",EJ538,
IF(AND($EI$10&gt;=VLOOKUP(EK538,$EH$5:$EL$9,2,0),$EI$10&lt;=VLOOKUP(EK538,$EH$5:$EL$9,3,0)),
(EJ538*(1-VLOOKUP(EK538,$EH$5:$EL$9,4,0))),
EJ538))</f>
        <v>0</v>
      </c>
    </row>
    <row r="539" spans="51:142">
      <c r="AY539" s="740" t="s">
        <v>2802</v>
      </c>
      <c r="AZ539" s="137" t="s">
        <v>1722</v>
      </c>
      <c r="BA539" s="138" t="str">
        <f t="shared" si="318"/>
        <v>ДП Єва.4/4.фальц.</v>
      </c>
      <c r="BW539" s="740" t="s">
        <v>2796</v>
      </c>
      <c r="BX539" s="770" t="s">
        <v>3851</v>
      </c>
      <c r="BY539" s="138" t="str">
        <f t="shared" si="324"/>
        <v>ДП Єва.2/1.Графіт</v>
      </c>
      <c r="CA539" s="742" t="s">
        <v>3289</v>
      </c>
      <c r="CB539" s="137" t="s">
        <v>4304</v>
      </c>
      <c r="CC539" s="138" t="str">
        <f>CONCATENATE(CA539,".",CB539)</f>
        <v>ДП ЛАДА-НОВА.фальц..робоча..Soft цл +3завіс</v>
      </c>
      <c r="DD539" s="165" t="s">
        <v>433</v>
      </c>
      <c r="DE539" s="166">
        <v>7300.0000000000009</v>
      </c>
      <c r="DF539" s="528">
        <f t="shared" si="315"/>
        <v>7300</v>
      </c>
      <c r="DG539" s="529" t="s">
        <v>6466</v>
      </c>
      <c r="DH539" s="530">
        <f t="shared" ca="1" si="300"/>
        <v>7300</v>
      </c>
      <c r="DP539" s="249" t="s">
        <v>2744</v>
      </c>
      <c r="DQ539" s="164">
        <v>550</v>
      </c>
      <c r="DR539" s="531">
        <f t="shared" si="321"/>
        <v>550</v>
      </c>
      <c r="DS539" s="526"/>
      <c r="DT539" s="527">
        <f t="shared" si="322"/>
        <v>550</v>
      </c>
      <c r="DV539" s="738" t="s">
        <v>5859</v>
      </c>
      <c r="DW539" s="163">
        <v>0</v>
      </c>
      <c r="DX539" s="528">
        <f>ROUND(((DW539-(DW539/6))/$DD$3)*$DE$3,2)</f>
        <v>0</v>
      </c>
      <c r="DY539" s="529"/>
      <c r="DZ539" s="530">
        <f>IF(DY539="",DX539,
IF(AND($DW$10&gt;=VLOOKUP(DY539,$DV$5:$DZ$9,2,0),$DW$10&lt;=VLOOKUP(DY539,$DV$5:$DZ$9,3,0)),
(DX539*(1-VLOOKUP(DY539,$DV$5:$DZ$9,4,0))),
DX539))</f>
        <v>0</v>
      </c>
      <c r="EH539" s="739" t="s">
        <v>5201</v>
      </c>
      <c r="EI539" s="164">
        <v>260</v>
      </c>
      <c r="EJ539" s="531">
        <f>ROUND(((EI539-(EI539/6))/$DD$3)*$DE$3,2)</f>
        <v>260</v>
      </c>
      <c r="EK539" s="526"/>
      <c r="EL539" s="527">
        <f>IF(EK539="",EJ539,
IF(AND($EI$10&gt;=VLOOKUP(EK539,$EH$5:$EL$9,2,0),$EI$10&lt;=VLOOKUP(EK539,$EH$5:$EL$9,3,0)),
(EJ539*(1-VLOOKUP(EK539,$EH$5:$EL$9,4,0))),
EJ539))</f>
        <v>260</v>
      </c>
    </row>
    <row r="540" spans="51:142">
      <c r="AY540" s="740" t="s">
        <v>2802</v>
      </c>
      <c r="AZ540" s="137" t="s">
        <v>1723</v>
      </c>
      <c r="BA540" s="138" t="str">
        <f t="shared" si="318"/>
        <v>ДП Єва.4/4.б/з фальц.</v>
      </c>
      <c r="BW540" s="741" t="s">
        <v>2796</v>
      </c>
      <c r="BX540" s="248" t="s">
        <v>832</v>
      </c>
      <c r="BY540" s="139" t="str">
        <f t="shared" si="324"/>
        <v>ДП Єва.2/1.Бронза</v>
      </c>
      <c r="CA540" s="742" t="s">
        <v>3289</v>
      </c>
      <c r="CB540" s="137" t="s">
        <v>4307</v>
      </c>
      <c r="CC540" s="138" t="str">
        <f>CONCATENATE(CA540,".",CB540)</f>
        <v>ДП ЛАДА-НОВА.фальц..робоча..Soft ст +3завіс</v>
      </c>
      <c r="DD540" s="165" t="s">
        <v>731</v>
      </c>
      <c r="DE540" s="166">
        <v>7680</v>
      </c>
      <c r="DF540" s="528">
        <f t="shared" si="315"/>
        <v>7680</v>
      </c>
      <c r="DG540" s="529" t="s">
        <v>6466</v>
      </c>
      <c r="DH540" s="530">
        <f t="shared" ca="1" si="300"/>
        <v>7680</v>
      </c>
      <c r="DP540" s="250" t="s">
        <v>2745</v>
      </c>
      <c r="DQ540" s="166">
        <v>0</v>
      </c>
      <c r="DR540" s="522">
        <f t="shared" si="321"/>
        <v>0</v>
      </c>
      <c r="DS540" s="523"/>
      <c r="DT540" s="524">
        <f t="shared" si="322"/>
        <v>0</v>
      </c>
      <c r="DV540" s="738" t="s">
        <v>5860</v>
      </c>
      <c r="DW540" s="166">
        <v>0</v>
      </c>
      <c r="DX540" s="522">
        <f t="shared" si="325"/>
        <v>0</v>
      </c>
      <c r="DY540" s="523"/>
      <c r="DZ540" s="524">
        <f t="shared" si="326"/>
        <v>0</v>
      </c>
      <c r="EH540" s="738" t="s">
        <v>3747</v>
      </c>
      <c r="EI540" s="166">
        <v>0</v>
      </c>
      <c r="EJ540" s="522">
        <f t="shared" si="319"/>
        <v>0</v>
      </c>
      <c r="EK540" s="523"/>
      <c r="EL540" s="524">
        <f t="shared" si="320"/>
        <v>0</v>
      </c>
    </row>
    <row r="541" spans="51:142">
      <c r="AY541" s="741" t="s">
        <v>2802</v>
      </c>
      <c r="AZ541" s="62" t="s">
        <v>1724</v>
      </c>
      <c r="BA541" s="139" t="str">
        <f t="shared" si="318"/>
        <v>ДП Єва.4/4.купе.</v>
      </c>
      <c r="BW541" s="744" t="s">
        <v>2797</v>
      </c>
      <c r="BX541" s="246" t="s">
        <v>458</v>
      </c>
      <c r="BY541" s="135" t="str">
        <f t="shared" si="324"/>
        <v>ДП Єва.2/2.Сатин</v>
      </c>
      <c r="CA541" s="742" t="s">
        <v>3289</v>
      </c>
      <c r="CB541" s="21"/>
      <c r="CC541" s="21"/>
      <c r="DD541" s="165" t="s">
        <v>732</v>
      </c>
      <c r="DE541" s="166">
        <v>7680</v>
      </c>
      <c r="DF541" s="528">
        <f t="shared" si="315"/>
        <v>7680</v>
      </c>
      <c r="DG541" s="529" t="s">
        <v>6466</v>
      </c>
      <c r="DH541" s="530">
        <f t="shared" ca="1" si="300"/>
        <v>7680</v>
      </c>
      <c r="DP541" s="740" t="s">
        <v>3984</v>
      </c>
      <c r="DQ541" s="166">
        <v>550</v>
      </c>
      <c r="DR541" s="522">
        <f t="shared" si="321"/>
        <v>550</v>
      </c>
      <c r="DS541" s="523"/>
      <c r="DT541" s="524">
        <f t="shared" si="322"/>
        <v>550</v>
      </c>
      <c r="DV541" s="738" t="s">
        <v>5861</v>
      </c>
      <c r="DW541" s="163">
        <v>0</v>
      </c>
      <c r="DX541" s="528">
        <f>ROUND(((DW541-(DW541/6))/$DD$3)*$DE$3,2)</f>
        <v>0</v>
      </c>
      <c r="DY541" s="529"/>
      <c r="DZ541" s="530">
        <f>IF(DY541="",DX541,
IF(AND($DW$10&gt;=VLOOKUP(DY541,$DV$5:$DZ$9,2,0),$DW$10&lt;=VLOOKUP(DY541,$DV$5:$DZ$9,3,0)),
(DX541*(1-VLOOKUP(DY541,$DV$5:$DZ$9,4,0))),
DX541))</f>
        <v>0</v>
      </c>
      <c r="EH541" s="739" t="s">
        <v>3748</v>
      </c>
      <c r="EI541" s="164">
        <v>260</v>
      </c>
      <c r="EJ541" s="531">
        <f t="shared" si="319"/>
        <v>260</v>
      </c>
      <c r="EK541" s="526"/>
      <c r="EL541" s="527">
        <f t="shared" si="320"/>
        <v>260</v>
      </c>
    </row>
    <row r="542" spans="51:142">
      <c r="AY542" s="740" t="s">
        <v>2803</v>
      </c>
      <c r="AZ542" s="137" t="s">
        <v>1722</v>
      </c>
      <c r="BA542" s="138" t="str">
        <f t="shared" si="318"/>
        <v>ДП Єва.4/5.фальц.</v>
      </c>
      <c r="BW542" s="740" t="s">
        <v>2797</v>
      </c>
      <c r="BX542" s="770" t="s">
        <v>3851</v>
      </c>
      <c r="BY542" s="138" t="str">
        <f t="shared" si="324"/>
        <v>ДП Єва.2/2.Графіт</v>
      </c>
      <c r="CA542" s="742" t="s">
        <v>3289</v>
      </c>
      <c r="CB542" s="137" t="s">
        <v>4316</v>
      </c>
      <c r="CC542" s="138" t="str">
        <f>CONCATENATE(CA542,".",CB542)</f>
        <v>ДП ЛАДА-НОВА.фальц..робоча..Magnet цл +3завіс</v>
      </c>
      <c r="DD542" s="165" t="s">
        <v>733</v>
      </c>
      <c r="DE542" s="166">
        <v>7300.0000000000009</v>
      </c>
      <c r="DF542" s="528">
        <f t="shared" si="315"/>
        <v>7300</v>
      </c>
      <c r="DG542" s="529" t="s">
        <v>6466</v>
      </c>
      <c r="DH542" s="530">
        <f t="shared" ca="1" si="300"/>
        <v>7300</v>
      </c>
      <c r="DP542" s="249" t="s">
        <v>2746</v>
      </c>
      <c r="DQ542" s="164">
        <v>550</v>
      </c>
      <c r="DR542" s="531">
        <f t="shared" si="321"/>
        <v>550</v>
      </c>
      <c r="DS542" s="526"/>
      <c r="DT542" s="527">
        <f t="shared" si="322"/>
        <v>550</v>
      </c>
      <c r="DV542" s="738" t="s">
        <v>4637</v>
      </c>
      <c r="DW542" s="166">
        <v>550</v>
      </c>
      <c r="DX542" s="522">
        <f t="shared" si="325"/>
        <v>550</v>
      </c>
      <c r="DY542" s="523"/>
      <c r="DZ542" s="524">
        <f t="shared" si="326"/>
        <v>550</v>
      </c>
      <c r="EH542" s="538"/>
      <c r="EI542" s="539"/>
      <c r="EJ542" s="650"/>
      <c r="EK542" s="651"/>
      <c r="EL542" s="652"/>
    </row>
    <row r="543" spans="51:142">
      <c r="AY543" s="740" t="s">
        <v>2803</v>
      </c>
      <c r="AZ543" s="137" t="s">
        <v>1723</v>
      </c>
      <c r="BA543" s="138" t="str">
        <f t="shared" si="318"/>
        <v>ДП Єва.4/5.б/з фальц.</v>
      </c>
      <c r="BW543" s="741" t="s">
        <v>2797</v>
      </c>
      <c r="BX543" s="248" t="s">
        <v>832</v>
      </c>
      <c r="BY543" s="139" t="str">
        <f t="shared" si="324"/>
        <v>ДП Єва.2/2.Бронза</v>
      </c>
      <c r="CA543" s="424" t="s">
        <v>3289</v>
      </c>
      <c r="CB543" s="62" t="s">
        <v>4319</v>
      </c>
      <c r="CC543" s="139" t="str">
        <f>CONCATENATE(CA543,".",CB543)</f>
        <v>ДП ЛАДА-НОВА.фальц..робоча..Magnet ст +3завіс</v>
      </c>
      <c r="DD543" s="165" t="s">
        <v>734</v>
      </c>
      <c r="DE543" s="166">
        <v>6930</v>
      </c>
      <c r="DF543" s="528">
        <f t="shared" si="315"/>
        <v>6930</v>
      </c>
      <c r="DG543" s="529" t="s">
        <v>6466</v>
      </c>
      <c r="DH543" s="530">
        <f t="shared" ref="DH543:DH561" ca="1" si="327">IF(DG543="",DF543,
IF(AND($DE$10&gt;=VLOOKUP(DG543,$DD$5:$DH$9,2,0),$DE$10&lt;=VLOOKUP(DG543,$DD$5:$DH$9,3,0)),
(DF543*(1-VLOOKUP(DG543,$DD$5:$DH$9,4,0))),
DF543))</f>
        <v>6930</v>
      </c>
      <c r="DP543" s="250" t="s">
        <v>2747</v>
      </c>
      <c r="DQ543" s="166">
        <v>0</v>
      </c>
      <c r="DR543" s="522">
        <f t="shared" si="321"/>
        <v>0</v>
      </c>
      <c r="DS543" s="523"/>
      <c r="DT543" s="524">
        <f t="shared" si="322"/>
        <v>0</v>
      </c>
      <c r="DV543" s="738" t="s">
        <v>4638</v>
      </c>
      <c r="DW543" s="166">
        <v>550</v>
      </c>
      <c r="DX543" s="522">
        <f t="shared" si="325"/>
        <v>550</v>
      </c>
      <c r="DY543" s="523"/>
      <c r="DZ543" s="524">
        <f t="shared" si="326"/>
        <v>550</v>
      </c>
      <c r="EH543" s="738" t="s">
        <v>5001</v>
      </c>
      <c r="EI543" s="166">
        <v>0</v>
      </c>
      <c r="EJ543" s="522">
        <f t="shared" ref="EJ543:EJ558" si="328">ROUND(((EI543-(EI543/6))/$DD$3)*$DE$3,2)</f>
        <v>0</v>
      </c>
      <c r="EK543" s="523"/>
      <c r="EL543" s="524">
        <f t="shared" ref="EL543:EL558" si="329">IF(EK543="",EJ543,
IF(AND($EI$10&gt;=VLOOKUP(EK543,$EH$5:$EL$9,2,0),$EI$10&lt;=VLOOKUP(EK543,$EH$5:$EL$9,3,0)),
(EJ543*(1-VLOOKUP(EK543,$EH$5:$EL$9,4,0))),
EJ543))</f>
        <v>0</v>
      </c>
    </row>
    <row r="544" spans="51:142">
      <c r="AY544" s="741" t="s">
        <v>2803</v>
      </c>
      <c r="AZ544" s="62" t="s">
        <v>1724</v>
      </c>
      <c r="BA544" s="139" t="str">
        <f t="shared" si="318"/>
        <v>ДП Єва.4/5.купе.</v>
      </c>
      <c r="BW544" s="743" t="s">
        <v>2798</v>
      </c>
      <c r="BX544" s="770" t="s">
        <v>4106</v>
      </c>
      <c r="BY544" s="138" t="str">
        <f t="shared" si="324"/>
        <v>ДП Єва.4/0.(ні)</v>
      </c>
      <c r="CA544" s="746" t="s">
        <v>3290</v>
      </c>
      <c r="CB544" s="134" t="s">
        <v>4106</v>
      </c>
      <c r="CC544" s="135" t="str">
        <f>CONCATENATE(CA544,".",CB544)</f>
        <v>ДП ЛАДА-НОВА.фальц..неробоча..(ні)</v>
      </c>
      <c r="DD544" s="108" t="s">
        <v>735</v>
      </c>
      <c r="DE544" s="164">
        <v>6580.0000000000009</v>
      </c>
      <c r="DF544" s="528">
        <f t="shared" si="315"/>
        <v>6580</v>
      </c>
      <c r="DG544" s="529" t="s">
        <v>6466</v>
      </c>
      <c r="DH544" s="530">
        <f t="shared" ca="1" si="327"/>
        <v>6580</v>
      </c>
      <c r="DP544" s="740" t="s">
        <v>3985</v>
      </c>
      <c r="DQ544" s="166">
        <v>550</v>
      </c>
      <c r="DR544" s="522">
        <f t="shared" si="321"/>
        <v>550</v>
      </c>
      <c r="DS544" s="523"/>
      <c r="DT544" s="524">
        <f t="shared" si="322"/>
        <v>550</v>
      </c>
      <c r="DV544" s="738" t="s">
        <v>4639</v>
      </c>
      <c r="DW544" s="166">
        <v>800</v>
      </c>
      <c r="DX544" s="522">
        <f>ROUND(((DW544-(DW544/6))/$DD$3)*$DE$3,2)</f>
        <v>800</v>
      </c>
      <c r="DY544" s="523"/>
      <c r="DZ544" s="524">
        <f>IF(DY544="",DX544,
IF(AND($DW$10&gt;=VLOOKUP(DY544,$DV$5:$DZ$9,2,0),$DW$10&lt;=VLOOKUP(DY544,$DV$5:$DZ$9,3,0)),
(DX544*(1-VLOOKUP(DY544,$DV$5:$DZ$9,4,0))),
DX544))</f>
        <v>800</v>
      </c>
      <c r="EH544" s="739" t="s">
        <v>5002</v>
      </c>
      <c r="EI544" s="164">
        <v>240</v>
      </c>
      <c r="EJ544" s="531">
        <f t="shared" si="328"/>
        <v>240</v>
      </c>
      <c r="EK544" s="526"/>
      <c r="EL544" s="527">
        <f t="shared" si="329"/>
        <v>240</v>
      </c>
    </row>
    <row r="545" spans="51:142">
      <c r="AY545" s="740" t="s">
        <v>2804</v>
      </c>
      <c r="AZ545" s="137" t="s">
        <v>1722</v>
      </c>
      <c r="BA545" s="138" t="str">
        <f t="shared" si="318"/>
        <v>ДП Єва.4/6.фальц.</v>
      </c>
      <c r="BW545" s="744" t="s">
        <v>2799</v>
      </c>
      <c r="BX545" s="246" t="s">
        <v>458</v>
      </c>
      <c r="BY545" s="135" t="str">
        <f t="shared" si="324"/>
        <v>ДП Єва.4/1.Сатин</v>
      </c>
      <c r="CA545" s="742" t="s">
        <v>3290</v>
      </c>
      <c r="CB545" s="21"/>
      <c r="CC545" s="21"/>
      <c r="DD545" s="165" t="s">
        <v>736</v>
      </c>
      <c r="DE545" s="166">
        <v>7670</v>
      </c>
      <c r="DF545" s="528">
        <f t="shared" si="315"/>
        <v>7670</v>
      </c>
      <c r="DG545" s="529" t="s">
        <v>6466</v>
      </c>
      <c r="DH545" s="530">
        <f t="shared" ca="1" si="327"/>
        <v>7670</v>
      </c>
      <c r="DP545" s="249" t="s">
        <v>2748</v>
      </c>
      <c r="DQ545" s="164">
        <v>550</v>
      </c>
      <c r="DR545" s="531">
        <f t="shared" si="321"/>
        <v>550</v>
      </c>
      <c r="DS545" s="526"/>
      <c r="DT545" s="527">
        <f t="shared" si="322"/>
        <v>550</v>
      </c>
      <c r="DV545" s="739" t="s">
        <v>4640</v>
      </c>
      <c r="DW545" s="164">
        <v>800</v>
      </c>
      <c r="DX545" s="525">
        <f>ROUND(((DW545-(DW545/6))/$DD$3)*$DE$3,2)</f>
        <v>800</v>
      </c>
      <c r="DY545" s="526"/>
      <c r="DZ545" s="527">
        <f>IF(DY545="",DX545,
IF(AND($DW$10&gt;=VLOOKUP(DY545,$DV$5:$DZ$9,2,0),$DW$10&lt;=VLOOKUP(DY545,$DV$5:$DZ$9,3,0)),
(DX545*(1-VLOOKUP(DY545,$DV$5:$DZ$9,4,0))),
DX545))</f>
        <v>800</v>
      </c>
      <c r="EH545" s="738" t="s">
        <v>3749</v>
      </c>
      <c r="EI545" s="166">
        <v>0</v>
      </c>
      <c r="EJ545" s="522">
        <f t="shared" si="328"/>
        <v>0</v>
      </c>
      <c r="EK545" s="523"/>
      <c r="EL545" s="524">
        <f t="shared" si="329"/>
        <v>0</v>
      </c>
    </row>
    <row r="546" spans="51:142">
      <c r="AY546" s="740" t="s">
        <v>2804</v>
      </c>
      <c r="AZ546" s="137" t="s">
        <v>1723</v>
      </c>
      <c r="BA546" s="138" t="str">
        <f t="shared" si="318"/>
        <v>ДП Єва.4/6.б/з фальц.</v>
      </c>
      <c r="BW546" s="740" t="s">
        <v>2799</v>
      </c>
      <c r="BX546" s="770" t="s">
        <v>3851</v>
      </c>
      <c r="BY546" s="138" t="str">
        <f t="shared" si="324"/>
        <v>ДП Єва.4/1.Графіт</v>
      </c>
      <c r="CA546" s="742" t="s">
        <v>3290</v>
      </c>
      <c r="CB546" s="783" t="s">
        <v>4325</v>
      </c>
      <c r="CC546" s="138" t="str">
        <f>CONCATENATE(CA546,".",CB546)</f>
        <v>ДП ЛАДА-НОВА.фальц..неробоча..Пл Stand +3завіс</v>
      </c>
      <c r="DD546" s="165" t="s">
        <v>737</v>
      </c>
      <c r="DE546" s="166">
        <v>7670</v>
      </c>
      <c r="DF546" s="528">
        <f t="shared" si="315"/>
        <v>7670</v>
      </c>
      <c r="DG546" s="529" t="s">
        <v>6466</v>
      </c>
      <c r="DH546" s="530">
        <f t="shared" ca="1" si="327"/>
        <v>7670</v>
      </c>
      <c r="DP546" s="250" t="s">
        <v>2749</v>
      </c>
      <c r="DQ546" s="166">
        <v>0</v>
      </c>
      <c r="DR546" s="522">
        <f t="shared" si="321"/>
        <v>0</v>
      </c>
      <c r="DS546" s="523"/>
      <c r="DT546" s="524">
        <f t="shared" si="322"/>
        <v>0</v>
      </c>
      <c r="DV546" s="738" t="s">
        <v>6333</v>
      </c>
      <c r="DW546" s="166">
        <v>1</v>
      </c>
      <c r="DX546" s="522">
        <f t="shared" si="325"/>
        <v>1</v>
      </c>
      <c r="DY546" s="523"/>
      <c r="DZ546" s="524">
        <f t="shared" si="326"/>
        <v>1</v>
      </c>
      <c r="EH546" s="739" t="s">
        <v>3750</v>
      </c>
      <c r="EI546" s="164">
        <v>240</v>
      </c>
      <c r="EJ546" s="531">
        <f t="shared" si="328"/>
        <v>240</v>
      </c>
      <c r="EK546" s="526"/>
      <c r="EL546" s="527">
        <f t="shared" si="329"/>
        <v>240</v>
      </c>
    </row>
    <row r="547" spans="51:142">
      <c r="AY547" s="741" t="s">
        <v>2804</v>
      </c>
      <c r="AZ547" s="62" t="s">
        <v>1724</v>
      </c>
      <c r="BA547" s="139" t="str">
        <f t="shared" si="318"/>
        <v>ДП Єва.4/6.купе.</v>
      </c>
      <c r="BW547" s="741" t="s">
        <v>2799</v>
      </c>
      <c r="BX547" s="248" t="s">
        <v>832</v>
      </c>
      <c r="BY547" s="139" t="str">
        <f t="shared" si="324"/>
        <v>ДП Єва.4/1.Бронза</v>
      </c>
      <c r="CA547" s="742" t="s">
        <v>3290</v>
      </c>
      <c r="CB547" s="783" t="s">
        <v>4333</v>
      </c>
      <c r="CC547" s="138" t="str">
        <f>CONCATENATE(CA547,".",CB547)</f>
        <v>ДП ЛАДА-НОВА.фальц..неробоча..Пл Soft +3завіс</v>
      </c>
      <c r="DD547" s="165" t="s">
        <v>738</v>
      </c>
      <c r="DE547" s="166">
        <v>7820</v>
      </c>
      <c r="DF547" s="528">
        <f t="shared" si="315"/>
        <v>7820</v>
      </c>
      <c r="DG547" s="529" t="s">
        <v>6466</v>
      </c>
      <c r="DH547" s="530">
        <f t="shared" ca="1" si="327"/>
        <v>7820</v>
      </c>
      <c r="DP547" s="740" t="s">
        <v>3986</v>
      </c>
      <c r="DQ547" s="166">
        <v>550</v>
      </c>
      <c r="DR547" s="522">
        <f t="shared" si="321"/>
        <v>550</v>
      </c>
      <c r="DS547" s="523"/>
      <c r="DT547" s="524">
        <f t="shared" si="322"/>
        <v>550</v>
      </c>
      <c r="DV547" s="739" t="s">
        <v>6334</v>
      </c>
      <c r="DW547" s="164">
        <v>1</v>
      </c>
      <c r="DX547" s="525">
        <f t="shared" si="325"/>
        <v>1</v>
      </c>
      <c r="DY547" s="526"/>
      <c r="DZ547" s="527">
        <f t="shared" si="326"/>
        <v>1</v>
      </c>
      <c r="EH547" s="738" t="s">
        <v>3751</v>
      </c>
      <c r="EI547" s="166">
        <v>0</v>
      </c>
      <c r="EJ547" s="522">
        <f>ROUND(((EI547-(EI547/6))/$DD$3)*$DE$3,2)</f>
        <v>0</v>
      </c>
      <c r="EK547" s="523"/>
      <c r="EL547" s="524">
        <f>IF(EK547="",EJ547,
IF(AND($EI$10&gt;=VLOOKUP(EK547,$EH$5:$EL$9,2,0),$EI$10&lt;=VLOOKUP(EK547,$EH$5:$EL$9,3,0)),
(EJ547*(1-VLOOKUP(EK547,$EH$5:$EL$9,4,0))),
EJ547))</f>
        <v>0</v>
      </c>
    </row>
    <row r="548" spans="51:142">
      <c r="AY548" s="432"/>
      <c r="AZ548" s="222"/>
      <c r="BA548" s="223"/>
      <c r="BW548" s="744" t="s">
        <v>2800</v>
      </c>
      <c r="BX548" s="246" t="s">
        <v>458</v>
      </c>
      <c r="BY548" s="135" t="str">
        <f t="shared" si="324"/>
        <v>ДП Єва.4/2.Сатин</v>
      </c>
      <c r="CA548" s="424" t="s">
        <v>3290</v>
      </c>
      <c r="CB548" s="152" t="s">
        <v>4336</v>
      </c>
      <c r="CC548" s="139" t="str">
        <f>CONCATENATE(CA548,".",CB548)</f>
        <v>ДП ЛАДА-НОВА.фальц..неробоча..Пл Magnet +3завіс</v>
      </c>
      <c r="DD548" s="165" t="s">
        <v>257</v>
      </c>
      <c r="DE548" s="166">
        <v>7820</v>
      </c>
      <c r="DF548" s="528">
        <f t="shared" si="315"/>
        <v>7820</v>
      </c>
      <c r="DG548" s="529" t="s">
        <v>6466</v>
      </c>
      <c r="DH548" s="530">
        <f t="shared" ca="1" si="327"/>
        <v>7820</v>
      </c>
      <c r="DP548" s="249" t="s">
        <v>2750</v>
      </c>
      <c r="DQ548" s="164">
        <v>550</v>
      </c>
      <c r="DR548" s="531">
        <f t="shared" si="321"/>
        <v>550</v>
      </c>
      <c r="DS548" s="526"/>
      <c r="DT548" s="527">
        <f t="shared" si="322"/>
        <v>550</v>
      </c>
      <c r="DV548" s="737" t="s">
        <v>4641</v>
      </c>
      <c r="DW548" s="163">
        <v>0</v>
      </c>
      <c r="DX548" s="528">
        <f t="shared" si="325"/>
        <v>0</v>
      </c>
      <c r="DY548" s="529"/>
      <c r="DZ548" s="530">
        <f t="shared" si="326"/>
        <v>0</v>
      </c>
      <c r="EH548" s="739" t="s">
        <v>3752</v>
      </c>
      <c r="EI548" s="164">
        <v>240</v>
      </c>
      <c r="EJ548" s="531">
        <f>ROUND(((EI548-(EI548/6))/$DD$3)*$DE$3,2)</f>
        <v>240</v>
      </c>
      <c r="EK548" s="526"/>
      <c r="EL548" s="527">
        <f>IF(EK548="",EJ548,
IF(AND($EI$10&gt;=VLOOKUP(EK548,$EH$5:$EL$9,2,0),$EI$10&lt;=VLOOKUP(EK548,$EH$5:$EL$9,3,0)),
(EJ548*(1-VLOOKUP(EK548,$EH$5:$EL$9,4,0))),
EJ548))</f>
        <v>240</v>
      </c>
    </row>
    <row r="549" spans="51:142">
      <c r="AY549" s="154" t="s">
        <v>1162</v>
      </c>
      <c r="AZ549" s="137" t="s">
        <v>1722</v>
      </c>
      <c r="BA549" s="138" t="str">
        <f>CONCATENATE(AY549,".",AZ549)</f>
        <v>ДП ТРЕНД.5/0.фальц.</v>
      </c>
      <c r="BW549" s="740" t="s">
        <v>2800</v>
      </c>
      <c r="BX549" s="770" t="s">
        <v>3851</v>
      </c>
      <c r="BY549" s="138" t="str">
        <f t="shared" si="324"/>
        <v>ДП Єва.4/2.Графіт</v>
      </c>
      <c r="CA549" s="146" t="s">
        <v>3291</v>
      </c>
      <c r="CB549" s="137" t="s">
        <v>4106</v>
      </c>
      <c r="CC549" s="239" t="str">
        <f>CONCATENATE(CA549,".",CB549)</f>
        <v>ДП ЛАДА-НОВА.б/з фальц..робоча..(ні)</v>
      </c>
      <c r="DD549" s="165" t="s">
        <v>258</v>
      </c>
      <c r="DE549" s="166">
        <v>8550</v>
      </c>
      <c r="DF549" s="528">
        <f t="shared" si="315"/>
        <v>8550</v>
      </c>
      <c r="DG549" s="529" t="s">
        <v>6466</v>
      </c>
      <c r="DH549" s="530">
        <f t="shared" ca="1" si="327"/>
        <v>8550</v>
      </c>
      <c r="DP549" s="250" t="s">
        <v>2751</v>
      </c>
      <c r="DQ549" s="166">
        <v>0</v>
      </c>
      <c r="DR549" s="522">
        <f t="shared" si="321"/>
        <v>0</v>
      </c>
      <c r="DS549" s="523"/>
      <c r="DT549" s="524">
        <f t="shared" si="322"/>
        <v>0</v>
      </c>
      <c r="DV549" s="738" t="s">
        <v>4642</v>
      </c>
      <c r="DW549" s="166">
        <v>0</v>
      </c>
      <c r="DX549" s="522">
        <f t="shared" si="325"/>
        <v>0</v>
      </c>
      <c r="DY549" s="523"/>
      <c r="DZ549" s="524">
        <f t="shared" si="326"/>
        <v>0</v>
      </c>
      <c r="EH549" s="738" t="s">
        <v>3753</v>
      </c>
      <c r="EI549" s="166">
        <v>0</v>
      </c>
      <c r="EJ549" s="522">
        <f>ROUND(((EI549-(EI549/6))/$DD$3)*$DE$3,2)</f>
        <v>0</v>
      </c>
      <c r="EK549" s="523"/>
      <c r="EL549" s="524">
        <f>IF(EK549="",EJ549,
IF(AND($EI$10&gt;=VLOOKUP(EK549,$EH$5:$EL$9,2,0),$EI$10&lt;=VLOOKUP(EK549,$EH$5:$EL$9,3,0)),
(EJ549*(1-VLOOKUP(EK549,$EH$5:$EL$9,4,0))),
EJ549))</f>
        <v>0</v>
      </c>
    </row>
    <row r="550" spans="51:142">
      <c r="AY550" s="154" t="s">
        <v>1162</v>
      </c>
      <c r="AZ550" s="137" t="s">
        <v>1723</v>
      </c>
      <c r="BA550" s="138" t="str">
        <f>CONCATENATE(AY550,".",AZ550)</f>
        <v>ДП ТРЕНД.5/0.б/з фальц.</v>
      </c>
      <c r="BW550" s="741" t="s">
        <v>2800</v>
      </c>
      <c r="BX550" s="248" t="s">
        <v>832</v>
      </c>
      <c r="BY550" s="139" t="str">
        <f t="shared" si="324"/>
        <v>ДП Єва.4/2.Бронза</v>
      </c>
      <c r="CA550" s="146" t="s">
        <v>3291</v>
      </c>
      <c r="CB550" s="97"/>
      <c r="CC550" s="97"/>
      <c r="DD550" s="165" t="s">
        <v>259</v>
      </c>
      <c r="DE550" s="166">
        <v>8550</v>
      </c>
      <c r="DF550" s="528">
        <f t="shared" si="315"/>
        <v>8550</v>
      </c>
      <c r="DG550" s="529" t="s">
        <v>6466</v>
      </c>
      <c r="DH550" s="530">
        <f t="shared" ca="1" si="327"/>
        <v>8550</v>
      </c>
      <c r="DP550" s="740" t="s">
        <v>3987</v>
      </c>
      <c r="DQ550" s="166">
        <v>550</v>
      </c>
      <c r="DR550" s="522">
        <f t="shared" si="321"/>
        <v>550</v>
      </c>
      <c r="DS550" s="523"/>
      <c r="DT550" s="524">
        <f t="shared" si="322"/>
        <v>550</v>
      </c>
      <c r="DV550" s="739" t="s">
        <v>4643</v>
      </c>
      <c r="DW550" s="164">
        <v>0</v>
      </c>
      <c r="DX550" s="531">
        <f>ROUND(((DW550-(DW550/6))/$DD$3)*$DE$3,2)</f>
        <v>0</v>
      </c>
      <c r="DY550" s="526"/>
      <c r="DZ550" s="527">
        <f>IF(DY550="",DX550,
IF(AND($DW$10&gt;=VLOOKUP(DY550,$DV$5:$DZ$9,2,0),$DW$10&lt;=VLOOKUP(DY550,$DV$5:$DZ$9,3,0)),
(DX550*(1-VLOOKUP(DY550,$DV$5:$DZ$9,4,0))),
DX550))</f>
        <v>0</v>
      </c>
      <c r="EH550" s="739" t="s">
        <v>3754</v>
      </c>
      <c r="EI550" s="164">
        <v>230</v>
      </c>
      <c r="EJ550" s="531">
        <f>ROUND(((EI550-(EI550/6))/$DD$3)*$DE$3,2)</f>
        <v>230</v>
      </c>
      <c r="EK550" s="526"/>
      <c r="EL550" s="527">
        <f>IF(EK550="",EJ550,
IF(AND($EI$10&gt;=VLOOKUP(EK550,$EH$5:$EL$9,2,0),$EI$10&lt;=VLOOKUP(EK550,$EH$5:$EL$9,3,0)),
(EJ550*(1-VLOOKUP(EK550,$EH$5:$EL$9,4,0))),
EJ550))</f>
        <v>230</v>
      </c>
    </row>
    <row r="551" spans="51:142">
      <c r="AY551" s="155" t="s">
        <v>1162</v>
      </c>
      <c r="AZ551" s="62" t="s">
        <v>1724</v>
      </c>
      <c r="BA551" s="139" t="str">
        <f>CONCATENATE(AY551,".",AZ551)</f>
        <v>ДП ТРЕНД.5/0.купе.</v>
      </c>
      <c r="BW551" s="744" t="s">
        <v>2801</v>
      </c>
      <c r="BX551" s="246" t="s">
        <v>458</v>
      </c>
      <c r="BY551" s="135" t="str">
        <f t="shared" si="324"/>
        <v>ДП Єва.4/3.Сатин</v>
      </c>
      <c r="CA551" s="146" t="s">
        <v>3291</v>
      </c>
      <c r="CB551" s="478" t="s">
        <v>4337</v>
      </c>
      <c r="CC551" s="239" t="str">
        <f>CONCATENATE(CA551,".",CB551)</f>
        <v>ДП ЛАДА-НОВА.б/з фальц..робоча..Magnet цл б/з завіс.</v>
      </c>
      <c r="DD551" s="165" t="s">
        <v>260</v>
      </c>
      <c r="DE551" s="166">
        <v>7820</v>
      </c>
      <c r="DF551" s="528">
        <f t="shared" si="315"/>
        <v>7820</v>
      </c>
      <c r="DG551" s="529" t="s">
        <v>6466</v>
      </c>
      <c r="DH551" s="530">
        <f t="shared" ca="1" si="327"/>
        <v>7820</v>
      </c>
      <c r="DP551" s="249" t="s">
        <v>2752</v>
      </c>
      <c r="DQ551" s="164">
        <v>550</v>
      </c>
      <c r="DR551" s="531">
        <f t="shared" si="321"/>
        <v>550</v>
      </c>
      <c r="DS551" s="526"/>
      <c r="DT551" s="527">
        <f t="shared" si="322"/>
        <v>550</v>
      </c>
      <c r="DV551" s="739" t="s">
        <v>6335</v>
      </c>
      <c r="DW551" s="164">
        <v>0</v>
      </c>
      <c r="DX551" s="531">
        <f t="shared" si="325"/>
        <v>0</v>
      </c>
      <c r="DY551" s="526"/>
      <c r="DZ551" s="527">
        <f t="shared" si="326"/>
        <v>0</v>
      </c>
      <c r="EH551" s="738" t="s">
        <v>3755</v>
      </c>
      <c r="EI551" s="166">
        <v>0</v>
      </c>
      <c r="EJ551" s="522">
        <f t="shared" si="328"/>
        <v>0</v>
      </c>
      <c r="EK551" s="523"/>
      <c r="EL551" s="524">
        <f t="shared" si="329"/>
        <v>0</v>
      </c>
    </row>
    <row r="552" spans="51:142">
      <c r="AY552" s="154" t="s">
        <v>1163</v>
      </c>
      <c r="AZ552" s="137" t="s">
        <v>1722</v>
      </c>
      <c r="BA552" s="138" t="str">
        <f t="shared" ref="BA552:BA578" si="330">CONCATENATE(AY552,".",AZ552)</f>
        <v>ДП ТРЕНД.5/1.фальц.</v>
      </c>
      <c r="BW552" s="740" t="s">
        <v>2801</v>
      </c>
      <c r="BX552" s="770" t="s">
        <v>3851</v>
      </c>
      <c r="BY552" s="138" t="str">
        <f t="shared" si="324"/>
        <v>ДП Єва.4/3.Графіт</v>
      </c>
      <c r="CA552" s="146" t="s">
        <v>3291</v>
      </c>
      <c r="CB552" s="478" t="s">
        <v>4339</v>
      </c>
      <c r="CC552" s="239" t="str">
        <f>CONCATENATE(CA552,".",CB552)</f>
        <v>ДП ЛАДА-НОВА.б/з фальц..робоча..Magnet ст б/з завіс.</v>
      </c>
      <c r="DD552" s="165" t="s">
        <v>261</v>
      </c>
      <c r="DE552" s="166">
        <v>7480</v>
      </c>
      <c r="DF552" s="528">
        <f t="shared" si="315"/>
        <v>7480</v>
      </c>
      <c r="DG552" s="529" t="s">
        <v>6466</v>
      </c>
      <c r="DH552" s="530">
        <f t="shared" ca="1" si="327"/>
        <v>7480</v>
      </c>
      <c r="DP552" s="250" t="s">
        <v>2753</v>
      </c>
      <c r="DQ552" s="166">
        <v>0</v>
      </c>
      <c r="DR552" s="522">
        <f t="shared" si="321"/>
        <v>0</v>
      </c>
      <c r="DS552" s="523"/>
      <c r="DT552" s="524">
        <f t="shared" si="322"/>
        <v>0</v>
      </c>
      <c r="DV552" s="738" t="s">
        <v>4644</v>
      </c>
      <c r="DW552" s="166">
        <v>800</v>
      </c>
      <c r="DX552" s="522">
        <f t="shared" ref="DX552:DX557" si="331">ROUND(((DW552-(DW552/6))/$DD$3)*$DE$3,2)</f>
        <v>800</v>
      </c>
      <c r="DY552" s="523"/>
      <c r="DZ552" s="524">
        <f t="shared" ref="DZ552:DZ557" si="332">IF(DY552="",DX552,
IF(AND($DW$10&gt;=VLOOKUP(DY552,$DV$5:$DZ$9,2,0),$DW$10&lt;=VLOOKUP(DY552,$DV$5:$DZ$9,3,0)),
(DX552*(1-VLOOKUP(DY552,$DV$5:$DZ$9,4,0))),
DX552))</f>
        <v>800</v>
      </c>
      <c r="EH552" s="739" t="s">
        <v>3756</v>
      </c>
      <c r="EI552" s="164">
        <v>320</v>
      </c>
      <c r="EJ552" s="531">
        <f t="shared" si="328"/>
        <v>320</v>
      </c>
      <c r="EK552" s="526"/>
      <c r="EL552" s="527">
        <f t="shared" si="329"/>
        <v>320</v>
      </c>
    </row>
    <row r="553" spans="51:142">
      <c r="AY553" s="154" t="s">
        <v>1163</v>
      </c>
      <c r="AZ553" s="137" t="s">
        <v>1723</v>
      </c>
      <c r="BA553" s="138" t="str">
        <f t="shared" si="330"/>
        <v>ДП ТРЕНД.5/1.б/з фальц.</v>
      </c>
      <c r="BW553" s="741" t="s">
        <v>2801</v>
      </c>
      <c r="BX553" s="248" t="s">
        <v>832</v>
      </c>
      <c r="BY553" s="139" t="str">
        <f t="shared" si="324"/>
        <v>ДП Єва.4/3.Бронза</v>
      </c>
      <c r="CA553" s="146" t="s">
        <v>3291</v>
      </c>
      <c r="CB553" s="97"/>
      <c r="CC553" s="97"/>
      <c r="DD553" s="108" t="s">
        <v>262</v>
      </c>
      <c r="DE553" s="164">
        <v>7030.0000000000009</v>
      </c>
      <c r="DF553" s="528">
        <f t="shared" si="315"/>
        <v>7030</v>
      </c>
      <c r="DG553" s="529" t="s">
        <v>6466</v>
      </c>
      <c r="DH553" s="530">
        <f t="shared" ca="1" si="327"/>
        <v>7030</v>
      </c>
      <c r="DP553" s="740" t="s">
        <v>3988</v>
      </c>
      <c r="DQ553" s="166">
        <v>550</v>
      </c>
      <c r="DR553" s="522">
        <f t="shared" si="321"/>
        <v>550</v>
      </c>
      <c r="DS553" s="523"/>
      <c r="DT553" s="524">
        <f t="shared" si="322"/>
        <v>550</v>
      </c>
      <c r="DV553" s="738" t="s">
        <v>4645</v>
      </c>
      <c r="DW553" s="166">
        <v>800</v>
      </c>
      <c r="DX553" s="522">
        <f t="shared" si="331"/>
        <v>800</v>
      </c>
      <c r="DY553" s="523"/>
      <c r="DZ553" s="524">
        <f t="shared" si="332"/>
        <v>800</v>
      </c>
      <c r="EH553" s="738" t="s">
        <v>3757</v>
      </c>
      <c r="EI553" s="166">
        <v>0</v>
      </c>
      <c r="EJ553" s="522">
        <f t="shared" si="328"/>
        <v>0</v>
      </c>
      <c r="EK553" s="523"/>
      <c r="EL553" s="524">
        <f t="shared" si="329"/>
        <v>0</v>
      </c>
    </row>
    <row r="554" spans="51:142">
      <c r="AY554" s="155" t="s">
        <v>1163</v>
      </c>
      <c r="AZ554" s="62" t="s">
        <v>1724</v>
      </c>
      <c r="BA554" s="139" t="str">
        <f t="shared" si="330"/>
        <v>ДП ТРЕНД.5/1.купе.</v>
      </c>
      <c r="BW554" s="744" t="s">
        <v>2802</v>
      </c>
      <c r="BX554" s="246" t="s">
        <v>458</v>
      </c>
      <c r="BY554" s="135" t="str">
        <f t="shared" si="324"/>
        <v>ДП Єва.4/4.Сатин</v>
      </c>
      <c r="CA554" s="146" t="s">
        <v>3291</v>
      </c>
      <c r="CB554" s="478" t="s">
        <v>4343</v>
      </c>
      <c r="CC554" s="239" t="str">
        <f>CONCATENATE(CA554,".",CB554)</f>
        <v>ДП ЛАДА-НОВА.б/з фальц..робоча..Magnet цл +2завіс 3D</v>
      </c>
      <c r="DD554" s="738" t="s">
        <v>5202</v>
      </c>
      <c r="DE554" s="166">
        <v>8040</v>
      </c>
      <c r="DF554" s="528">
        <f t="shared" si="315"/>
        <v>8040</v>
      </c>
      <c r="DG554" s="529" t="s">
        <v>6466</v>
      </c>
      <c r="DH554" s="530">
        <f t="shared" ca="1" si="327"/>
        <v>8040</v>
      </c>
      <c r="DP554" s="249" t="s">
        <v>2754</v>
      </c>
      <c r="DQ554" s="164">
        <v>550</v>
      </c>
      <c r="DR554" s="531">
        <f t="shared" si="321"/>
        <v>550</v>
      </c>
      <c r="DS554" s="526"/>
      <c r="DT554" s="527">
        <f t="shared" si="322"/>
        <v>550</v>
      </c>
      <c r="DV554" s="738" t="s">
        <v>4646</v>
      </c>
      <c r="DW554" s="166">
        <v>800</v>
      </c>
      <c r="DX554" s="522">
        <f t="shared" si="331"/>
        <v>800</v>
      </c>
      <c r="DY554" s="523"/>
      <c r="DZ554" s="524">
        <f t="shared" si="332"/>
        <v>800</v>
      </c>
      <c r="EH554" s="739" t="s">
        <v>3758</v>
      </c>
      <c r="EI554" s="164">
        <v>370</v>
      </c>
      <c r="EJ554" s="531">
        <f t="shared" si="328"/>
        <v>370</v>
      </c>
      <c r="EK554" s="526"/>
      <c r="EL554" s="527">
        <f t="shared" si="329"/>
        <v>370</v>
      </c>
    </row>
    <row r="555" spans="51:142">
      <c r="AY555" s="154" t="s">
        <v>1164</v>
      </c>
      <c r="AZ555" s="137" t="s">
        <v>1722</v>
      </c>
      <c r="BA555" s="138" t="str">
        <f t="shared" si="330"/>
        <v>ДП ТРЕНД.5/2.фальц.</v>
      </c>
      <c r="BW555" s="740" t="s">
        <v>2802</v>
      </c>
      <c r="BX555" s="770" t="s">
        <v>3851</v>
      </c>
      <c r="BY555" s="138" t="str">
        <f t="shared" si="324"/>
        <v>ДП Єва.4/4.Графіт</v>
      </c>
      <c r="CA555" s="146" t="s">
        <v>3291</v>
      </c>
      <c r="CB555" s="478" t="s">
        <v>4347</v>
      </c>
      <c r="CC555" s="239" t="str">
        <f>CONCATENATE(CA555,".",CB555)</f>
        <v>ДП ЛАДА-НОВА.б/з фальц..робоча..Magnet ст +2завіс 3D</v>
      </c>
      <c r="DD555" s="738" t="s">
        <v>5203</v>
      </c>
      <c r="DE555" s="166">
        <v>8040</v>
      </c>
      <c r="DF555" s="528">
        <f t="shared" si="315"/>
        <v>8040</v>
      </c>
      <c r="DG555" s="529" t="s">
        <v>6466</v>
      </c>
      <c r="DH555" s="530">
        <f t="shared" ca="1" si="327"/>
        <v>8040</v>
      </c>
      <c r="DP555" s="538"/>
      <c r="DQ555" s="539"/>
      <c r="DR555" s="650"/>
      <c r="DS555" s="651"/>
      <c r="DT555" s="652"/>
      <c r="DV555" s="738" t="s">
        <v>4647</v>
      </c>
      <c r="DW555" s="166">
        <v>800</v>
      </c>
      <c r="DX555" s="522">
        <f t="shared" si="331"/>
        <v>800</v>
      </c>
      <c r="DY555" s="523"/>
      <c r="DZ555" s="524">
        <f t="shared" si="332"/>
        <v>800</v>
      </c>
      <c r="EH555" s="738" t="s">
        <v>5204</v>
      </c>
      <c r="EI555" s="166">
        <v>0</v>
      </c>
      <c r="EJ555" s="522">
        <f>ROUND(((EI555-(EI555/6))/$DD$3)*$DE$3,2)</f>
        <v>0</v>
      </c>
      <c r="EK555" s="523"/>
      <c r="EL555" s="524">
        <f>IF(EK555="",EJ555,
IF(AND($EI$10&gt;=VLOOKUP(EK555,$EH$5:$EL$9,2,0),$EI$10&lt;=VLOOKUP(EK555,$EH$5:$EL$9,3,0)),
(EJ555*(1-VLOOKUP(EK555,$EH$5:$EL$9,4,0))),
EJ555))</f>
        <v>0</v>
      </c>
    </row>
    <row r="556" spans="51:142">
      <c r="AY556" s="154" t="s">
        <v>1164</v>
      </c>
      <c r="AZ556" s="137" t="s">
        <v>1723</v>
      </c>
      <c r="BA556" s="138" t="str">
        <f t="shared" si="330"/>
        <v>ДП ТРЕНД.5/2.б/з фальц.</v>
      </c>
      <c r="BW556" s="741" t="s">
        <v>2802</v>
      </c>
      <c r="BX556" s="248" t="s">
        <v>832</v>
      </c>
      <c r="BY556" s="139" t="str">
        <f t="shared" si="324"/>
        <v>ДП Єва.4/4.Бронза</v>
      </c>
      <c r="CA556" s="146" t="s">
        <v>3291</v>
      </c>
      <c r="CB556" s="97"/>
      <c r="CC556" s="97"/>
      <c r="DD556" s="738" t="s">
        <v>5205</v>
      </c>
      <c r="DE556" s="166">
        <v>8170</v>
      </c>
      <c r="DF556" s="528">
        <f t="shared" si="315"/>
        <v>8170</v>
      </c>
      <c r="DG556" s="529" t="s">
        <v>6466</v>
      </c>
      <c r="DH556" s="530">
        <f t="shared" ca="1" si="327"/>
        <v>8170</v>
      </c>
      <c r="DP556" s="744" t="s">
        <v>2880</v>
      </c>
      <c r="DQ556" s="163">
        <v>0</v>
      </c>
      <c r="DR556" s="528">
        <f t="shared" si="321"/>
        <v>0</v>
      </c>
      <c r="DS556" s="529"/>
      <c r="DT556" s="530">
        <f t="shared" si="322"/>
        <v>0</v>
      </c>
      <c r="DV556" s="738" t="s">
        <v>4648</v>
      </c>
      <c r="DW556" s="166">
        <v>800</v>
      </c>
      <c r="DX556" s="522">
        <f t="shared" si="331"/>
        <v>800</v>
      </c>
      <c r="DY556" s="523"/>
      <c r="DZ556" s="524">
        <f t="shared" si="332"/>
        <v>800</v>
      </c>
      <c r="EH556" s="739" t="s">
        <v>5206</v>
      </c>
      <c r="EI556" s="164">
        <v>400</v>
      </c>
      <c r="EJ556" s="531">
        <f>ROUND(((EI556-(EI556/6))/$DD$3)*$DE$3,2)</f>
        <v>400</v>
      </c>
      <c r="EK556" s="526"/>
      <c r="EL556" s="527">
        <f>IF(EK556="",EJ556,
IF(AND($EI$10&gt;=VLOOKUP(EK556,$EH$5:$EL$9,2,0),$EI$10&lt;=VLOOKUP(EK556,$EH$5:$EL$9,3,0)),
(EJ556*(1-VLOOKUP(EK556,$EH$5:$EL$9,4,0))),
EJ556))</f>
        <v>400</v>
      </c>
    </row>
    <row r="557" spans="51:142">
      <c r="AY557" s="155" t="s">
        <v>1164</v>
      </c>
      <c r="AZ557" s="62" t="s">
        <v>1724</v>
      </c>
      <c r="BA557" s="139" t="str">
        <f t="shared" si="330"/>
        <v>ДП ТРЕНД.5/2.купе.</v>
      </c>
      <c r="BW557" s="744" t="s">
        <v>2803</v>
      </c>
      <c r="BX557" s="246" t="s">
        <v>458</v>
      </c>
      <c r="BY557" s="135" t="str">
        <f t="shared" si="324"/>
        <v>ДП Єва.4/5.Сатин</v>
      </c>
      <c r="CA557" s="146" t="s">
        <v>3291</v>
      </c>
      <c r="CB557" s="478" t="s">
        <v>4349</v>
      </c>
      <c r="CC557" s="239" t="str">
        <f>CONCATENATE(CA557,".",CB557)</f>
        <v>ДП ЛАДА-НОВА.б/з фальц..робоча..Magnet цл +3завіс 3D</v>
      </c>
      <c r="DD557" s="738" t="s">
        <v>5207</v>
      </c>
      <c r="DE557" s="166">
        <v>8170</v>
      </c>
      <c r="DF557" s="528">
        <f t="shared" si="315"/>
        <v>8170</v>
      </c>
      <c r="DG557" s="529" t="s">
        <v>6466</v>
      </c>
      <c r="DH557" s="530">
        <f t="shared" ca="1" si="327"/>
        <v>8170</v>
      </c>
      <c r="DP557" s="740" t="s">
        <v>3989</v>
      </c>
      <c r="DQ557" s="166">
        <v>550</v>
      </c>
      <c r="DR557" s="522">
        <f t="shared" si="321"/>
        <v>550</v>
      </c>
      <c r="DS557" s="523"/>
      <c r="DT557" s="524">
        <f t="shared" si="322"/>
        <v>550</v>
      </c>
      <c r="DV557" s="739" t="s">
        <v>4649</v>
      </c>
      <c r="DW557" s="166">
        <v>800</v>
      </c>
      <c r="DX557" s="531">
        <f t="shared" si="331"/>
        <v>800</v>
      </c>
      <c r="DY557" s="526"/>
      <c r="DZ557" s="527">
        <f t="shared" si="332"/>
        <v>800</v>
      </c>
      <c r="EH557" s="738" t="s">
        <v>3759</v>
      </c>
      <c r="EI557" s="166">
        <v>0</v>
      </c>
      <c r="EJ557" s="522">
        <f t="shared" si="328"/>
        <v>0</v>
      </c>
      <c r="EK557" s="523"/>
      <c r="EL557" s="524">
        <f t="shared" si="329"/>
        <v>0</v>
      </c>
    </row>
    <row r="558" spans="51:142">
      <c r="AY558" s="154" t="s">
        <v>1165</v>
      </c>
      <c r="AZ558" s="137" t="s">
        <v>1722</v>
      </c>
      <c r="BA558" s="138" t="str">
        <f t="shared" si="330"/>
        <v>ДП ТРЕНД.5/3.фальц.</v>
      </c>
      <c r="BW558" s="740" t="s">
        <v>2803</v>
      </c>
      <c r="BX558" s="770" t="s">
        <v>3851</v>
      </c>
      <c r="BY558" s="138" t="str">
        <f t="shared" si="324"/>
        <v>ДП Єва.4/5.Графіт</v>
      </c>
      <c r="CA558" s="147" t="s">
        <v>3291</v>
      </c>
      <c r="CB558" s="590" t="s">
        <v>4350</v>
      </c>
      <c r="CC558" s="240" t="str">
        <f>CONCATENATE(CA558,".",CB558)</f>
        <v>ДП ЛАДА-НОВА.б/з фальц..робоча..Magnet ст +3завіс 3D</v>
      </c>
      <c r="DD558" s="738" t="s">
        <v>5208</v>
      </c>
      <c r="DE558" s="166">
        <v>8610</v>
      </c>
      <c r="DF558" s="528">
        <f t="shared" si="315"/>
        <v>8610</v>
      </c>
      <c r="DG558" s="529" t="s">
        <v>6466</v>
      </c>
      <c r="DH558" s="530">
        <f t="shared" ca="1" si="327"/>
        <v>8610</v>
      </c>
      <c r="DP558" s="741" t="s">
        <v>2881</v>
      </c>
      <c r="DQ558" s="164">
        <v>550</v>
      </c>
      <c r="DR558" s="531">
        <f t="shared" si="321"/>
        <v>550</v>
      </c>
      <c r="DS558" s="526"/>
      <c r="DT558" s="527">
        <f t="shared" si="322"/>
        <v>550</v>
      </c>
      <c r="DV558" s="738" t="s">
        <v>6336</v>
      </c>
      <c r="DW558" s="166">
        <v>1</v>
      </c>
      <c r="DX558" s="522">
        <f t="shared" si="325"/>
        <v>1</v>
      </c>
      <c r="DY558" s="523"/>
      <c r="DZ558" s="524">
        <f t="shared" si="326"/>
        <v>1</v>
      </c>
      <c r="EH558" s="739" t="s">
        <v>3760</v>
      </c>
      <c r="EI558" s="164">
        <v>400</v>
      </c>
      <c r="EJ558" s="531">
        <f t="shared" si="328"/>
        <v>400</v>
      </c>
      <c r="EK558" s="526"/>
      <c r="EL558" s="527">
        <f t="shared" si="329"/>
        <v>400</v>
      </c>
    </row>
    <row r="559" spans="51:142">
      <c r="AY559" s="154" t="s">
        <v>1165</v>
      </c>
      <c r="AZ559" s="137" t="s">
        <v>1723</v>
      </c>
      <c r="BA559" s="138" t="str">
        <f t="shared" si="330"/>
        <v>ДП ТРЕНД.5/3.б/з фальц.</v>
      </c>
      <c r="BW559" s="741" t="s">
        <v>2803</v>
      </c>
      <c r="BX559" s="248" t="s">
        <v>832</v>
      </c>
      <c r="BY559" s="139" t="str">
        <f t="shared" si="324"/>
        <v>ДП Єва.4/5.Бронза</v>
      </c>
      <c r="CA559" s="746" t="s">
        <v>3292</v>
      </c>
      <c r="CB559" s="134" t="s">
        <v>4106</v>
      </c>
      <c r="CC559" s="135" t="str">
        <f>CONCATENATE(CA559,".",CB559)</f>
        <v>ДП ЛАДА-НОВА.купе..робоча..(ні)</v>
      </c>
      <c r="DD559" s="738" t="s">
        <v>5209</v>
      </c>
      <c r="DE559" s="166">
        <v>8610</v>
      </c>
      <c r="DF559" s="528">
        <f t="shared" si="315"/>
        <v>8610</v>
      </c>
      <c r="DG559" s="529" t="s">
        <v>6466</v>
      </c>
      <c r="DH559" s="530">
        <f t="shared" ca="1" si="327"/>
        <v>8610</v>
      </c>
      <c r="DP559" s="741" t="s">
        <v>6056</v>
      </c>
      <c r="DQ559" s="164">
        <v>550</v>
      </c>
      <c r="DR559" s="531">
        <f>ROUND(((DQ559-(DQ559/6))/$DD$3)*$DE$3,2)</f>
        <v>550</v>
      </c>
      <c r="DS559" s="526"/>
      <c r="DT559" s="527">
        <f>IF(DS559="",DR559,
IF(AND($DQ$10&gt;=VLOOKUP(DS559,$DP$5:$DT$9,2,0),$DQ$10&lt;=VLOOKUP(DS559,$DP$5:$DT$9,3,0)),
(DR559*(1-VLOOKUP(DS559,$DP$5:$DT$9,4,0))),
DR559))</f>
        <v>550</v>
      </c>
      <c r="DV559" s="738" t="s">
        <v>6337</v>
      </c>
      <c r="DW559" s="166">
        <v>1</v>
      </c>
      <c r="DX559" s="522">
        <f t="shared" si="325"/>
        <v>1</v>
      </c>
      <c r="DY559" s="523"/>
      <c r="DZ559" s="524">
        <f t="shared" si="326"/>
        <v>1</v>
      </c>
      <c r="EH559" s="538"/>
      <c r="EI559" s="539"/>
      <c r="EJ559" s="650"/>
      <c r="EK559" s="651"/>
      <c r="EL559" s="652"/>
    </row>
    <row r="560" spans="51:142">
      <c r="AY560" s="155" t="s">
        <v>1165</v>
      </c>
      <c r="AZ560" s="62" t="s">
        <v>1724</v>
      </c>
      <c r="BA560" s="139" t="str">
        <f t="shared" si="330"/>
        <v>ДП ТРЕНД.5/3.купе.</v>
      </c>
      <c r="BW560" s="744" t="s">
        <v>2804</v>
      </c>
      <c r="BX560" s="246" t="s">
        <v>458</v>
      </c>
      <c r="BY560" s="135" t="str">
        <f t="shared" si="324"/>
        <v>ДП Єва.4/6.Сатин</v>
      </c>
      <c r="CA560" s="742" t="s">
        <v>3292</v>
      </c>
      <c r="CB560" s="21"/>
      <c r="CC560" s="21"/>
      <c r="DD560" s="738" t="s">
        <v>5210</v>
      </c>
      <c r="DE560" s="166">
        <v>8170</v>
      </c>
      <c r="DF560" s="528">
        <f t="shared" si="315"/>
        <v>8170</v>
      </c>
      <c r="DG560" s="529" t="s">
        <v>6466</v>
      </c>
      <c r="DH560" s="530">
        <f t="shared" ca="1" si="327"/>
        <v>8170</v>
      </c>
      <c r="DP560" s="740" t="s">
        <v>2882</v>
      </c>
      <c r="DQ560" s="166">
        <v>0</v>
      </c>
      <c r="DR560" s="522">
        <f t="shared" si="321"/>
        <v>0</v>
      </c>
      <c r="DS560" s="523"/>
      <c r="DT560" s="524">
        <f t="shared" si="322"/>
        <v>0</v>
      </c>
      <c r="DV560" s="738" t="s">
        <v>6338</v>
      </c>
      <c r="DW560" s="166">
        <v>1</v>
      </c>
      <c r="DX560" s="522">
        <f t="shared" si="325"/>
        <v>1</v>
      </c>
      <c r="DY560" s="523"/>
      <c r="DZ560" s="524">
        <f t="shared" si="326"/>
        <v>1</v>
      </c>
      <c r="EH560" s="738" t="s">
        <v>5003</v>
      </c>
      <c r="EI560" s="166">
        <v>0</v>
      </c>
      <c r="EJ560" s="522">
        <f t="shared" ref="EJ560:EJ575" si="333">ROUND(((EI560-(EI560/6))/$DD$3)*$DE$3,2)</f>
        <v>0</v>
      </c>
      <c r="EK560" s="523"/>
      <c r="EL560" s="524">
        <f t="shared" ref="EL560:EL575" si="334">IF(EK560="",EJ560,
IF(AND($EI$10&gt;=VLOOKUP(EK560,$EH$5:$EL$9,2,0),$EI$10&lt;=VLOOKUP(EK560,$EH$5:$EL$9,3,0)),
(EJ560*(1-VLOOKUP(EK560,$EH$5:$EL$9,4,0))),
EJ560))</f>
        <v>0</v>
      </c>
    </row>
    <row r="561" spans="51:142">
      <c r="AY561" s="154" t="s">
        <v>1166</v>
      </c>
      <c r="AZ561" s="137" t="s">
        <v>1722</v>
      </c>
      <c r="BA561" s="138" t="str">
        <f t="shared" si="330"/>
        <v>ДП ТРЕНД.5/4.фальц.</v>
      </c>
      <c r="BW561" s="740" t="s">
        <v>2804</v>
      </c>
      <c r="BX561" s="770" t="s">
        <v>3851</v>
      </c>
      <c r="BY561" s="138" t="str">
        <f t="shared" si="324"/>
        <v>ДП Єва.4/6.Графіт</v>
      </c>
      <c r="CA561" s="742" t="s">
        <v>3292</v>
      </c>
      <c r="CB561" s="137" t="s">
        <v>462</v>
      </c>
      <c r="CC561" s="138" t="str">
        <f>CONCATENATE(CA561,".",CB561)</f>
        <v>ДП ЛАДА-НОВА.купе..робоча..Ручка-Захват</v>
      </c>
      <c r="DD561" s="738" t="s">
        <v>5211</v>
      </c>
      <c r="DE561" s="166">
        <v>7830</v>
      </c>
      <c r="DF561" s="528">
        <f t="shared" si="315"/>
        <v>7830</v>
      </c>
      <c r="DG561" s="529" t="s">
        <v>6466</v>
      </c>
      <c r="DH561" s="530">
        <f t="shared" ca="1" si="327"/>
        <v>7830</v>
      </c>
      <c r="DP561" s="740" t="s">
        <v>3990</v>
      </c>
      <c r="DQ561" s="166">
        <v>550</v>
      </c>
      <c r="DR561" s="522">
        <f t="shared" si="321"/>
        <v>550</v>
      </c>
      <c r="DS561" s="523"/>
      <c r="DT561" s="524">
        <f t="shared" si="322"/>
        <v>550</v>
      </c>
      <c r="DV561" s="738" t="s">
        <v>6339</v>
      </c>
      <c r="DW561" s="166">
        <v>1</v>
      </c>
      <c r="DX561" s="522">
        <f t="shared" si="325"/>
        <v>1</v>
      </c>
      <c r="DY561" s="523"/>
      <c r="DZ561" s="524">
        <f t="shared" si="326"/>
        <v>1</v>
      </c>
      <c r="EH561" s="739" t="s">
        <v>5004</v>
      </c>
      <c r="EI561" s="164">
        <v>460</v>
      </c>
      <c r="EJ561" s="531">
        <f t="shared" si="333"/>
        <v>460</v>
      </c>
      <c r="EK561" s="526"/>
      <c r="EL561" s="527">
        <f t="shared" si="334"/>
        <v>460</v>
      </c>
    </row>
    <row r="562" spans="51:142">
      <c r="AY562" s="154" t="s">
        <v>1166</v>
      </c>
      <c r="AZ562" s="137" t="s">
        <v>1723</v>
      </c>
      <c r="BA562" s="138" t="str">
        <f t="shared" si="330"/>
        <v>ДП ТРЕНД.5/4.б/з фальц.</v>
      </c>
      <c r="BW562" s="741" t="s">
        <v>2804</v>
      </c>
      <c r="BX562" s="248" t="s">
        <v>832</v>
      </c>
      <c r="BY562" s="139" t="str">
        <f t="shared" si="324"/>
        <v>ДП Єва.4/6.Бронза</v>
      </c>
      <c r="CA562" s="742" t="s">
        <v>3292</v>
      </c>
      <c r="CB562" s="137" t="s">
        <v>684</v>
      </c>
      <c r="CC562" s="138" t="str">
        <f>CONCATENATE(CA562,".",CB562)</f>
        <v>ДП ЛАДА-НОВА.купе..робоча..Ручка-Замок</v>
      </c>
      <c r="DD562" s="739" t="s">
        <v>5212</v>
      </c>
      <c r="DE562" s="164">
        <v>7320</v>
      </c>
      <c r="DF562" s="528">
        <f t="shared" si="315"/>
        <v>7320</v>
      </c>
      <c r="DG562" s="529" t="s">
        <v>6466</v>
      </c>
      <c r="DH562" s="530">
        <f ca="1">IF(DG562="",DF562,
IF(AND($DE$10&gt;=VLOOKUP(DG562,$DD$5:$DH$9,2,0),$DE$10&lt;=VLOOKUP(DG562,$DD$5:$DH$9,3,0)),
(DF562*(1-VLOOKUP(DG562,$DD$5:$DH$9,4,0))),
DF562))</f>
        <v>7320</v>
      </c>
      <c r="DP562" s="741" t="s">
        <v>2883</v>
      </c>
      <c r="DQ562" s="164">
        <v>550</v>
      </c>
      <c r="DR562" s="531">
        <f t="shared" si="321"/>
        <v>550</v>
      </c>
      <c r="DS562" s="526"/>
      <c r="DT562" s="527">
        <f t="shared" si="322"/>
        <v>550</v>
      </c>
      <c r="DV562" s="738" t="s">
        <v>6340</v>
      </c>
      <c r="DW562" s="166">
        <v>1</v>
      </c>
      <c r="DX562" s="522">
        <f t="shared" si="325"/>
        <v>1</v>
      </c>
      <c r="DY562" s="523"/>
      <c r="DZ562" s="524">
        <f t="shared" si="326"/>
        <v>1</v>
      </c>
      <c r="EH562" s="738" t="s">
        <v>3761</v>
      </c>
      <c r="EI562" s="166">
        <v>0</v>
      </c>
      <c r="EJ562" s="522">
        <f t="shared" si="333"/>
        <v>0</v>
      </c>
      <c r="EK562" s="523"/>
      <c r="EL562" s="524">
        <f t="shared" si="334"/>
        <v>0</v>
      </c>
    </row>
    <row r="563" spans="51:142">
      <c r="AY563" s="155" t="s">
        <v>1166</v>
      </c>
      <c r="AZ563" s="62" t="s">
        <v>1724</v>
      </c>
      <c r="BA563" s="139" t="str">
        <f t="shared" si="330"/>
        <v>ДП ТРЕНД.5/4.купе.</v>
      </c>
      <c r="BW563" s="432"/>
      <c r="BX563" s="432"/>
      <c r="BY563" s="432"/>
      <c r="CA563" s="432"/>
      <c r="CB563" s="222"/>
      <c r="CC563" s="223"/>
      <c r="DD563" s="641"/>
      <c r="DE563" s="642"/>
      <c r="DF563" s="643"/>
      <c r="DG563" s="644"/>
      <c r="DH563" s="645"/>
      <c r="DP563" s="740" t="s">
        <v>2884</v>
      </c>
      <c r="DQ563" s="166">
        <v>0</v>
      </c>
      <c r="DR563" s="522">
        <f t="shared" si="321"/>
        <v>0</v>
      </c>
      <c r="DS563" s="523"/>
      <c r="DT563" s="524">
        <f t="shared" si="322"/>
        <v>0</v>
      </c>
      <c r="DV563" s="739" t="s">
        <v>6341</v>
      </c>
      <c r="DW563" s="166">
        <v>1</v>
      </c>
      <c r="DX563" s="531">
        <f t="shared" si="325"/>
        <v>1</v>
      </c>
      <c r="DY563" s="526"/>
      <c r="DZ563" s="527">
        <f t="shared" si="326"/>
        <v>1</v>
      </c>
      <c r="EH563" s="739" t="s">
        <v>3762</v>
      </c>
      <c r="EI563" s="164">
        <v>460</v>
      </c>
      <c r="EJ563" s="531">
        <f t="shared" si="333"/>
        <v>460</v>
      </c>
      <c r="EK563" s="526"/>
      <c r="EL563" s="527">
        <f t="shared" si="334"/>
        <v>460</v>
      </c>
    </row>
    <row r="564" spans="51:142">
      <c r="AY564" s="154" t="s">
        <v>1167</v>
      </c>
      <c r="AZ564" s="137" t="s">
        <v>1722</v>
      </c>
      <c r="BA564" s="138" t="str">
        <f t="shared" si="330"/>
        <v>ДП ТРЕНД.5/5.фальц.</v>
      </c>
      <c r="BW564" s="60" t="s">
        <v>1162</v>
      </c>
      <c r="BX564" s="782" t="s">
        <v>4106</v>
      </c>
      <c r="BY564" s="138" t="str">
        <f t="shared" ref="BY564:BY612" si="335">CONCATENATE(BW564,".",BX564)</f>
        <v>ДП ТРЕНД.5/0.(ні)</v>
      </c>
      <c r="CA564" s="146" t="s">
        <v>3293</v>
      </c>
      <c r="CB564" s="137" t="s">
        <v>4106</v>
      </c>
      <c r="CC564" s="138" t="str">
        <f>CONCATENATE(CA564,".",CB564)</f>
        <v>ДП Міра.фальц..робоча..(ні)</v>
      </c>
      <c r="DD564" s="162" t="s">
        <v>989</v>
      </c>
      <c r="DE564" s="163">
        <v>7490</v>
      </c>
      <c r="DF564" s="528">
        <f t="shared" si="315"/>
        <v>7490</v>
      </c>
      <c r="DG564" s="529"/>
      <c r="DH564" s="530">
        <f>IF(DG564="",DF564,
IF(AND($DE$10&gt;=VLOOKUP(DG564,$DD$5:$DH$9,2,0),$DE$10&lt;=VLOOKUP(DG564,$DD$5:$DH$9,3,0)),
(DF564*(1-VLOOKUP(DG564,$DD$5:$DH$9,4,0))),
DF564))</f>
        <v>7490</v>
      </c>
      <c r="DP564" s="740" t="s">
        <v>3991</v>
      </c>
      <c r="DQ564" s="166">
        <v>550</v>
      </c>
      <c r="DR564" s="522">
        <f t="shared" si="321"/>
        <v>550</v>
      </c>
      <c r="DS564" s="523"/>
      <c r="DT564" s="524">
        <f t="shared" si="322"/>
        <v>550</v>
      </c>
      <c r="DV564" s="162" t="s">
        <v>583</v>
      </c>
      <c r="DW564" s="166">
        <v>0</v>
      </c>
      <c r="DX564" s="537">
        <f t="shared" si="325"/>
        <v>0</v>
      </c>
      <c r="DY564" s="529"/>
      <c r="DZ564" s="530">
        <f t="shared" si="326"/>
        <v>0</v>
      </c>
      <c r="EH564" s="738" t="s">
        <v>3763</v>
      </c>
      <c r="EI564" s="166">
        <v>0</v>
      </c>
      <c r="EJ564" s="522">
        <f>ROUND(((EI564-(EI564/6))/$DD$3)*$DE$3,2)</f>
        <v>0</v>
      </c>
      <c r="EK564" s="523"/>
      <c r="EL564" s="524">
        <f>IF(EK564="",EJ564,
IF(AND($EI$10&gt;=VLOOKUP(EK564,$EH$5:$EL$9,2,0),$EI$10&lt;=VLOOKUP(EK564,$EH$5:$EL$9,3,0)),
(EJ564*(1-VLOOKUP(EK564,$EH$5:$EL$9,4,0))),
EJ564))</f>
        <v>0</v>
      </c>
    </row>
    <row r="565" spans="51:142">
      <c r="AY565" s="154" t="s">
        <v>1167</v>
      </c>
      <c r="AZ565" s="137" t="s">
        <v>1723</v>
      </c>
      <c r="BA565" s="138" t="str">
        <f t="shared" si="330"/>
        <v>ДП ТРЕНД.5/5.б/з фальц.</v>
      </c>
      <c r="BW565" s="251" t="s">
        <v>1163</v>
      </c>
      <c r="BX565" s="246" t="s">
        <v>458</v>
      </c>
      <c r="BY565" s="135" t="str">
        <f t="shared" si="335"/>
        <v>ДП ТРЕНД.5/1.Сатин</v>
      </c>
      <c r="CA565" s="146" t="s">
        <v>3293</v>
      </c>
      <c r="CB565" s="21"/>
      <c r="CC565" s="21"/>
      <c r="DD565" s="165" t="s">
        <v>990</v>
      </c>
      <c r="DE565" s="166">
        <v>7490</v>
      </c>
      <c r="DF565" s="528">
        <f t="shared" si="315"/>
        <v>7490</v>
      </c>
      <c r="DG565" s="523"/>
      <c r="DH565" s="530">
        <f t="shared" ref="DH565:DH608" si="336">IF(DG565="",DF565,
IF(AND($DE$10&gt;=VLOOKUP(DG565,$DD$5:$DH$9,2,0),$DE$10&lt;=VLOOKUP(DG565,$DD$5:$DH$9,3,0)),
(DF565*(1-VLOOKUP(DG565,$DD$5:$DH$9,4,0))),
DF565))</f>
        <v>7490</v>
      </c>
      <c r="DP565" s="741" t="s">
        <v>2885</v>
      </c>
      <c r="DQ565" s="164">
        <v>550</v>
      </c>
      <c r="DR565" s="531">
        <f t="shared" si="321"/>
        <v>550</v>
      </c>
      <c r="DS565" s="526"/>
      <c r="DT565" s="527">
        <f t="shared" si="322"/>
        <v>550</v>
      </c>
      <c r="DV565" s="108" t="s">
        <v>584</v>
      </c>
      <c r="DW565" s="164">
        <v>560</v>
      </c>
      <c r="DX565" s="531">
        <f t="shared" si="325"/>
        <v>560</v>
      </c>
      <c r="DY565" s="526"/>
      <c r="DZ565" s="527">
        <f t="shared" si="326"/>
        <v>560</v>
      </c>
      <c r="EH565" s="739" t="s">
        <v>3764</v>
      </c>
      <c r="EI565" s="164">
        <v>460</v>
      </c>
      <c r="EJ565" s="531">
        <f>ROUND(((EI565-(EI565/6))/$DD$3)*$DE$3,2)</f>
        <v>460</v>
      </c>
      <c r="EK565" s="526"/>
      <c r="EL565" s="527">
        <f>IF(EK565="",EJ565,
IF(AND($EI$10&gt;=VLOOKUP(EK565,$EH$5:$EL$9,2,0),$EI$10&lt;=VLOOKUP(EK565,$EH$5:$EL$9,3,0)),
(EJ565*(1-VLOOKUP(EK565,$EH$5:$EL$9,4,0))),
EJ565))</f>
        <v>460</v>
      </c>
    </row>
    <row r="566" spans="51:142">
      <c r="AY566" s="155" t="s">
        <v>1167</v>
      </c>
      <c r="AZ566" s="62" t="s">
        <v>1724</v>
      </c>
      <c r="BA566" s="139" t="str">
        <f t="shared" si="330"/>
        <v>ДП ТРЕНД.5/5.купе.</v>
      </c>
      <c r="BW566" s="250" t="s">
        <v>1163</v>
      </c>
      <c r="BX566" s="770" t="s">
        <v>3851</v>
      </c>
      <c r="BY566" s="138" t="str">
        <f t="shared" si="335"/>
        <v>ДП ТРЕНД.5/1.Графіт</v>
      </c>
      <c r="CA566" s="146" t="s">
        <v>3293</v>
      </c>
      <c r="CB566" s="783" t="s">
        <v>5754</v>
      </c>
      <c r="CC566" s="138" t="str">
        <f t="shared" ref="CC566:CC571" si="337">CONCATENATE(CA566,".",CB566)</f>
        <v>ДП Міра.фальц..робоча..Stand цл Лів +3завіс</v>
      </c>
      <c r="DD566" s="165" t="s">
        <v>991</v>
      </c>
      <c r="DE566" s="166">
        <v>7490</v>
      </c>
      <c r="DF566" s="528">
        <f t="shared" si="315"/>
        <v>7490</v>
      </c>
      <c r="DG566" s="523"/>
      <c r="DH566" s="530">
        <f t="shared" si="336"/>
        <v>7490</v>
      </c>
      <c r="DP566" s="740" t="s">
        <v>2886</v>
      </c>
      <c r="DQ566" s="166">
        <v>0</v>
      </c>
      <c r="DR566" s="522">
        <f t="shared" si="321"/>
        <v>0</v>
      </c>
      <c r="DS566" s="523"/>
      <c r="DT566" s="524">
        <f t="shared" si="322"/>
        <v>0</v>
      </c>
      <c r="DV566" s="647"/>
      <c r="DW566" s="648"/>
      <c r="DX566" s="654"/>
      <c r="DY566" s="655"/>
      <c r="DZ566" s="656"/>
      <c r="EH566" s="738" t="s">
        <v>3765</v>
      </c>
      <c r="EI566" s="166">
        <v>0</v>
      </c>
      <c r="EJ566" s="522">
        <f>ROUND(((EI566-(EI566/6))/$DD$3)*$DE$3,2)</f>
        <v>0</v>
      </c>
      <c r="EK566" s="523"/>
      <c r="EL566" s="524">
        <f>IF(EK566="",EJ566,
IF(AND($EI$10&gt;=VLOOKUP(EK566,$EH$5:$EL$9,2,0),$EI$10&lt;=VLOOKUP(EK566,$EH$5:$EL$9,3,0)),
(EJ566*(1-VLOOKUP(EK566,$EH$5:$EL$9,4,0))),
EJ566))</f>
        <v>0</v>
      </c>
    </row>
    <row r="567" spans="51:142">
      <c r="AY567" s="154" t="s">
        <v>1168</v>
      </c>
      <c r="AZ567" s="137" t="s">
        <v>1722</v>
      </c>
      <c r="BA567" s="138" t="str">
        <f t="shared" si="330"/>
        <v>ДП ТРЕНД.5А/1.фальц.</v>
      </c>
      <c r="BW567" s="249" t="s">
        <v>1163</v>
      </c>
      <c r="BX567" s="248" t="s">
        <v>832</v>
      </c>
      <c r="BY567" s="139" t="str">
        <f t="shared" si="335"/>
        <v>ДП ТРЕНД.5/1.Бронза</v>
      </c>
      <c r="CA567" s="146" t="s">
        <v>3293</v>
      </c>
      <c r="CB567" s="783" t="s">
        <v>5755</v>
      </c>
      <c r="CC567" s="138" t="str">
        <f t="shared" si="337"/>
        <v>ДП Міра.фальц..робоча..Stand цл Пр +3завіс</v>
      </c>
      <c r="DD567" s="165" t="s">
        <v>992</v>
      </c>
      <c r="DE567" s="166">
        <v>7490</v>
      </c>
      <c r="DF567" s="528">
        <f t="shared" si="315"/>
        <v>7490</v>
      </c>
      <c r="DG567" s="523"/>
      <c r="DH567" s="530">
        <f t="shared" si="336"/>
        <v>7490</v>
      </c>
      <c r="DP567" s="740" t="s">
        <v>3992</v>
      </c>
      <c r="DQ567" s="166">
        <v>550</v>
      </c>
      <c r="DR567" s="522">
        <f t="shared" si="321"/>
        <v>550</v>
      </c>
      <c r="DS567" s="523"/>
      <c r="DT567" s="524">
        <f t="shared" si="322"/>
        <v>550</v>
      </c>
      <c r="DV567" s="736" t="s">
        <v>4162</v>
      </c>
      <c r="DW567" s="105">
        <v>0</v>
      </c>
      <c r="DX567" s="403">
        <f t="shared" ref="DX567:DX596" si="338">ROUND(((DW567-(DW567/6))/$DD$3)*$DE$3,2)</f>
        <v>0</v>
      </c>
      <c r="DY567" s="514"/>
      <c r="DZ567" s="511">
        <f t="shared" ref="DZ567:DZ596" si="339">IF(DY567="",DX567,
IF(AND($DW$10&gt;=VLOOKUP(DY567,$DV$5:$DZ$9,2,0),$DW$10&lt;=VLOOKUP(DY567,$DV$5:$DZ$9,3,0)),
(DX567*(1-VLOOKUP(DY567,$DV$5:$DZ$9,4,0))),
DX567))</f>
        <v>0</v>
      </c>
      <c r="EH567" s="739" t="s">
        <v>3766</v>
      </c>
      <c r="EI567" s="164">
        <v>550</v>
      </c>
      <c r="EJ567" s="531">
        <f>ROUND(((EI567-(EI567/6))/$DD$3)*$DE$3,2)</f>
        <v>550</v>
      </c>
      <c r="EK567" s="526"/>
      <c r="EL567" s="527">
        <f>IF(EK567="",EJ567,
IF(AND($EI$10&gt;=VLOOKUP(EK567,$EH$5:$EL$9,2,0),$EI$10&lt;=VLOOKUP(EK567,$EH$5:$EL$9,3,0)),
(EJ567*(1-VLOOKUP(EK567,$EH$5:$EL$9,4,0))),
EJ567))</f>
        <v>550</v>
      </c>
    </row>
    <row r="568" spans="51:142">
      <c r="AY568" s="154" t="s">
        <v>1168</v>
      </c>
      <c r="AZ568" s="137" t="s">
        <v>1723</v>
      </c>
      <c r="BA568" s="138" t="str">
        <f t="shared" si="330"/>
        <v>ДП ТРЕНД.5А/1.б/з фальц.</v>
      </c>
      <c r="BW568" s="251" t="s">
        <v>1164</v>
      </c>
      <c r="BX568" s="246" t="s">
        <v>458</v>
      </c>
      <c r="BY568" s="135" t="str">
        <f t="shared" si="335"/>
        <v>ДП ТРЕНД.5/2.Сатин</v>
      </c>
      <c r="CA568" s="146" t="s">
        <v>3293</v>
      </c>
      <c r="CB568" s="783" t="s">
        <v>5756</v>
      </c>
      <c r="CC568" s="138" t="str">
        <f t="shared" si="337"/>
        <v>ДП Міра.фальц..робоча..Stand кл Лів +3завіс</v>
      </c>
      <c r="DD568" s="165" t="s">
        <v>993</v>
      </c>
      <c r="DE568" s="166">
        <v>5730</v>
      </c>
      <c r="DF568" s="528">
        <f t="shared" si="315"/>
        <v>5730</v>
      </c>
      <c r="DG568" s="523"/>
      <c r="DH568" s="530">
        <f t="shared" si="336"/>
        <v>5730</v>
      </c>
      <c r="DP568" s="741" t="s">
        <v>2887</v>
      </c>
      <c r="DQ568" s="164">
        <v>550</v>
      </c>
      <c r="DR568" s="531">
        <f t="shared" si="321"/>
        <v>550</v>
      </c>
      <c r="DS568" s="526"/>
      <c r="DT568" s="527">
        <f t="shared" si="322"/>
        <v>550</v>
      </c>
      <c r="DV568" s="737" t="s">
        <v>5862</v>
      </c>
      <c r="DW568" s="163">
        <v>0</v>
      </c>
      <c r="DX568" s="528">
        <f t="shared" si="338"/>
        <v>0</v>
      </c>
      <c r="DY568" s="529"/>
      <c r="DZ568" s="530">
        <f t="shared" si="339"/>
        <v>0</v>
      </c>
      <c r="EH568" s="738" t="s">
        <v>3767</v>
      </c>
      <c r="EI568" s="166">
        <v>0</v>
      </c>
      <c r="EJ568" s="522">
        <f t="shared" si="333"/>
        <v>0</v>
      </c>
      <c r="EK568" s="523"/>
      <c r="EL568" s="524">
        <f t="shared" si="334"/>
        <v>0</v>
      </c>
    </row>
    <row r="569" spans="51:142">
      <c r="AY569" s="155" t="s">
        <v>1168</v>
      </c>
      <c r="AZ569" s="62" t="s">
        <v>1724</v>
      </c>
      <c r="BA569" s="139" t="str">
        <f t="shared" si="330"/>
        <v>ДП ТРЕНД.5А/1.купе.</v>
      </c>
      <c r="BW569" s="250" t="s">
        <v>1164</v>
      </c>
      <c r="BX569" s="770" t="s">
        <v>3851</v>
      </c>
      <c r="BY569" s="138" t="str">
        <f t="shared" si="335"/>
        <v>ДП ТРЕНД.5/2.Графіт</v>
      </c>
      <c r="CA569" s="146" t="s">
        <v>3293</v>
      </c>
      <c r="CB569" s="783" t="s">
        <v>5757</v>
      </c>
      <c r="CC569" s="138" t="str">
        <f t="shared" si="337"/>
        <v>ДП Міра.фальц..робоча..Stand кл Пр +3завіс</v>
      </c>
      <c r="DD569" s="165" t="s">
        <v>994</v>
      </c>
      <c r="DE569" s="166">
        <v>6650</v>
      </c>
      <c r="DF569" s="528">
        <f t="shared" si="315"/>
        <v>6650</v>
      </c>
      <c r="DG569" s="523"/>
      <c r="DH569" s="530">
        <f t="shared" si="336"/>
        <v>6650</v>
      </c>
      <c r="DP569" s="740" t="s">
        <v>2888</v>
      </c>
      <c r="DQ569" s="166">
        <v>0</v>
      </c>
      <c r="DR569" s="522">
        <f t="shared" si="321"/>
        <v>0</v>
      </c>
      <c r="DS569" s="523"/>
      <c r="DT569" s="524">
        <f t="shared" si="322"/>
        <v>0</v>
      </c>
      <c r="DV569" s="737" t="s">
        <v>5863</v>
      </c>
      <c r="DW569" s="163">
        <v>0</v>
      </c>
      <c r="DX569" s="528">
        <f>ROUND(((DW569-(DW569/6))/$DD$3)*$DE$3,2)</f>
        <v>0</v>
      </c>
      <c r="DY569" s="529"/>
      <c r="DZ569" s="530">
        <f>IF(DY569="",DX569,
IF(AND($DW$10&gt;=VLOOKUP(DY569,$DV$5:$DZ$9,2,0),$DW$10&lt;=VLOOKUP(DY569,$DV$5:$DZ$9,3,0)),
(DX569*(1-VLOOKUP(DY569,$DV$5:$DZ$9,4,0))),
DX569))</f>
        <v>0</v>
      </c>
      <c r="EH569" s="739" t="s">
        <v>3768</v>
      </c>
      <c r="EI569" s="164">
        <v>640</v>
      </c>
      <c r="EJ569" s="531">
        <f t="shared" si="333"/>
        <v>640</v>
      </c>
      <c r="EK569" s="526"/>
      <c r="EL569" s="527">
        <f t="shared" si="334"/>
        <v>640</v>
      </c>
    </row>
    <row r="570" spans="51:142">
      <c r="AY570" s="154" t="s">
        <v>1169</v>
      </c>
      <c r="AZ570" s="137" t="s">
        <v>1722</v>
      </c>
      <c r="BA570" s="138" t="str">
        <f t="shared" si="330"/>
        <v>ДП ТРЕНД.5А/2.фальц.</v>
      </c>
      <c r="BW570" s="249" t="s">
        <v>1164</v>
      </c>
      <c r="BX570" s="248" t="s">
        <v>832</v>
      </c>
      <c r="BY570" s="139" t="str">
        <f t="shared" si="335"/>
        <v>ДП ТРЕНД.5/2.Бронза</v>
      </c>
      <c r="CA570" s="146" t="s">
        <v>3293</v>
      </c>
      <c r="CB570" s="783" t="s">
        <v>5758</v>
      </c>
      <c r="CC570" s="138" t="str">
        <f t="shared" si="337"/>
        <v>ДП Міра.фальц..робоча..Stand ст Лів +3завіс</v>
      </c>
      <c r="DD570" s="165" t="s">
        <v>995</v>
      </c>
      <c r="DE570" s="166">
        <v>7290</v>
      </c>
      <c r="DF570" s="528">
        <f t="shared" si="315"/>
        <v>7290</v>
      </c>
      <c r="DG570" s="523"/>
      <c r="DH570" s="530">
        <f t="shared" si="336"/>
        <v>7290</v>
      </c>
      <c r="DP570" s="740" t="s">
        <v>3993</v>
      </c>
      <c r="DQ570" s="166">
        <v>550</v>
      </c>
      <c r="DR570" s="522">
        <f t="shared" si="321"/>
        <v>550</v>
      </c>
      <c r="DS570" s="523"/>
      <c r="DT570" s="524">
        <f t="shared" si="322"/>
        <v>550</v>
      </c>
      <c r="DV570" s="738" t="s">
        <v>5864</v>
      </c>
      <c r="DW570" s="166">
        <v>0</v>
      </c>
      <c r="DX570" s="522">
        <f t="shared" si="338"/>
        <v>0</v>
      </c>
      <c r="DY570" s="523"/>
      <c r="DZ570" s="524">
        <f t="shared" si="339"/>
        <v>0</v>
      </c>
      <c r="EH570" s="738" t="s">
        <v>3769</v>
      </c>
      <c r="EI570" s="166">
        <v>0</v>
      </c>
      <c r="EJ570" s="522">
        <f t="shared" si="333"/>
        <v>0</v>
      </c>
      <c r="EK570" s="523"/>
      <c r="EL570" s="524">
        <f t="shared" si="334"/>
        <v>0</v>
      </c>
    </row>
    <row r="571" spans="51:142">
      <c r="AY571" s="154" t="s">
        <v>1169</v>
      </c>
      <c r="AZ571" s="137" t="s">
        <v>1723</v>
      </c>
      <c r="BA571" s="138" t="str">
        <f t="shared" si="330"/>
        <v>ДП ТРЕНД.5А/2.б/з фальц.</v>
      </c>
      <c r="BW571" s="251" t="s">
        <v>1165</v>
      </c>
      <c r="BX571" s="246" t="s">
        <v>458</v>
      </c>
      <c r="BY571" s="135" t="str">
        <f t="shared" si="335"/>
        <v>ДП ТРЕНД.5/3.Сатин</v>
      </c>
      <c r="CA571" s="146" t="s">
        <v>3293</v>
      </c>
      <c r="CB571" s="783" t="s">
        <v>5759</v>
      </c>
      <c r="CC571" s="138" t="str">
        <f t="shared" si="337"/>
        <v>ДП Міра.фальц..робоча..Stand ст Пр +3завіс</v>
      </c>
      <c r="DD571" s="165" t="s">
        <v>996</v>
      </c>
      <c r="DE571" s="166">
        <v>6650</v>
      </c>
      <c r="DF571" s="528">
        <f t="shared" si="315"/>
        <v>6650</v>
      </c>
      <c r="DG571" s="523"/>
      <c r="DH571" s="530">
        <f t="shared" si="336"/>
        <v>6650</v>
      </c>
      <c r="DP571" s="741" t="s">
        <v>2889</v>
      </c>
      <c r="DQ571" s="164">
        <v>550</v>
      </c>
      <c r="DR571" s="531">
        <f t="shared" si="321"/>
        <v>550</v>
      </c>
      <c r="DS571" s="526"/>
      <c r="DT571" s="527">
        <f t="shared" si="322"/>
        <v>550</v>
      </c>
      <c r="DV571" s="738" t="s">
        <v>5865</v>
      </c>
      <c r="DW571" s="163">
        <v>0</v>
      </c>
      <c r="DX571" s="528">
        <f>ROUND(((DW571-(DW571/6))/$DD$3)*$DE$3,2)</f>
        <v>0</v>
      </c>
      <c r="DY571" s="529"/>
      <c r="DZ571" s="530">
        <f>IF(DY571="",DX571,
IF(AND($DW$10&gt;=VLOOKUP(DY571,$DV$5:$DZ$9,2,0),$DW$10&lt;=VLOOKUP(DY571,$DV$5:$DZ$9,3,0)),
(DX571*(1-VLOOKUP(DY571,$DV$5:$DZ$9,4,0))),
DX571))</f>
        <v>0</v>
      </c>
      <c r="EH571" s="739" t="s">
        <v>3770</v>
      </c>
      <c r="EI571" s="164">
        <v>730</v>
      </c>
      <c r="EJ571" s="531">
        <f t="shared" si="333"/>
        <v>730</v>
      </c>
      <c r="EK571" s="526"/>
      <c r="EL571" s="527">
        <f t="shared" si="334"/>
        <v>730</v>
      </c>
    </row>
    <row r="572" spans="51:142">
      <c r="AY572" s="155" t="s">
        <v>1169</v>
      </c>
      <c r="AZ572" s="62" t="s">
        <v>1724</v>
      </c>
      <c r="BA572" s="139" t="str">
        <f t="shared" si="330"/>
        <v>ДП ТРЕНД.5А/2.купе.</v>
      </c>
      <c r="BW572" s="250" t="s">
        <v>1165</v>
      </c>
      <c r="BX572" s="770" t="s">
        <v>3851</v>
      </c>
      <c r="BY572" s="138" t="str">
        <f t="shared" si="335"/>
        <v>ДП ТРЕНД.5/3.Графіт</v>
      </c>
      <c r="CA572" s="146" t="s">
        <v>3293</v>
      </c>
      <c r="CC572" s="138"/>
      <c r="DD572" s="108" t="s">
        <v>490</v>
      </c>
      <c r="DE572" s="164">
        <v>6650</v>
      </c>
      <c r="DF572" s="528">
        <f t="shared" si="315"/>
        <v>6650</v>
      </c>
      <c r="DG572" s="526"/>
      <c r="DH572" s="530">
        <f t="shared" si="336"/>
        <v>6650</v>
      </c>
      <c r="DP572" s="740" t="s">
        <v>2890</v>
      </c>
      <c r="DQ572" s="166">
        <v>0</v>
      </c>
      <c r="DR572" s="522">
        <f t="shared" si="321"/>
        <v>0</v>
      </c>
      <c r="DS572" s="523"/>
      <c r="DT572" s="524">
        <f t="shared" si="322"/>
        <v>0</v>
      </c>
      <c r="DV572" s="738" t="s">
        <v>5866</v>
      </c>
      <c r="DW572" s="166">
        <v>0</v>
      </c>
      <c r="DX572" s="522">
        <f t="shared" si="338"/>
        <v>0</v>
      </c>
      <c r="DY572" s="523"/>
      <c r="DZ572" s="524">
        <f t="shared" si="339"/>
        <v>0</v>
      </c>
      <c r="EH572" s="738" t="s">
        <v>5213</v>
      </c>
      <c r="EI572" s="166">
        <v>0</v>
      </c>
      <c r="EJ572" s="522">
        <f>ROUND(((EI572-(EI572/6))/$DD$3)*$DE$3,2)</f>
        <v>0</v>
      </c>
      <c r="EK572" s="523"/>
      <c r="EL572" s="524">
        <f>IF(EK572="",EJ572,
IF(AND($EI$10&gt;=VLOOKUP(EK572,$EH$5:$EL$9,2,0),$EI$10&lt;=VLOOKUP(EK572,$EH$5:$EL$9,3,0)),
(EJ572*(1-VLOOKUP(EK572,$EH$5:$EL$9,4,0))),
EJ572))</f>
        <v>0</v>
      </c>
    </row>
    <row r="573" spans="51:142">
      <c r="AY573" s="154" t="s">
        <v>1170</v>
      </c>
      <c r="AZ573" s="137" t="s">
        <v>1722</v>
      </c>
      <c r="BA573" s="138" t="str">
        <f t="shared" si="330"/>
        <v>ДП ТРЕНД.5А/3.фальц.</v>
      </c>
      <c r="BW573" s="249" t="s">
        <v>1165</v>
      </c>
      <c r="BX573" s="248" t="s">
        <v>832</v>
      </c>
      <c r="BY573" s="139" t="str">
        <f t="shared" si="335"/>
        <v>ДП ТРЕНД.5/3.Бронза</v>
      </c>
      <c r="CA573" s="146" t="s">
        <v>3293</v>
      </c>
      <c r="CB573" s="137" t="s">
        <v>4304</v>
      </c>
      <c r="CC573" s="138" t="str">
        <f>CONCATENATE(CA573,".",CB573)</f>
        <v>ДП Міра.фальц..робоча..Soft цл +3завіс</v>
      </c>
      <c r="DD573" s="165" t="s">
        <v>1965</v>
      </c>
      <c r="DE573" s="166">
        <v>8320</v>
      </c>
      <c r="DF573" s="528">
        <f t="shared" si="315"/>
        <v>8320</v>
      </c>
      <c r="DG573" s="523"/>
      <c r="DH573" s="530">
        <f t="shared" si="336"/>
        <v>8320</v>
      </c>
      <c r="DP573" s="740" t="s">
        <v>3994</v>
      </c>
      <c r="DQ573" s="166">
        <v>550</v>
      </c>
      <c r="DR573" s="522">
        <f t="shared" si="321"/>
        <v>550</v>
      </c>
      <c r="DS573" s="523"/>
      <c r="DT573" s="524">
        <f t="shared" si="322"/>
        <v>550</v>
      </c>
      <c r="DV573" s="738" t="s">
        <v>5867</v>
      </c>
      <c r="DW573" s="163">
        <v>0</v>
      </c>
      <c r="DX573" s="528">
        <f>ROUND(((DW573-(DW573/6))/$DD$3)*$DE$3,2)</f>
        <v>0</v>
      </c>
      <c r="DY573" s="529"/>
      <c r="DZ573" s="530">
        <f>IF(DY573="",DX573,
IF(AND($DW$10&gt;=VLOOKUP(DY573,$DV$5:$DZ$9,2,0),$DW$10&lt;=VLOOKUP(DY573,$DV$5:$DZ$9,3,0)),
(DX573*(1-VLOOKUP(DY573,$DV$5:$DZ$9,4,0))),
DX573))</f>
        <v>0</v>
      </c>
      <c r="EH573" s="739" t="s">
        <v>5214</v>
      </c>
      <c r="EI573" s="164">
        <v>770</v>
      </c>
      <c r="EJ573" s="531">
        <f>ROUND(((EI573-(EI573/6))/$DD$3)*$DE$3,2)</f>
        <v>770</v>
      </c>
      <c r="EK573" s="526"/>
      <c r="EL573" s="527">
        <f>IF(EK573="",EJ573,
IF(AND($EI$10&gt;=VLOOKUP(EK573,$EH$5:$EL$9,2,0),$EI$10&lt;=VLOOKUP(EK573,$EH$5:$EL$9,3,0)),
(EJ573*(1-VLOOKUP(EK573,$EH$5:$EL$9,4,0))),
EJ573))</f>
        <v>770</v>
      </c>
    </row>
    <row r="574" spans="51:142">
      <c r="AY574" s="154" t="s">
        <v>1170</v>
      </c>
      <c r="AZ574" s="137" t="s">
        <v>1723</v>
      </c>
      <c r="BA574" s="138" t="str">
        <f t="shared" si="330"/>
        <v>ДП ТРЕНД.5А/3.б/з фальц.</v>
      </c>
      <c r="BW574" s="251" t="s">
        <v>1166</v>
      </c>
      <c r="BX574" s="246" t="s">
        <v>458</v>
      </c>
      <c r="BY574" s="135" t="str">
        <f t="shared" si="335"/>
        <v>ДП ТРЕНД.5/4.Сатин</v>
      </c>
      <c r="CA574" s="146" t="s">
        <v>3293</v>
      </c>
      <c r="CB574" s="137" t="s">
        <v>4307</v>
      </c>
      <c r="CC574" s="138" t="str">
        <f>CONCATENATE(CA574,".",CB574)</f>
        <v>ДП Міра.фальц..робоча..Soft ст +3завіс</v>
      </c>
      <c r="DD574" s="165" t="s">
        <v>1966</v>
      </c>
      <c r="DE574" s="166">
        <v>8320</v>
      </c>
      <c r="DF574" s="528">
        <f t="shared" si="315"/>
        <v>8320</v>
      </c>
      <c r="DG574" s="523"/>
      <c r="DH574" s="530">
        <f t="shared" si="336"/>
        <v>8320</v>
      </c>
      <c r="DP574" s="741" t="s">
        <v>2891</v>
      </c>
      <c r="DQ574" s="164">
        <v>550</v>
      </c>
      <c r="DR574" s="531">
        <f t="shared" si="321"/>
        <v>550</v>
      </c>
      <c r="DS574" s="526"/>
      <c r="DT574" s="527">
        <f t="shared" si="322"/>
        <v>550</v>
      </c>
      <c r="DV574" s="738" t="s">
        <v>4650</v>
      </c>
      <c r="DW574" s="166">
        <v>550</v>
      </c>
      <c r="DX574" s="522">
        <f t="shared" si="338"/>
        <v>550</v>
      </c>
      <c r="DY574" s="523"/>
      <c r="DZ574" s="524">
        <f t="shared" si="339"/>
        <v>550</v>
      </c>
      <c r="EH574" s="738" t="s">
        <v>3771</v>
      </c>
      <c r="EI574" s="166">
        <v>0</v>
      </c>
      <c r="EJ574" s="522">
        <f t="shared" si="333"/>
        <v>0</v>
      </c>
      <c r="EK574" s="523"/>
      <c r="EL574" s="524">
        <f t="shared" si="334"/>
        <v>0</v>
      </c>
    </row>
    <row r="575" spans="51:142">
      <c r="AY575" s="155" t="s">
        <v>1170</v>
      </c>
      <c r="AZ575" s="62" t="s">
        <v>1724</v>
      </c>
      <c r="BA575" s="139" t="str">
        <f t="shared" si="330"/>
        <v>ДП ТРЕНД.5А/3.купе.</v>
      </c>
      <c r="BW575" s="250" t="s">
        <v>1166</v>
      </c>
      <c r="BX575" s="770" t="s">
        <v>3851</v>
      </c>
      <c r="BY575" s="138" t="str">
        <f t="shared" si="335"/>
        <v>ДП ТРЕНД.5/4.Графіт</v>
      </c>
      <c r="CA575" s="146" t="s">
        <v>3293</v>
      </c>
      <c r="CB575" s="21"/>
      <c r="CC575" s="21"/>
      <c r="DD575" s="165" t="s">
        <v>1967</v>
      </c>
      <c r="DE575" s="166">
        <v>8320</v>
      </c>
      <c r="DF575" s="528">
        <f t="shared" si="315"/>
        <v>8320</v>
      </c>
      <c r="DG575" s="523"/>
      <c r="DH575" s="530">
        <f t="shared" si="336"/>
        <v>8320</v>
      </c>
      <c r="DP575" s="740" t="s">
        <v>2892</v>
      </c>
      <c r="DQ575" s="166">
        <v>0</v>
      </c>
      <c r="DR575" s="522">
        <f t="shared" si="321"/>
        <v>0</v>
      </c>
      <c r="DS575" s="523"/>
      <c r="DT575" s="524">
        <f t="shared" si="322"/>
        <v>0</v>
      </c>
      <c r="DV575" s="738" t="s">
        <v>4651</v>
      </c>
      <c r="DW575" s="166">
        <v>550</v>
      </c>
      <c r="DX575" s="522">
        <f t="shared" si="338"/>
        <v>550</v>
      </c>
      <c r="DY575" s="523"/>
      <c r="DZ575" s="524">
        <f t="shared" si="339"/>
        <v>550</v>
      </c>
      <c r="EH575" s="739" t="s">
        <v>3772</v>
      </c>
      <c r="EI575" s="164">
        <v>770</v>
      </c>
      <c r="EJ575" s="531">
        <f t="shared" si="333"/>
        <v>770</v>
      </c>
      <c r="EK575" s="526"/>
      <c r="EL575" s="527">
        <f t="shared" si="334"/>
        <v>770</v>
      </c>
    </row>
    <row r="576" spans="51:142">
      <c r="AY576" s="154" t="s">
        <v>1171</v>
      </c>
      <c r="AZ576" s="137" t="s">
        <v>1722</v>
      </c>
      <c r="BA576" s="138" t="str">
        <f t="shared" si="330"/>
        <v>ДП ТРЕНД.5Б/3.фальц.</v>
      </c>
      <c r="BW576" s="249" t="s">
        <v>1166</v>
      </c>
      <c r="BX576" s="248" t="s">
        <v>832</v>
      </c>
      <c r="BY576" s="139" t="str">
        <f t="shared" si="335"/>
        <v>ДП ТРЕНД.5/4.Бронза</v>
      </c>
      <c r="CA576" s="146" t="s">
        <v>3293</v>
      </c>
      <c r="CB576" s="137" t="s">
        <v>4316</v>
      </c>
      <c r="CC576" s="138" t="str">
        <f>CONCATENATE(CA576,".",CB576)</f>
        <v>ДП Міра.фальц..робоча..Magnet цл +3завіс</v>
      </c>
      <c r="DD576" s="165" t="s">
        <v>1968</v>
      </c>
      <c r="DE576" s="166">
        <v>8320</v>
      </c>
      <c r="DF576" s="528">
        <f t="shared" si="315"/>
        <v>8320</v>
      </c>
      <c r="DG576" s="523"/>
      <c r="DH576" s="530">
        <f t="shared" si="336"/>
        <v>8320</v>
      </c>
      <c r="DP576" s="740" t="s">
        <v>3995</v>
      </c>
      <c r="DQ576" s="166">
        <v>550</v>
      </c>
      <c r="DR576" s="522">
        <f t="shared" si="321"/>
        <v>550</v>
      </c>
      <c r="DS576" s="523"/>
      <c r="DT576" s="524">
        <f t="shared" si="322"/>
        <v>550</v>
      </c>
      <c r="DV576" s="738" t="s">
        <v>4652</v>
      </c>
      <c r="DW576" s="166">
        <v>800</v>
      </c>
      <c r="DX576" s="522">
        <f>ROUND(((DW576-(DW576/6))/$DD$3)*$DE$3,2)</f>
        <v>800</v>
      </c>
      <c r="DY576" s="523"/>
      <c r="DZ576" s="524">
        <f>IF(DY576="",DX576,
IF(AND($DW$10&gt;=VLOOKUP(DY576,$DV$5:$DZ$9,2,0),$DW$10&lt;=VLOOKUP(DY576,$DV$5:$DZ$9,3,0)),
(DX576*(1-VLOOKUP(DY576,$DV$5:$DZ$9,4,0))),
DX576))</f>
        <v>800</v>
      </c>
      <c r="EH576" s="538"/>
      <c r="EI576" s="539"/>
      <c r="EJ576" s="650"/>
      <c r="EK576" s="651"/>
      <c r="EL576" s="652"/>
    </row>
    <row r="577" spans="51:142">
      <c r="AY577" s="154" t="s">
        <v>1171</v>
      </c>
      <c r="AZ577" s="137" t="s">
        <v>1723</v>
      </c>
      <c r="BA577" s="138" t="str">
        <f t="shared" si="330"/>
        <v>ДП ТРЕНД.5Б/3.б/з фальц.</v>
      </c>
      <c r="BW577" s="251" t="s">
        <v>1167</v>
      </c>
      <c r="BX577" s="246" t="s">
        <v>458</v>
      </c>
      <c r="BY577" s="135" t="str">
        <f t="shared" si="335"/>
        <v>ДП ТРЕНД.5/5.Сатин</v>
      </c>
      <c r="CA577" s="147" t="s">
        <v>3293</v>
      </c>
      <c r="CB577" s="62" t="s">
        <v>4319</v>
      </c>
      <c r="CC577" s="139" t="str">
        <f>CONCATENATE(CA577,".",CB577)</f>
        <v>ДП Міра.фальц..робоча..Magnet ст +3завіс</v>
      </c>
      <c r="DD577" s="165" t="s">
        <v>1969</v>
      </c>
      <c r="DE577" s="166">
        <v>6360</v>
      </c>
      <c r="DF577" s="528">
        <f t="shared" si="315"/>
        <v>6360</v>
      </c>
      <c r="DG577" s="523"/>
      <c r="DH577" s="530">
        <f t="shared" si="336"/>
        <v>6360</v>
      </c>
      <c r="DP577" s="741" t="s">
        <v>2893</v>
      </c>
      <c r="DQ577" s="164">
        <v>550</v>
      </c>
      <c r="DR577" s="531">
        <f t="shared" si="321"/>
        <v>550</v>
      </c>
      <c r="DS577" s="526"/>
      <c r="DT577" s="527">
        <f t="shared" si="322"/>
        <v>550</v>
      </c>
      <c r="DV577" s="739" t="s">
        <v>4653</v>
      </c>
      <c r="DW577" s="164">
        <v>800</v>
      </c>
      <c r="DX577" s="525">
        <f>ROUND(((DW577-(DW577/6))/$DD$3)*$DE$3,2)</f>
        <v>800</v>
      </c>
      <c r="DY577" s="526"/>
      <c r="DZ577" s="527">
        <f>IF(DY577="",DX577,
IF(AND($DW$10&gt;=VLOOKUP(DY577,$DV$5:$DZ$9,2,0),$DW$10&lt;=VLOOKUP(DY577,$DV$5:$DZ$9,3,0)),
(DX577*(1-VLOOKUP(DY577,$DV$5:$DZ$9,4,0))),
DX577))</f>
        <v>800</v>
      </c>
      <c r="EH577" s="538"/>
      <c r="EI577" s="539"/>
      <c r="EJ577" s="650"/>
      <c r="EK577" s="651"/>
      <c r="EL577" s="652"/>
    </row>
    <row r="578" spans="51:142">
      <c r="AY578" s="155" t="s">
        <v>1171</v>
      </c>
      <c r="AZ578" s="62" t="s">
        <v>1724</v>
      </c>
      <c r="BA578" s="139" t="str">
        <f t="shared" si="330"/>
        <v>ДП ТРЕНД.5Б/3.купе.</v>
      </c>
      <c r="BW578" s="250" t="s">
        <v>1167</v>
      </c>
      <c r="BX578" s="770" t="s">
        <v>3851</v>
      </c>
      <c r="BY578" s="138" t="str">
        <f t="shared" si="335"/>
        <v>ДП ТРЕНД.5/5.Графіт</v>
      </c>
      <c r="CA578" s="145" t="s">
        <v>3294</v>
      </c>
      <c r="CB578" s="134" t="s">
        <v>4106</v>
      </c>
      <c r="CC578" s="135" t="str">
        <f>CONCATENATE(CA578,".",CB578)</f>
        <v>ДП Міра.фальц..неробоча..(ні)</v>
      </c>
      <c r="DD578" s="165" t="s">
        <v>1970</v>
      </c>
      <c r="DE578" s="166">
        <v>7380</v>
      </c>
      <c r="DF578" s="528">
        <f t="shared" si="315"/>
        <v>7380</v>
      </c>
      <c r="DG578" s="523"/>
      <c r="DH578" s="530">
        <f t="shared" si="336"/>
        <v>7380</v>
      </c>
      <c r="DP578" s="740" t="s">
        <v>2894</v>
      </c>
      <c r="DQ578" s="166">
        <v>0</v>
      </c>
      <c r="DR578" s="522">
        <f t="shared" si="321"/>
        <v>0</v>
      </c>
      <c r="DS578" s="523"/>
      <c r="DT578" s="524">
        <f t="shared" si="322"/>
        <v>0</v>
      </c>
      <c r="DV578" s="738" t="s">
        <v>6342</v>
      </c>
      <c r="DW578" s="166">
        <v>1</v>
      </c>
      <c r="DX578" s="522">
        <f t="shared" si="338"/>
        <v>1</v>
      </c>
      <c r="DY578" s="523"/>
      <c r="DZ578" s="524">
        <f t="shared" si="339"/>
        <v>1</v>
      </c>
      <c r="EH578" s="738" t="s">
        <v>5005</v>
      </c>
      <c r="EI578" s="166">
        <v>0</v>
      </c>
      <c r="EJ578" s="522">
        <f t="shared" ref="EJ578:EJ593" si="340">ROUND(((EI578-(EI578/6))/$DD$3)*$DE$3,2)</f>
        <v>0</v>
      </c>
      <c r="EK578" s="523"/>
      <c r="EL578" s="524">
        <f t="shared" ref="EL578:EL593" si="341">IF(EK578="",EJ578,
IF(AND($EI$10&gt;=VLOOKUP(EK578,$EH$5:$EL$9,2,0),$EI$10&lt;=VLOOKUP(EK578,$EH$5:$EL$9,3,0)),
(EJ578*(1-VLOOKUP(EK578,$EH$5:$EL$9,4,0))),
EJ578))</f>
        <v>0</v>
      </c>
    </row>
    <row r="579" spans="51:142">
      <c r="AY579" s="432"/>
      <c r="AZ579" s="222"/>
      <c r="BA579" s="223"/>
      <c r="BW579" s="249" t="s">
        <v>1167</v>
      </c>
      <c r="BX579" s="248" t="s">
        <v>832</v>
      </c>
      <c r="BY579" s="139" t="str">
        <f t="shared" si="335"/>
        <v>ДП ТРЕНД.5/5.Бронза</v>
      </c>
      <c r="CA579" s="146" t="s">
        <v>3294</v>
      </c>
      <c r="CB579" s="21"/>
      <c r="CC579" s="21"/>
      <c r="DD579" s="165" t="s">
        <v>1971</v>
      </c>
      <c r="DE579" s="166">
        <v>8100</v>
      </c>
      <c r="DF579" s="528">
        <f t="shared" si="315"/>
        <v>8100</v>
      </c>
      <c r="DG579" s="523"/>
      <c r="DH579" s="530">
        <f t="shared" si="336"/>
        <v>8100</v>
      </c>
      <c r="DP579" s="740" t="s">
        <v>3996</v>
      </c>
      <c r="DQ579" s="166">
        <v>550</v>
      </c>
      <c r="DR579" s="522">
        <f t="shared" si="321"/>
        <v>550</v>
      </c>
      <c r="DS579" s="523"/>
      <c r="DT579" s="524">
        <f t="shared" si="322"/>
        <v>550</v>
      </c>
      <c r="DV579" s="739" t="s">
        <v>6343</v>
      </c>
      <c r="DW579" s="164">
        <v>1</v>
      </c>
      <c r="DX579" s="525">
        <f t="shared" si="338"/>
        <v>1</v>
      </c>
      <c r="DY579" s="526"/>
      <c r="DZ579" s="527">
        <f t="shared" si="339"/>
        <v>1</v>
      </c>
      <c r="EH579" s="739" t="s">
        <v>5006</v>
      </c>
      <c r="EI579" s="164">
        <v>320</v>
      </c>
      <c r="EJ579" s="531">
        <f t="shared" si="340"/>
        <v>320</v>
      </c>
      <c r="EK579" s="526"/>
      <c r="EL579" s="527">
        <f t="shared" si="341"/>
        <v>320</v>
      </c>
    </row>
    <row r="580" spans="51:142">
      <c r="AY580" s="154" t="s">
        <v>1178</v>
      </c>
      <c r="AZ580" s="137" t="s">
        <v>1722</v>
      </c>
      <c r="BA580" s="138" t="str">
        <f t="shared" ref="BA580:BA600" si="342">CONCATENATE(AY580,".",AZ580)</f>
        <v>ДП МОДЕРН.1/0.фальц.</v>
      </c>
      <c r="BW580" s="251" t="s">
        <v>1168</v>
      </c>
      <c r="BX580" s="246" t="s">
        <v>458</v>
      </c>
      <c r="BY580" s="135" t="str">
        <f t="shared" si="335"/>
        <v>ДП ТРЕНД.5А/1.Сатин</v>
      </c>
      <c r="CA580" s="146" t="s">
        <v>3294</v>
      </c>
      <c r="CB580" s="783" t="s">
        <v>4325</v>
      </c>
      <c r="CC580" s="138" t="str">
        <f>CONCATENATE(CA580,".",CB580)</f>
        <v>ДП Міра.фальц..неробоча..Пл Stand +3завіс</v>
      </c>
      <c r="DD580" s="165" t="s">
        <v>1972</v>
      </c>
      <c r="DE580" s="166">
        <v>7380</v>
      </c>
      <c r="DF580" s="528">
        <f t="shared" si="315"/>
        <v>7380</v>
      </c>
      <c r="DG580" s="523"/>
      <c r="DH580" s="530">
        <f t="shared" si="336"/>
        <v>7380</v>
      </c>
      <c r="DP580" s="741" t="s">
        <v>2895</v>
      </c>
      <c r="DQ580" s="164">
        <v>550</v>
      </c>
      <c r="DR580" s="531">
        <f t="shared" si="321"/>
        <v>550</v>
      </c>
      <c r="DS580" s="526"/>
      <c r="DT580" s="527">
        <f t="shared" si="322"/>
        <v>550</v>
      </c>
      <c r="DV580" s="737" t="s">
        <v>4654</v>
      </c>
      <c r="DW580" s="163">
        <v>0</v>
      </c>
      <c r="DX580" s="528">
        <f t="shared" si="338"/>
        <v>0</v>
      </c>
      <c r="DY580" s="529"/>
      <c r="DZ580" s="530">
        <f t="shared" si="339"/>
        <v>0</v>
      </c>
      <c r="EH580" s="738" t="s">
        <v>3773</v>
      </c>
      <c r="EI580" s="166">
        <v>0</v>
      </c>
      <c r="EJ580" s="522">
        <f t="shared" si="340"/>
        <v>0</v>
      </c>
      <c r="EK580" s="523"/>
      <c r="EL580" s="524">
        <f t="shared" si="341"/>
        <v>0</v>
      </c>
    </row>
    <row r="581" spans="51:142">
      <c r="AY581" s="154" t="s">
        <v>1178</v>
      </c>
      <c r="AZ581" s="137" t="s">
        <v>1723</v>
      </c>
      <c r="BA581" s="138" t="str">
        <f t="shared" si="342"/>
        <v>ДП МОДЕРН.1/0.б/з фальц.</v>
      </c>
      <c r="BW581" s="250" t="s">
        <v>1168</v>
      </c>
      <c r="BX581" s="770" t="s">
        <v>3851</v>
      </c>
      <c r="BY581" s="138" t="str">
        <f t="shared" si="335"/>
        <v>ДП ТРЕНД.5А/1.Графіт</v>
      </c>
      <c r="CA581" s="146" t="s">
        <v>3294</v>
      </c>
      <c r="CB581" s="783" t="s">
        <v>4333</v>
      </c>
      <c r="CC581" s="138" t="str">
        <f>CONCATENATE(CA581,".",CB581)</f>
        <v>ДП Міра.фальц..неробоча..Пл Soft +3завіс</v>
      </c>
      <c r="DD581" s="108" t="s">
        <v>1973</v>
      </c>
      <c r="DE581" s="164">
        <v>7380</v>
      </c>
      <c r="DF581" s="528">
        <f t="shared" si="315"/>
        <v>7380</v>
      </c>
      <c r="DG581" s="526"/>
      <c r="DH581" s="530">
        <f t="shared" si="336"/>
        <v>7380</v>
      </c>
      <c r="DP581" s="740" t="s">
        <v>2896</v>
      </c>
      <c r="DQ581" s="166">
        <v>0</v>
      </c>
      <c r="DR581" s="522">
        <f t="shared" si="321"/>
        <v>0</v>
      </c>
      <c r="DS581" s="523"/>
      <c r="DT581" s="524">
        <f t="shared" si="322"/>
        <v>0</v>
      </c>
      <c r="DV581" s="738" t="s">
        <v>4655</v>
      </c>
      <c r="DW581" s="166">
        <v>0</v>
      </c>
      <c r="DX581" s="522">
        <f t="shared" si="338"/>
        <v>0</v>
      </c>
      <c r="DY581" s="523"/>
      <c r="DZ581" s="524">
        <f t="shared" si="339"/>
        <v>0</v>
      </c>
      <c r="EH581" s="739" t="s">
        <v>3774</v>
      </c>
      <c r="EI581" s="164">
        <v>320</v>
      </c>
      <c r="EJ581" s="531">
        <f t="shared" si="340"/>
        <v>320</v>
      </c>
      <c r="EK581" s="526"/>
      <c r="EL581" s="527">
        <f t="shared" si="341"/>
        <v>320</v>
      </c>
    </row>
    <row r="582" spans="51:142">
      <c r="AY582" s="155" t="s">
        <v>1178</v>
      </c>
      <c r="AZ582" s="62" t="s">
        <v>1724</v>
      </c>
      <c r="BA582" s="139" t="str">
        <f t="shared" si="342"/>
        <v>ДП МОДЕРН.1/0.купе.</v>
      </c>
      <c r="BW582" s="249" t="s">
        <v>1168</v>
      </c>
      <c r="BX582" s="248" t="s">
        <v>832</v>
      </c>
      <c r="BY582" s="139" t="str">
        <f t="shared" si="335"/>
        <v>ДП ТРЕНД.5А/1.Бронза</v>
      </c>
      <c r="CA582" s="147" t="s">
        <v>3294</v>
      </c>
      <c r="CB582" s="152" t="s">
        <v>4336</v>
      </c>
      <c r="CC582" s="139" t="str">
        <f>CONCATENATE(CA582,".",CB582)</f>
        <v>ДП Міра.фальц..неробоча..Пл Magnet +3завіс</v>
      </c>
      <c r="DD582" s="165" t="s">
        <v>434</v>
      </c>
      <c r="DE582" s="166">
        <v>8650</v>
      </c>
      <c r="DF582" s="528">
        <f t="shared" si="315"/>
        <v>8650</v>
      </c>
      <c r="DG582" s="523"/>
      <c r="DH582" s="530">
        <f t="shared" si="336"/>
        <v>8650</v>
      </c>
      <c r="DP582" s="740" t="s">
        <v>3997</v>
      </c>
      <c r="DQ582" s="166">
        <v>550</v>
      </c>
      <c r="DR582" s="522">
        <f t="shared" si="321"/>
        <v>550</v>
      </c>
      <c r="DS582" s="523"/>
      <c r="DT582" s="524">
        <f t="shared" si="322"/>
        <v>550</v>
      </c>
      <c r="DV582" s="739" t="s">
        <v>4656</v>
      </c>
      <c r="DW582" s="164">
        <v>0</v>
      </c>
      <c r="DX582" s="531">
        <f t="shared" ref="DX582:DX588" si="343">ROUND(((DW582-(DW582/6))/$DD$3)*$DE$3,2)</f>
        <v>0</v>
      </c>
      <c r="DY582" s="526"/>
      <c r="DZ582" s="527">
        <f t="shared" ref="DZ582:DZ588" si="344">IF(DY582="",DX582,
IF(AND($DW$10&gt;=VLOOKUP(DY582,$DV$5:$DZ$9,2,0),$DW$10&lt;=VLOOKUP(DY582,$DV$5:$DZ$9,3,0)),
(DX582*(1-VLOOKUP(DY582,$DV$5:$DZ$9,4,0))),
DX582))</f>
        <v>0</v>
      </c>
      <c r="EH582" s="738" t="s">
        <v>3775</v>
      </c>
      <c r="EI582" s="166">
        <v>0</v>
      </c>
      <c r="EJ582" s="522">
        <f>ROUND(((EI582-(EI582/6))/$DD$3)*$DE$3,2)</f>
        <v>0</v>
      </c>
      <c r="EK582" s="523"/>
      <c r="EL582" s="524">
        <f>IF(EK582="",EJ582,
IF(AND($EI$10&gt;=VLOOKUP(EK582,$EH$5:$EL$9,2,0),$EI$10&lt;=VLOOKUP(EK582,$EH$5:$EL$9,3,0)),
(EJ582*(1-VLOOKUP(EK582,$EH$5:$EL$9,4,0))),
EJ582))</f>
        <v>0</v>
      </c>
    </row>
    <row r="583" spans="51:142">
      <c r="AY583" s="154" t="s">
        <v>1179</v>
      </c>
      <c r="AZ583" s="137" t="s">
        <v>1722</v>
      </c>
      <c r="BA583" s="138" t="str">
        <f t="shared" si="342"/>
        <v>ДП МОДЕРН.1/1.фальц.</v>
      </c>
      <c r="BW583" s="251" t="s">
        <v>1169</v>
      </c>
      <c r="BX583" s="246" t="s">
        <v>458</v>
      </c>
      <c r="BY583" s="135" t="str">
        <f t="shared" si="335"/>
        <v>ДП ТРЕНД.5А/2.Сатин</v>
      </c>
      <c r="CA583" s="146" t="s">
        <v>3295</v>
      </c>
      <c r="CB583" s="137" t="s">
        <v>4106</v>
      </c>
      <c r="CC583" s="239" t="str">
        <f>CONCATENATE(CA583,".",CB583)</f>
        <v>ДП Міра.б/з фальц..робоча..(ні)</v>
      </c>
      <c r="DD583" s="165" t="s">
        <v>435</v>
      </c>
      <c r="DE583" s="166">
        <v>8650</v>
      </c>
      <c r="DF583" s="528">
        <f t="shared" ref="DF583:DF608" si="345">ROUND(((DE583-(DE583/6))/$DD$3)*$DE$3,2)</f>
        <v>8650</v>
      </c>
      <c r="DG583" s="523"/>
      <c r="DH583" s="530">
        <f t="shared" si="336"/>
        <v>8650</v>
      </c>
      <c r="DP583" s="741" t="s">
        <v>2897</v>
      </c>
      <c r="DQ583" s="164">
        <v>550</v>
      </c>
      <c r="DR583" s="531">
        <f t="shared" si="321"/>
        <v>550</v>
      </c>
      <c r="DS583" s="526"/>
      <c r="DT583" s="527">
        <f t="shared" si="322"/>
        <v>550</v>
      </c>
      <c r="DV583" s="738" t="s">
        <v>4657</v>
      </c>
      <c r="DW583" s="166">
        <v>800</v>
      </c>
      <c r="DX583" s="522">
        <f t="shared" si="343"/>
        <v>800</v>
      </c>
      <c r="DY583" s="523"/>
      <c r="DZ583" s="524">
        <f t="shared" si="344"/>
        <v>800</v>
      </c>
      <c r="EH583" s="739" t="s">
        <v>3776</v>
      </c>
      <c r="EI583" s="164">
        <v>320</v>
      </c>
      <c r="EJ583" s="531">
        <f>ROUND(((EI583-(EI583/6))/$DD$3)*$DE$3,2)</f>
        <v>320</v>
      </c>
      <c r="EK583" s="526"/>
      <c r="EL583" s="527">
        <f>IF(EK583="",EJ583,
IF(AND($EI$10&gt;=VLOOKUP(EK583,$EH$5:$EL$9,2,0),$EI$10&lt;=VLOOKUP(EK583,$EH$5:$EL$9,3,0)),
(EJ583*(1-VLOOKUP(EK583,$EH$5:$EL$9,4,0))),
EJ583))</f>
        <v>320</v>
      </c>
    </row>
    <row r="584" spans="51:142">
      <c r="AY584" s="154" t="s">
        <v>1179</v>
      </c>
      <c r="AZ584" s="137" t="s">
        <v>1723</v>
      </c>
      <c r="BA584" s="138" t="str">
        <f t="shared" si="342"/>
        <v>ДП МОДЕРН.1/1.б/з фальц.</v>
      </c>
      <c r="BW584" s="250" t="s">
        <v>1169</v>
      </c>
      <c r="BX584" s="770" t="s">
        <v>3851</v>
      </c>
      <c r="BY584" s="138" t="str">
        <f t="shared" si="335"/>
        <v>ДП ТРЕНД.5А/2.Графіт</v>
      </c>
      <c r="CA584" s="146" t="s">
        <v>3295</v>
      </c>
      <c r="CB584" s="97"/>
      <c r="CC584" s="97"/>
      <c r="DD584" s="165" t="s">
        <v>436</v>
      </c>
      <c r="DE584" s="166">
        <v>8650</v>
      </c>
      <c r="DF584" s="528">
        <f t="shared" si="345"/>
        <v>8650</v>
      </c>
      <c r="DG584" s="523"/>
      <c r="DH584" s="530">
        <f t="shared" si="336"/>
        <v>8650</v>
      </c>
      <c r="DP584" s="538"/>
      <c r="DQ584" s="539"/>
      <c r="DR584" s="650"/>
      <c r="DS584" s="651"/>
      <c r="DT584" s="652"/>
      <c r="DV584" s="738" t="s">
        <v>4658</v>
      </c>
      <c r="DW584" s="166">
        <v>800</v>
      </c>
      <c r="DX584" s="522">
        <f t="shared" si="343"/>
        <v>800</v>
      </c>
      <c r="DY584" s="523"/>
      <c r="DZ584" s="524">
        <f t="shared" si="344"/>
        <v>800</v>
      </c>
      <c r="EH584" s="738" t="s">
        <v>3777</v>
      </c>
      <c r="EI584" s="166">
        <v>0</v>
      </c>
      <c r="EJ584" s="522">
        <f>ROUND(((EI584-(EI584/6))/$DD$3)*$DE$3,2)</f>
        <v>0</v>
      </c>
      <c r="EK584" s="523"/>
      <c r="EL584" s="524">
        <f>IF(EK584="",EJ584,
IF(AND($EI$10&gt;=VLOOKUP(EK584,$EH$5:$EL$9,2,0),$EI$10&lt;=VLOOKUP(EK584,$EH$5:$EL$9,3,0)),
(EJ584*(1-VLOOKUP(EK584,$EH$5:$EL$9,4,0))),
EJ584))</f>
        <v>0</v>
      </c>
    </row>
    <row r="585" spans="51:142">
      <c r="AY585" s="155" t="s">
        <v>1179</v>
      </c>
      <c r="AZ585" s="62" t="s">
        <v>1724</v>
      </c>
      <c r="BA585" s="139" t="str">
        <f t="shared" si="342"/>
        <v>ДП МОДЕРН.1/1.купе.</v>
      </c>
      <c r="BW585" s="249" t="s">
        <v>1169</v>
      </c>
      <c r="BX585" s="248" t="s">
        <v>832</v>
      </c>
      <c r="BY585" s="139" t="str">
        <f t="shared" si="335"/>
        <v>ДП ТРЕНД.5А/2.Бронза</v>
      </c>
      <c r="CA585" s="146" t="s">
        <v>3295</v>
      </c>
      <c r="CB585" s="478" t="s">
        <v>4337</v>
      </c>
      <c r="CC585" s="239" t="str">
        <f>CONCATENATE(CA585,".",CB585)</f>
        <v>ДП Міра.б/з фальц..робоча..Magnet цл б/з завіс.</v>
      </c>
      <c r="DD585" s="165" t="s">
        <v>437</v>
      </c>
      <c r="DE585" s="166">
        <v>8650</v>
      </c>
      <c r="DF585" s="528">
        <f t="shared" si="345"/>
        <v>8650</v>
      </c>
      <c r="DG585" s="523"/>
      <c r="DH585" s="530">
        <f t="shared" si="336"/>
        <v>8650</v>
      </c>
      <c r="DP585" s="744" t="s">
        <v>2807</v>
      </c>
      <c r="DQ585" s="163">
        <v>0</v>
      </c>
      <c r="DR585" s="528">
        <f t="shared" ref="DR585:DR613" si="346">ROUND(((DQ585-(DQ585/6))/$DD$3)*$DE$3,2)</f>
        <v>0</v>
      </c>
      <c r="DS585" s="529"/>
      <c r="DT585" s="530">
        <f t="shared" ref="DT585:DT613" si="347">IF(DS585="",DR585,
IF(AND($DQ$10&gt;=VLOOKUP(DS585,$DP$5:$DT$9,2,0),$DQ$10&lt;=VLOOKUP(DS585,$DP$5:$DT$9,3,0)),
(DR585*(1-VLOOKUP(DS585,$DP$5:$DT$9,4,0))),
DR585))</f>
        <v>0</v>
      </c>
      <c r="DV585" s="738" t="s">
        <v>4659</v>
      </c>
      <c r="DW585" s="166">
        <v>800</v>
      </c>
      <c r="DX585" s="522">
        <f t="shared" si="343"/>
        <v>800</v>
      </c>
      <c r="DY585" s="523"/>
      <c r="DZ585" s="524">
        <f t="shared" si="344"/>
        <v>800</v>
      </c>
      <c r="EH585" s="739" t="s">
        <v>3778</v>
      </c>
      <c r="EI585" s="164">
        <v>380</v>
      </c>
      <c r="EJ585" s="531">
        <f>ROUND(((EI585-(EI585/6))/$DD$3)*$DE$3,2)</f>
        <v>380</v>
      </c>
      <c r="EK585" s="526"/>
      <c r="EL585" s="527">
        <f>IF(EK585="",EJ585,
IF(AND($EI$10&gt;=VLOOKUP(EK585,$EH$5:$EL$9,2,0),$EI$10&lt;=VLOOKUP(EK585,$EH$5:$EL$9,3,0)),
(EJ585*(1-VLOOKUP(EK585,$EH$5:$EL$9,4,0))),
EJ585))</f>
        <v>380</v>
      </c>
    </row>
    <row r="586" spans="51:142">
      <c r="AY586" s="154" t="s">
        <v>1172</v>
      </c>
      <c r="AZ586" s="137" t="s">
        <v>1722</v>
      </c>
      <c r="BA586" s="138" t="str">
        <f t="shared" si="342"/>
        <v>ДП МОДЕРН.3/0.фальц.</v>
      </c>
      <c r="BW586" s="251" t="s">
        <v>1170</v>
      </c>
      <c r="BX586" s="246" t="s">
        <v>458</v>
      </c>
      <c r="BY586" s="135" t="str">
        <f t="shared" si="335"/>
        <v>ДП ТРЕНД.5А/3.Сатин</v>
      </c>
      <c r="CA586" s="146" t="s">
        <v>3295</v>
      </c>
      <c r="CB586" s="478" t="s">
        <v>4339</v>
      </c>
      <c r="CC586" s="239" t="str">
        <f>CONCATENATE(CA586,".",CB586)</f>
        <v>ДП Міра.б/з фальц..робоча..Magnet ст б/з завіс.</v>
      </c>
      <c r="DD586" s="165" t="s">
        <v>263</v>
      </c>
      <c r="DE586" s="166">
        <v>6720</v>
      </c>
      <c r="DF586" s="528">
        <f t="shared" si="345"/>
        <v>6720</v>
      </c>
      <c r="DG586" s="523"/>
      <c r="DH586" s="530">
        <f t="shared" si="336"/>
        <v>6720</v>
      </c>
      <c r="DP586" s="740" t="s">
        <v>3998</v>
      </c>
      <c r="DQ586" s="166">
        <v>550</v>
      </c>
      <c r="DR586" s="522">
        <f t="shared" si="346"/>
        <v>550</v>
      </c>
      <c r="DS586" s="523"/>
      <c r="DT586" s="524">
        <f t="shared" si="347"/>
        <v>550</v>
      </c>
      <c r="DV586" s="738" t="s">
        <v>4660</v>
      </c>
      <c r="DW586" s="166">
        <v>800</v>
      </c>
      <c r="DX586" s="522">
        <f t="shared" si="343"/>
        <v>800</v>
      </c>
      <c r="DY586" s="523"/>
      <c r="DZ586" s="524">
        <f t="shared" si="344"/>
        <v>800</v>
      </c>
      <c r="EH586" s="738" t="s">
        <v>3779</v>
      </c>
      <c r="EI586" s="166">
        <v>0</v>
      </c>
      <c r="EJ586" s="522">
        <f t="shared" si="340"/>
        <v>0</v>
      </c>
      <c r="EK586" s="523"/>
      <c r="EL586" s="524">
        <f t="shared" si="341"/>
        <v>0</v>
      </c>
    </row>
    <row r="587" spans="51:142">
      <c r="AY587" s="154" t="s">
        <v>1172</v>
      </c>
      <c r="AZ587" s="137" t="s">
        <v>1723</v>
      </c>
      <c r="BA587" s="138" t="str">
        <f t="shared" si="342"/>
        <v>ДП МОДЕРН.3/0.б/з фальц.</v>
      </c>
      <c r="BW587" s="250" t="s">
        <v>1170</v>
      </c>
      <c r="BX587" s="770" t="s">
        <v>3851</v>
      </c>
      <c r="BY587" s="138" t="str">
        <f t="shared" si="335"/>
        <v>ДП ТРЕНД.5А/3.Графіт</v>
      </c>
      <c r="CA587" s="146" t="s">
        <v>3295</v>
      </c>
      <c r="CB587" s="97"/>
      <c r="CC587" s="97"/>
      <c r="DD587" s="165" t="s">
        <v>264</v>
      </c>
      <c r="DE587" s="166">
        <v>7780</v>
      </c>
      <c r="DF587" s="528">
        <f t="shared" si="345"/>
        <v>7780</v>
      </c>
      <c r="DG587" s="523"/>
      <c r="DH587" s="530">
        <f t="shared" si="336"/>
        <v>7780</v>
      </c>
      <c r="DP587" s="741" t="s">
        <v>2808</v>
      </c>
      <c r="DQ587" s="164">
        <v>550</v>
      </c>
      <c r="DR587" s="531">
        <f t="shared" si="346"/>
        <v>550</v>
      </c>
      <c r="DS587" s="526"/>
      <c r="DT587" s="527">
        <f t="shared" si="347"/>
        <v>550</v>
      </c>
      <c r="DV587" s="738" t="s">
        <v>4661</v>
      </c>
      <c r="DW587" s="166">
        <v>800</v>
      </c>
      <c r="DX587" s="522">
        <f t="shared" si="343"/>
        <v>800</v>
      </c>
      <c r="DY587" s="523"/>
      <c r="DZ587" s="524">
        <f t="shared" si="344"/>
        <v>800</v>
      </c>
      <c r="EH587" s="739" t="s">
        <v>3780</v>
      </c>
      <c r="EI587" s="164">
        <v>400</v>
      </c>
      <c r="EJ587" s="531">
        <f t="shared" si="340"/>
        <v>400</v>
      </c>
      <c r="EK587" s="526"/>
      <c r="EL587" s="527">
        <f t="shared" si="341"/>
        <v>400</v>
      </c>
    </row>
    <row r="588" spans="51:142">
      <c r="AY588" s="155" t="s">
        <v>1172</v>
      </c>
      <c r="AZ588" s="62" t="s">
        <v>1724</v>
      </c>
      <c r="BA588" s="139" t="str">
        <f t="shared" si="342"/>
        <v>ДП МОДЕРН.3/0.купе.</v>
      </c>
      <c r="BW588" s="249" t="s">
        <v>1170</v>
      </c>
      <c r="BX588" s="248" t="s">
        <v>832</v>
      </c>
      <c r="BY588" s="139" t="str">
        <f t="shared" si="335"/>
        <v>ДП ТРЕНД.5А/3.Бронза</v>
      </c>
      <c r="CA588" s="146" t="s">
        <v>3295</v>
      </c>
      <c r="CB588" s="478" t="s">
        <v>4343</v>
      </c>
      <c r="CC588" s="239" t="str">
        <f>CONCATENATE(CA588,".",CB588)</f>
        <v>ДП Міра.б/з фальц..робоча..Magnet цл +2завіс 3D</v>
      </c>
      <c r="DD588" s="165" t="s">
        <v>265</v>
      </c>
      <c r="DE588" s="166">
        <v>8620</v>
      </c>
      <c r="DF588" s="528">
        <f t="shared" si="345"/>
        <v>8620</v>
      </c>
      <c r="DG588" s="523"/>
      <c r="DH588" s="530">
        <f t="shared" si="336"/>
        <v>8620</v>
      </c>
      <c r="DP588" s="741" t="s">
        <v>6057</v>
      </c>
      <c r="DQ588" s="164">
        <v>550</v>
      </c>
      <c r="DR588" s="531">
        <f>ROUND(((DQ588-(DQ588/6))/$DD$3)*$DE$3,2)</f>
        <v>550</v>
      </c>
      <c r="DS588" s="526"/>
      <c r="DT588" s="527">
        <f>IF(DS588="",DR588,
IF(AND($DQ$10&gt;=VLOOKUP(DS588,$DP$5:$DT$9,2,0),$DQ$10&lt;=VLOOKUP(DS588,$DP$5:$DT$9,3,0)),
(DR588*(1-VLOOKUP(DS588,$DP$5:$DT$9,4,0))),
DR588))</f>
        <v>550</v>
      </c>
      <c r="DV588" s="739" t="s">
        <v>4662</v>
      </c>
      <c r="DW588" s="166">
        <v>800</v>
      </c>
      <c r="DX588" s="525">
        <f t="shared" si="343"/>
        <v>800</v>
      </c>
      <c r="DY588" s="526"/>
      <c r="DZ588" s="527">
        <f t="shared" si="344"/>
        <v>800</v>
      </c>
      <c r="EH588" s="738" t="s">
        <v>3781</v>
      </c>
      <c r="EI588" s="166">
        <v>0</v>
      </c>
      <c r="EJ588" s="522">
        <f t="shared" si="340"/>
        <v>0</v>
      </c>
      <c r="EK588" s="523"/>
      <c r="EL588" s="524">
        <f t="shared" si="341"/>
        <v>0</v>
      </c>
    </row>
    <row r="589" spans="51:142">
      <c r="AY589" s="154" t="s">
        <v>1173</v>
      </c>
      <c r="AZ589" s="137" t="s">
        <v>1722</v>
      </c>
      <c r="BA589" s="138" t="str">
        <f t="shared" si="342"/>
        <v>ДП МОДЕРН.3/1.фальц.</v>
      </c>
      <c r="BW589" s="251" t="s">
        <v>1171</v>
      </c>
      <c r="BX589" s="246" t="s">
        <v>458</v>
      </c>
      <c r="BY589" s="135" t="str">
        <f t="shared" si="335"/>
        <v>ДП ТРЕНД.5Б/3.Сатин</v>
      </c>
      <c r="CA589" s="146" t="s">
        <v>3295</v>
      </c>
      <c r="CB589" s="478" t="s">
        <v>4347</v>
      </c>
      <c r="CC589" s="239" t="str">
        <f>CONCATENATE(CA589,".",CB589)</f>
        <v>ДП Міра.б/з фальц..робоча..Magnet ст +2завіс 3D</v>
      </c>
      <c r="DD589" s="165" t="s">
        <v>266</v>
      </c>
      <c r="DE589" s="166">
        <v>7780</v>
      </c>
      <c r="DF589" s="528">
        <f t="shared" si="345"/>
        <v>7780</v>
      </c>
      <c r="DG589" s="523"/>
      <c r="DH589" s="530">
        <f t="shared" si="336"/>
        <v>7780</v>
      </c>
      <c r="DP589" s="740" t="s">
        <v>2809</v>
      </c>
      <c r="DQ589" s="166">
        <v>0</v>
      </c>
      <c r="DR589" s="522">
        <f t="shared" si="346"/>
        <v>0</v>
      </c>
      <c r="DS589" s="523"/>
      <c r="DT589" s="524">
        <f t="shared" si="347"/>
        <v>0</v>
      </c>
      <c r="DV589" s="739" t="s">
        <v>6344</v>
      </c>
      <c r="DW589" s="164">
        <v>0</v>
      </c>
      <c r="DX589" s="531">
        <f t="shared" si="338"/>
        <v>0</v>
      </c>
      <c r="DY589" s="526"/>
      <c r="DZ589" s="527">
        <f t="shared" si="339"/>
        <v>0</v>
      </c>
      <c r="EH589" s="739" t="s">
        <v>3782</v>
      </c>
      <c r="EI589" s="164">
        <v>420</v>
      </c>
      <c r="EJ589" s="531">
        <f t="shared" si="340"/>
        <v>420</v>
      </c>
      <c r="EK589" s="526"/>
      <c r="EL589" s="527">
        <f t="shared" si="341"/>
        <v>420</v>
      </c>
    </row>
    <row r="590" spans="51:142">
      <c r="AY590" s="154" t="s">
        <v>1173</v>
      </c>
      <c r="AZ590" s="137" t="s">
        <v>1723</v>
      </c>
      <c r="BA590" s="138" t="str">
        <f t="shared" si="342"/>
        <v>ДП МОДЕРН.3/1.б/з фальц.</v>
      </c>
      <c r="BW590" s="250" t="s">
        <v>1171</v>
      </c>
      <c r="BX590" s="770" t="s">
        <v>3851</v>
      </c>
      <c r="BY590" s="138" t="str">
        <f t="shared" si="335"/>
        <v>ДП ТРЕНД.5Б/3.Графіт</v>
      </c>
      <c r="CA590" s="146" t="s">
        <v>3295</v>
      </c>
      <c r="CB590" s="97"/>
      <c r="CC590" s="97"/>
      <c r="DD590" s="108" t="s">
        <v>267</v>
      </c>
      <c r="DE590" s="164">
        <v>7800</v>
      </c>
      <c r="DF590" s="528">
        <f t="shared" si="345"/>
        <v>7800</v>
      </c>
      <c r="DG590" s="526"/>
      <c r="DH590" s="530">
        <f t="shared" si="336"/>
        <v>7800</v>
      </c>
      <c r="DP590" s="740" t="s">
        <v>3999</v>
      </c>
      <c r="DQ590" s="166">
        <v>550</v>
      </c>
      <c r="DR590" s="522">
        <f t="shared" si="346"/>
        <v>550</v>
      </c>
      <c r="DS590" s="523"/>
      <c r="DT590" s="524">
        <f t="shared" si="347"/>
        <v>550</v>
      </c>
      <c r="DV590" s="738" t="s">
        <v>6345</v>
      </c>
      <c r="DW590" s="166">
        <v>1</v>
      </c>
      <c r="DX590" s="522">
        <f t="shared" si="338"/>
        <v>1</v>
      </c>
      <c r="DY590" s="523"/>
      <c r="DZ590" s="524">
        <f t="shared" si="339"/>
        <v>1</v>
      </c>
      <c r="EH590" s="738" t="s">
        <v>5215</v>
      </c>
      <c r="EI590" s="166">
        <v>0</v>
      </c>
      <c r="EJ590" s="522">
        <f>ROUND(((EI590-(EI590/6))/$DD$3)*$DE$3,2)</f>
        <v>0</v>
      </c>
      <c r="EK590" s="523"/>
      <c r="EL590" s="524">
        <f>IF(EK590="",EJ590,
IF(AND($EI$10&gt;=VLOOKUP(EK590,$EH$5:$EL$9,2,0),$EI$10&lt;=VLOOKUP(EK590,$EH$5:$EL$9,3,0)),
(EJ590*(1-VLOOKUP(EK590,$EH$5:$EL$9,4,0))),
EJ590))</f>
        <v>0</v>
      </c>
    </row>
    <row r="591" spans="51:142">
      <c r="AY591" s="155" t="s">
        <v>1173</v>
      </c>
      <c r="AZ591" s="62" t="s">
        <v>1724</v>
      </c>
      <c r="BA591" s="139" t="str">
        <f t="shared" si="342"/>
        <v>ДП МОДЕРН.3/1.купе.</v>
      </c>
      <c r="BW591" s="249" t="s">
        <v>1171</v>
      </c>
      <c r="BX591" s="248" t="s">
        <v>832</v>
      </c>
      <c r="BY591" s="139" t="str">
        <f t="shared" si="335"/>
        <v>ДП ТРЕНД.5Б/3.Бронза</v>
      </c>
      <c r="CA591" s="146" t="s">
        <v>3295</v>
      </c>
      <c r="CB591" s="478" t="s">
        <v>4349</v>
      </c>
      <c r="CC591" s="239" t="str">
        <f>CONCATENATE(CA591,".",CB591)</f>
        <v>ДП Міра.б/з фальц..робоча..Magnet цл +3завіс 3D</v>
      </c>
      <c r="DD591" s="165" t="s">
        <v>268</v>
      </c>
      <c r="DE591" s="166">
        <v>9430</v>
      </c>
      <c r="DF591" s="528">
        <f t="shared" si="345"/>
        <v>9430</v>
      </c>
      <c r="DG591" s="523"/>
      <c r="DH591" s="530">
        <f t="shared" si="336"/>
        <v>9430</v>
      </c>
      <c r="DP591" s="741" t="s">
        <v>2810</v>
      </c>
      <c r="DQ591" s="164">
        <v>550</v>
      </c>
      <c r="DR591" s="531">
        <f t="shared" si="346"/>
        <v>550</v>
      </c>
      <c r="DS591" s="526"/>
      <c r="DT591" s="527">
        <f t="shared" si="347"/>
        <v>550</v>
      </c>
      <c r="DV591" s="738" t="s">
        <v>6346</v>
      </c>
      <c r="DW591" s="166">
        <v>1</v>
      </c>
      <c r="DX591" s="522">
        <f t="shared" si="338"/>
        <v>1</v>
      </c>
      <c r="DY591" s="523"/>
      <c r="DZ591" s="524">
        <f t="shared" si="339"/>
        <v>1</v>
      </c>
      <c r="EH591" s="739" t="s">
        <v>5216</v>
      </c>
      <c r="EI591" s="164">
        <v>440</v>
      </c>
      <c r="EJ591" s="531">
        <f>ROUND(((EI591-(EI591/6))/$DD$3)*$DE$3,2)</f>
        <v>440</v>
      </c>
      <c r="EK591" s="526"/>
      <c r="EL591" s="527">
        <f>IF(EK591="",EJ591,
IF(AND($EI$10&gt;=VLOOKUP(EK591,$EH$5:$EL$9,2,0),$EI$10&lt;=VLOOKUP(EK591,$EH$5:$EL$9,3,0)),
(EJ591*(1-VLOOKUP(EK591,$EH$5:$EL$9,4,0))),
EJ591))</f>
        <v>440</v>
      </c>
    </row>
    <row r="592" spans="51:142">
      <c r="AY592" s="154" t="s">
        <v>1174</v>
      </c>
      <c r="AZ592" s="137" t="s">
        <v>1722</v>
      </c>
      <c r="BA592" s="138" t="str">
        <f t="shared" si="342"/>
        <v>ДП МОДЕРН.3/2.фальц.</v>
      </c>
      <c r="BW592" s="432"/>
      <c r="BX592" s="432"/>
      <c r="BY592" s="432"/>
      <c r="CA592" s="147" t="s">
        <v>3295</v>
      </c>
      <c r="CB592" s="590" t="s">
        <v>4350</v>
      </c>
      <c r="CC592" s="240" t="str">
        <f>CONCATENATE(CA592,".",CB592)</f>
        <v>ДП Міра.б/з фальц..робоча..Magnet ст +3завіс 3D</v>
      </c>
      <c r="DD592" s="165" t="s">
        <v>269</v>
      </c>
      <c r="DE592" s="166">
        <v>9430</v>
      </c>
      <c r="DF592" s="528">
        <f t="shared" si="345"/>
        <v>9430</v>
      </c>
      <c r="DG592" s="523"/>
      <c r="DH592" s="530">
        <f t="shared" si="336"/>
        <v>9430</v>
      </c>
      <c r="DP592" s="740" t="s">
        <v>2811</v>
      </c>
      <c r="DQ592" s="166">
        <v>0</v>
      </c>
      <c r="DR592" s="522">
        <f t="shared" si="346"/>
        <v>0</v>
      </c>
      <c r="DS592" s="523"/>
      <c r="DT592" s="524">
        <f t="shared" si="347"/>
        <v>0</v>
      </c>
      <c r="DV592" s="738" t="s">
        <v>6347</v>
      </c>
      <c r="DW592" s="166">
        <v>1</v>
      </c>
      <c r="DX592" s="522">
        <f t="shared" si="338"/>
        <v>1</v>
      </c>
      <c r="DY592" s="523"/>
      <c r="DZ592" s="524">
        <f t="shared" si="339"/>
        <v>1</v>
      </c>
      <c r="EH592" s="738" t="s">
        <v>3783</v>
      </c>
      <c r="EI592" s="166">
        <v>0</v>
      </c>
      <c r="EJ592" s="522">
        <f t="shared" si="340"/>
        <v>0</v>
      </c>
      <c r="EK592" s="523"/>
      <c r="EL592" s="524">
        <f t="shared" si="341"/>
        <v>0</v>
      </c>
    </row>
    <row r="593" spans="51:142">
      <c r="AY593" s="154" t="s">
        <v>1174</v>
      </c>
      <c r="AZ593" s="137" t="s">
        <v>1723</v>
      </c>
      <c r="BA593" s="138" t="str">
        <f t="shared" si="342"/>
        <v>ДП МОДЕРН.3/2.б/з фальц.</v>
      </c>
      <c r="BW593" s="60" t="s">
        <v>1178</v>
      </c>
      <c r="BX593" s="770" t="s">
        <v>4106</v>
      </c>
      <c r="BY593" s="138" t="str">
        <f t="shared" si="335"/>
        <v>ДП МОДЕРН.1/0.(ні)</v>
      </c>
      <c r="CA593" s="145" t="s">
        <v>3296</v>
      </c>
      <c r="CB593" s="134" t="s">
        <v>4106</v>
      </c>
      <c r="CC593" s="135" t="str">
        <f>CONCATENATE(CA593,".",CB593)</f>
        <v>ДП Міра.купе..робоча..(ні)</v>
      </c>
      <c r="DD593" s="165" t="s">
        <v>17</v>
      </c>
      <c r="DE593" s="166">
        <v>9430</v>
      </c>
      <c r="DF593" s="528">
        <f t="shared" si="345"/>
        <v>9430</v>
      </c>
      <c r="DG593" s="523"/>
      <c r="DH593" s="530">
        <f t="shared" si="336"/>
        <v>9430</v>
      </c>
      <c r="DP593" s="740" t="s">
        <v>4000</v>
      </c>
      <c r="DQ593" s="166">
        <v>550</v>
      </c>
      <c r="DR593" s="522">
        <f t="shared" si="346"/>
        <v>550</v>
      </c>
      <c r="DS593" s="523"/>
      <c r="DT593" s="524">
        <f t="shared" si="347"/>
        <v>550</v>
      </c>
      <c r="DV593" s="738" t="s">
        <v>6348</v>
      </c>
      <c r="DW593" s="166">
        <v>1</v>
      </c>
      <c r="DX593" s="522">
        <f t="shared" si="338"/>
        <v>1</v>
      </c>
      <c r="DY593" s="523"/>
      <c r="DZ593" s="524">
        <f t="shared" si="339"/>
        <v>1</v>
      </c>
      <c r="EH593" s="739" t="s">
        <v>3784</v>
      </c>
      <c r="EI593" s="164">
        <v>440</v>
      </c>
      <c r="EJ593" s="531">
        <f t="shared" si="340"/>
        <v>440</v>
      </c>
      <c r="EK593" s="526"/>
      <c r="EL593" s="527">
        <f t="shared" si="341"/>
        <v>440</v>
      </c>
    </row>
    <row r="594" spans="51:142">
      <c r="AY594" s="155" t="s">
        <v>1174</v>
      </c>
      <c r="AZ594" s="62" t="s">
        <v>1724</v>
      </c>
      <c r="BA594" s="139" t="str">
        <f t="shared" si="342"/>
        <v>ДП МОДЕРН.3/2.купе.</v>
      </c>
      <c r="BW594" s="251" t="s">
        <v>1179</v>
      </c>
      <c r="BX594" s="246" t="s">
        <v>458</v>
      </c>
      <c r="BY594" s="135" t="str">
        <f t="shared" si="335"/>
        <v>ДП МОДЕРН.1/1.Сатин</v>
      </c>
      <c r="CA594" s="146" t="s">
        <v>3296</v>
      </c>
      <c r="CB594" s="21"/>
      <c r="CC594" s="21"/>
      <c r="DD594" s="165" t="s">
        <v>18</v>
      </c>
      <c r="DE594" s="166">
        <v>9430</v>
      </c>
      <c r="DF594" s="528">
        <f t="shared" si="345"/>
        <v>9430</v>
      </c>
      <c r="DG594" s="523"/>
      <c r="DH594" s="530">
        <f t="shared" si="336"/>
        <v>9430</v>
      </c>
      <c r="DP594" s="741" t="s">
        <v>2812</v>
      </c>
      <c r="DQ594" s="164">
        <v>550</v>
      </c>
      <c r="DR594" s="531">
        <f t="shared" si="346"/>
        <v>550</v>
      </c>
      <c r="DS594" s="526"/>
      <c r="DT594" s="527">
        <f t="shared" si="347"/>
        <v>550</v>
      </c>
      <c r="DV594" s="738" t="s">
        <v>6349</v>
      </c>
      <c r="DW594" s="166">
        <v>1</v>
      </c>
      <c r="DX594" s="522">
        <f t="shared" si="338"/>
        <v>1</v>
      </c>
      <c r="DY594" s="523"/>
      <c r="DZ594" s="524">
        <f t="shared" si="339"/>
        <v>1</v>
      </c>
      <c r="EH594" s="538"/>
      <c r="EI594" s="539"/>
      <c r="EJ594" s="650"/>
      <c r="EK594" s="651"/>
      <c r="EL594" s="652"/>
    </row>
    <row r="595" spans="51:142">
      <c r="AY595" s="154" t="s">
        <v>1175</v>
      </c>
      <c r="AZ595" s="137" t="s">
        <v>1722</v>
      </c>
      <c r="BA595" s="138" t="str">
        <f t="shared" si="342"/>
        <v>ДП МОДЕРН.3/3.фальц.</v>
      </c>
      <c r="BW595" s="250" t="s">
        <v>1179</v>
      </c>
      <c r="BX595" s="770" t="s">
        <v>3851</v>
      </c>
      <c r="BY595" s="138" t="str">
        <f t="shared" si="335"/>
        <v>ДП МОДЕРН.1/1.Графіт</v>
      </c>
      <c r="CA595" s="146" t="s">
        <v>3296</v>
      </c>
      <c r="CB595" s="137" t="s">
        <v>462</v>
      </c>
      <c r="CC595" s="138" t="str">
        <f>CONCATENATE(CA595,".",CB595)</f>
        <v>ДП Міра.купе..робоча..Ручка-Захват</v>
      </c>
      <c r="DD595" s="165" t="s">
        <v>19</v>
      </c>
      <c r="DE595" s="166">
        <v>7210.0000000000009</v>
      </c>
      <c r="DF595" s="528">
        <f t="shared" si="345"/>
        <v>7210</v>
      </c>
      <c r="DG595" s="523"/>
      <c r="DH595" s="530">
        <f t="shared" si="336"/>
        <v>7210</v>
      </c>
      <c r="DP595" s="741" t="s">
        <v>4176</v>
      </c>
      <c r="DQ595" s="164">
        <v>0</v>
      </c>
      <c r="DR595" s="531">
        <f t="shared" si="346"/>
        <v>0</v>
      </c>
      <c r="DS595" s="526"/>
      <c r="DT595" s="527">
        <f t="shared" si="347"/>
        <v>0</v>
      </c>
      <c r="DV595" s="739" t="s">
        <v>6350</v>
      </c>
      <c r="DW595" s="166">
        <v>1</v>
      </c>
      <c r="DX595" s="525">
        <f t="shared" si="338"/>
        <v>1</v>
      </c>
      <c r="DY595" s="526"/>
      <c r="DZ595" s="527">
        <f t="shared" si="339"/>
        <v>1</v>
      </c>
      <c r="EH595" s="738" t="s">
        <v>5007</v>
      </c>
      <c r="EI595" s="166">
        <v>0</v>
      </c>
      <c r="EJ595" s="522">
        <f t="shared" ref="EJ595:EJ609" si="348">ROUND(((EI595-(EI595/6))/$DD$3)*$DE$3,2)</f>
        <v>0</v>
      </c>
      <c r="EK595" s="523"/>
      <c r="EL595" s="524">
        <f t="shared" ref="EL595:EL609" si="349">IF(EK595="",EJ595,
IF(AND($EI$10&gt;=VLOOKUP(EK595,$EH$5:$EL$9,2,0),$EI$10&lt;=VLOOKUP(EK595,$EH$5:$EL$9,3,0)),
(EJ595*(1-VLOOKUP(EK595,$EH$5:$EL$9,4,0))),
EJ595))</f>
        <v>0</v>
      </c>
    </row>
    <row r="596" spans="51:142">
      <c r="AY596" s="154" t="s">
        <v>1175</v>
      </c>
      <c r="AZ596" s="137" t="s">
        <v>1723</v>
      </c>
      <c r="BA596" s="138" t="str">
        <f t="shared" si="342"/>
        <v>ДП МОДЕРН.3/3.б/з фальц.</v>
      </c>
      <c r="BW596" s="249" t="s">
        <v>1179</v>
      </c>
      <c r="BX596" s="248" t="s">
        <v>832</v>
      </c>
      <c r="BY596" s="139" t="str">
        <f t="shared" si="335"/>
        <v>ДП МОДЕРН.1/1.Бронза</v>
      </c>
      <c r="CA596" s="146" t="s">
        <v>3296</v>
      </c>
      <c r="CB596" s="137" t="s">
        <v>684</v>
      </c>
      <c r="CC596" s="138" t="str">
        <f>CONCATENATE(CA596,".",CB596)</f>
        <v>ДП Міра.купе..робоча..Ручка-Замок</v>
      </c>
      <c r="DD596" s="165" t="s">
        <v>20</v>
      </c>
      <c r="DE596" s="166">
        <v>8550</v>
      </c>
      <c r="DF596" s="528">
        <f t="shared" si="345"/>
        <v>8550</v>
      </c>
      <c r="DG596" s="523"/>
      <c r="DH596" s="530">
        <f t="shared" si="336"/>
        <v>8550</v>
      </c>
      <c r="DP596" s="740" t="s">
        <v>2813</v>
      </c>
      <c r="DQ596" s="166">
        <v>0</v>
      </c>
      <c r="DR596" s="522">
        <f t="shared" si="346"/>
        <v>0</v>
      </c>
      <c r="DS596" s="523"/>
      <c r="DT596" s="524">
        <f t="shared" si="347"/>
        <v>0</v>
      </c>
      <c r="DV596" s="165" t="s">
        <v>806</v>
      </c>
      <c r="DW596" s="166">
        <v>0</v>
      </c>
      <c r="DX596" s="522">
        <f t="shared" si="338"/>
        <v>0</v>
      </c>
      <c r="DY596" s="523"/>
      <c r="DZ596" s="524">
        <f t="shared" si="339"/>
        <v>0</v>
      </c>
      <c r="EH596" s="739" t="s">
        <v>5008</v>
      </c>
      <c r="EI596" s="164">
        <v>540</v>
      </c>
      <c r="EJ596" s="531">
        <f t="shared" si="348"/>
        <v>540</v>
      </c>
      <c r="EK596" s="526"/>
      <c r="EL596" s="527">
        <f t="shared" si="349"/>
        <v>540</v>
      </c>
    </row>
    <row r="597" spans="51:142">
      <c r="AY597" s="155" t="s">
        <v>1175</v>
      </c>
      <c r="AZ597" s="62" t="s">
        <v>1724</v>
      </c>
      <c r="BA597" s="139" t="str">
        <f t="shared" si="342"/>
        <v>ДП МОДЕРН.3/3.купе.</v>
      </c>
      <c r="BW597" s="60" t="s">
        <v>1172</v>
      </c>
      <c r="BX597" s="770" t="s">
        <v>4106</v>
      </c>
      <c r="BY597" s="138" t="str">
        <f t="shared" si="335"/>
        <v>ДП МОДЕРН.3/0.(ні)</v>
      </c>
      <c r="CA597" s="432"/>
      <c r="CB597" s="222"/>
      <c r="CC597" s="223"/>
      <c r="DD597" s="165" t="s">
        <v>21</v>
      </c>
      <c r="DE597" s="166">
        <v>9490</v>
      </c>
      <c r="DF597" s="528">
        <f t="shared" si="345"/>
        <v>9490</v>
      </c>
      <c r="DG597" s="523"/>
      <c r="DH597" s="530">
        <f t="shared" si="336"/>
        <v>9490</v>
      </c>
      <c r="DP597" s="740" t="s">
        <v>4001</v>
      </c>
      <c r="DQ597" s="166">
        <v>550</v>
      </c>
      <c r="DR597" s="522">
        <f t="shared" si="346"/>
        <v>550</v>
      </c>
      <c r="DS597" s="523"/>
      <c r="DT597" s="524">
        <f t="shared" si="347"/>
        <v>550</v>
      </c>
      <c r="DV597" s="108" t="s">
        <v>807</v>
      </c>
      <c r="DW597" s="164">
        <v>560</v>
      </c>
      <c r="DX597" s="531">
        <f>ROUND(((DW597-(DW597/6))/$DD$3)*$DE$3,2)</f>
        <v>560</v>
      </c>
      <c r="DY597" s="526"/>
      <c r="DZ597" s="527">
        <f>IF(DY597="",DX597,
IF(AND($DW$10&gt;=VLOOKUP(DY597,$DV$5:$DZ$9,2,0),$DW$10&lt;=VLOOKUP(DY597,$DV$5:$DZ$9,3,0)),
(DX597*(1-VLOOKUP(DY597,$DV$5:$DZ$9,4,0))),
DX597))</f>
        <v>560</v>
      </c>
      <c r="EH597" s="738" t="s">
        <v>3785</v>
      </c>
      <c r="EI597" s="166">
        <v>0</v>
      </c>
      <c r="EJ597" s="522">
        <f t="shared" si="348"/>
        <v>0</v>
      </c>
      <c r="EK597" s="523"/>
      <c r="EL597" s="524">
        <f t="shared" si="349"/>
        <v>0</v>
      </c>
    </row>
    <row r="598" spans="51:142">
      <c r="AY598" s="154" t="s">
        <v>1176</v>
      </c>
      <c r="AZ598" s="137" t="s">
        <v>1722</v>
      </c>
      <c r="BA598" s="138" t="str">
        <f t="shared" si="342"/>
        <v>ДП МОДЕРН.3А/1.фальц.</v>
      </c>
      <c r="BW598" s="251" t="s">
        <v>1173</v>
      </c>
      <c r="BX598" s="246" t="s">
        <v>458</v>
      </c>
      <c r="BY598" s="135" t="str">
        <f t="shared" si="335"/>
        <v>ДП МОДЕРН.3/1.Сатин</v>
      </c>
      <c r="CA598" s="146" t="s">
        <v>3297</v>
      </c>
      <c r="CB598" s="137" t="s">
        <v>4106</v>
      </c>
      <c r="CC598" s="138" t="str">
        <f>CONCATENATE(CA598,".",CB598)</f>
        <v>ДП ЛАДА-ЛОФТ.фальц,.робоча..(ні)</v>
      </c>
      <c r="DD598" s="165" t="s">
        <v>22</v>
      </c>
      <c r="DE598" s="166">
        <v>8550</v>
      </c>
      <c r="DF598" s="528">
        <f t="shared" si="345"/>
        <v>8550</v>
      </c>
      <c r="DG598" s="523"/>
      <c r="DH598" s="530">
        <f t="shared" si="336"/>
        <v>8550</v>
      </c>
      <c r="DP598" s="741" t="s">
        <v>2814</v>
      </c>
      <c r="DQ598" s="164">
        <v>550</v>
      </c>
      <c r="DR598" s="531">
        <f t="shared" si="346"/>
        <v>550</v>
      </c>
      <c r="DS598" s="526"/>
      <c r="DT598" s="527">
        <f t="shared" si="347"/>
        <v>550</v>
      </c>
      <c r="DV598" s="647"/>
      <c r="DW598" s="648"/>
      <c r="DX598" s="654"/>
      <c r="DY598" s="655"/>
      <c r="DZ598" s="656"/>
      <c r="EH598" s="739" t="s">
        <v>3786</v>
      </c>
      <c r="EI598" s="164">
        <v>540</v>
      </c>
      <c r="EJ598" s="531">
        <f t="shared" si="348"/>
        <v>540</v>
      </c>
      <c r="EK598" s="526"/>
      <c r="EL598" s="527">
        <f t="shared" si="349"/>
        <v>540</v>
      </c>
    </row>
    <row r="599" spans="51:142">
      <c r="AY599" s="154" t="s">
        <v>1176</v>
      </c>
      <c r="AZ599" s="137" t="s">
        <v>1723</v>
      </c>
      <c r="BA599" s="138" t="str">
        <f t="shared" si="342"/>
        <v>ДП МОДЕРН.3А/1.б/з фальц.</v>
      </c>
      <c r="BW599" s="250" t="s">
        <v>1173</v>
      </c>
      <c r="BX599" s="770" t="s">
        <v>3851</v>
      </c>
      <c r="BY599" s="138" t="str">
        <f t="shared" si="335"/>
        <v>ДП МОДЕРН.3/1.Графіт</v>
      </c>
      <c r="CA599" s="146" t="s">
        <v>3297</v>
      </c>
      <c r="CB599" s="21"/>
      <c r="CC599" s="21"/>
      <c r="DD599" s="108" t="s">
        <v>698</v>
      </c>
      <c r="DE599" s="164">
        <v>8550</v>
      </c>
      <c r="DF599" s="528">
        <f t="shared" si="345"/>
        <v>8550</v>
      </c>
      <c r="DG599" s="646"/>
      <c r="DH599" s="530">
        <f t="shared" si="336"/>
        <v>8550</v>
      </c>
      <c r="DP599" s="740" t="s">
        <v>2815</v>
      </c>
      <c r="DQ599" s="166">
        <v>0</v>
      </c>
      <c r="DR599" s="522">
        <f t="shared" si="346"/>
        <v>0</v>
      </c>
      <c r="DS599" s="523"/>
      <c r="DT599" s="524">
        <f t="shared" si="347"/>
        <v>0</v>
      </c>
      <c r="DV599" s="736" t="s">
        <v>4164</v>
      </c>
      <c r="DW599" s="105">
        <v>0</v>
      </c>
      <c r="DX599" s="403">
        <f t="shared" ref="DX599:DX633" si="350">ROUND(((DW599-(DW599/6))/$DD$3)*$DE$3,2)</f>
        <v>0</v>
      </c>
      <c r="DY599" s="514"/>
      <c r="DZ599" s="511">
        <f t="shared" ref="DZ599:DZ633" si="351">IF(DY599="",DX599,
IF(AND($DW$10&gt;=VLOOKUP(DY599,$DV$5:$DZ$9,2,0),$DW$10&lt;=VLOOKUP(DY599,$DV$5:$DZ$9,3,0)),
(DX599*(1-VLOOKUP(DY599,$DV$5:$DZ$9,4,0))),
DX599))</f>
        <v>0</v>
      </c>
      <c r="EH599" s="738" t="s">
        <v>3787</v>
      </c>
      <c r="EI599" s="166">
        <v>0</v>
      </c>
      <c r="EJ599" s="522">
        <f>ROUND(((EI599-(EI599/6))/$DD$3)*$DE$3,2)</f>
        <v>0</v>
      </c>
      <c r="EK599" s="523"/>
      <c r="EL599" s="524">
        <f>IF(EK599="",EJ599,
IF(AND($EI$10&gt;=VLOOKUP(EK599,$EH$5:$EL$9,2,0),$EI$10&lt;=VLOOKUP(EK599,$EH$5:$EL$9,3,0)),
(EJ599*(1-VLOOKUP(EK599,$EH$5:$EL$9,4,0))),
EJ599))</f>
        <v>0</v>
      </c>
    </row>
    <row r="600" spans="51:142">
      <c r="AY600" s="155" t="s">
        <v>1176</v>
      </c>
      <c r="AZ600" s="62" t="s">
        <v>1724</v>
      </c>
      <c r="BA600" s="139" t="str">
        <f t="shared" si="342"/>
        <v>ДП МОДЕРН.3А/1.купе.</v>
      </c>
      <c r="BW600" s="249" t="s">
        <v>1173</v>
      </c>
      <c r="BX600" s="248" t="s">
        <v>832</v>
      </c>
      <c r="BY600" s="139" t="str">
        <f t="shared" si="335"/>
        <v>ДП МОДЕРН.3/1.Бронза</v>
      </c>
      <c r="CA600" s="146" t="s">
        <v>3297</v>
      </c>
      <c r="CB600" s="783" t="s">
        <v>5754</v>
      </c>
      <c r="CC600" s="138" t="str">
        <f t="shared" ref="CC600:CC605" si="352">CONCATENATE(CA600,".",CB600)</f>
        <v>ДП ЛАДА-ЛОФТ.фальц,.робоча..Stand цл Лів +3завіс</v>
      </c>
      <c r="DD600" s="738" t="s">
        <v>5217</v>
      </c>
      <c r="DE600" s="166">
        <v>9900</v>
      </c>
      <c r="DF600" s="528">
        <f t="shared" si="345"/>
        <v>9900</v>
      </c>
      <c r="DG600" s="523"/>
      <c r="DH600" s="530">
        <f t="shared" si="336"/>
        <v>9900</v>
      </c>
      <c r="DP600" s="740" t="s">
        <v>4002</v>
      </c>
      <c r="DQ600" s="166">
        <v>550</v>
      </c>
      <c r="DR600" s="522">
        <f t="shared" si="346"/>
        <v>550</v>
      </c>
      <c r="DS600" s="523"/>
      <c r="DT600" s="524">
        <f t="shared" si="347"/>
        <v>550</v>
      </c>
      <c r="DV600" s="737" t="s">
        <v>5868</v>
      </c>
      <c r="DW600" s="163">
        <v>0</v>
      </c>
      <c r="DX600" s="528">
        <f t="shared" si="350"/>
        <v>0</v>
      </c>
      <c r="DY600" s="529"/>
      <c r="DZ600" s="530">
        <f t="shared" si="351"/>
        <v>0</v>
      </c>
      <c r="EH600" s="739" t="s">
        <v>3788</v>
      </c>
      <c r="EI600" s="164">
        <v>540</v>
      </c>
      <c r="EJ600" s="531">
        <f>ROUND(((EI600-(EI600/6))/$DD$3)*$DE$3,2)</f>
        <v>540</v>
      </c>
      <c r="EK600" s="526"/>
      <c r="EL600" s="527">
        <f>IF(EK600="",EJ600,
IF(AND($EI$10&gt;=VLOOKUP(EK600,$EH$5:$EL$9,2,0),$EI$10&lt;=VLOOKUP(EK600,$EH$5:$EL$9,3,0)),
(EJ600*(1-VLOOKUP(EK600,$EH$5:$EL$9,4,0))),
EJ600))</f>
        <v>540</v>
      </c>
    </row>
    <row r="601" spans="51:142">
      <c r="AY601" s="154" t="s">
        <v>1177</v>
      </c>
      <c r="AZ601" s="137" t="s">
        <v>1722</v>
      </c>
      <c r="BA601" s="138" t="str">
        <f>CONCATENATE(AY601,".",AZ601)</f>
        <v>ДП МОДЕРН.3А/2.фальц.</v>
      </c>
      <c r="BW601" s="251" t="s">
        <v>1174</v>
      </c>
      <c r="BX601" s="246" t="s">
        <v>458</v>
      </c>
      <c r="BY601" s="135" t="str">
        <f t="shared" si="335"/>
        <v>ДП МОДЕРН.3/2.Сатин</v>
      </c>
      <c r="CA601" s="146" t="s">
        <v>3297</v>
      </c>
      <c r="CB601" s="783" t="s">
        <v>5755</v>
      </c>
      <c r="CC601" s="138" t="str">
        <f t="shared" si="352"/>
        <v>ДП ЛАДА-ЛОФТ.фальц,.робоча..Stand цл Пр +3завіс</v>
      </c>
      <c r="DD601" s="738" t="s">
        <v>5218</v>
      </c>
      <c r="DE601" s="166">
        <v>9900</v>
      </c>
      <c r="DF601" s="528">
        <f t="shared" si="345"/>
        <v>9900</v>
      </c>
      <c r="DG601" s="523"/>
      <c r="DH601" s="530">
        <f t="shared" si="336"/>
        <v>9900</v>
      </c>
      <c r="DP601" s="741" t="s">
        <v>2816</v>
      </c>
      <c r="DQ601" s="164">
        <v>550</v>
      </c>
      <c r="DR601" s="531">
        <f t="shared" si="346"/>
        <v>550</v>
      </c>
      <c r="DS601" s="526"/>
      <c r="DT601" s="527">
        <f t="shared" si="347"/>
        <v>550</v>
      </c>
      <c r="DV601" s="737" t="s">
        <v>5869</v>
      </c>
      <c r="DW601" s="163">
        <v>0</v>
      </c>
      <c r="DX601" s="528">
        <f>ROUND(((DW601-(DW601/6))/$DD$3)*$DE$3,2)</f>
        <v>0</v>
      </c>
      <c r="DY601" s="529"/>
      <c r="DZ601" s="530">
        <f>IF(DY601="",DX601,
IF(AND($DW$10&gt;=VLOOKUP(DY601,$DV$5:$DZ$9,2,0),$DW$10&lt;=VLOOKUP(DY601,$DV$5:$DZ$9,3,0)),
(DX601*(1-VLOOKUP(DY601,$DV$5:$DZ$9,4,0))),
DX601))</f>
        <v>0</v>
      </c>
      <c r="EH601" s="738" t="s">
        <v>3789</v>
      </c>
      <c r="EI601" s="166">
        <v>0</v>
      </c>
      <c r="EJ601" s="522">
        <f>ROUND(((EI601-(EI601/6))/$DD$3)*$DE$3,2)</f>
        <v>0</v>
      </c>
      <c r="EK601" s="523"/>
      <c r="EL601" s="524">
        <f>IF(EK601="",EJ601,
IF(AND($EI$10&gt;=VLOOKUP(EK601,$EH$5:$EL$9,2,0),$EI$10&lt;=VLOOKUP(EK601,$EH$5:$EL$9,3,0)),
(EJ601*(1-VLOOKUP(EK601,$EH$5:$EL$9,4,0))),
EJ601))</f>
        <v>0</v>
      </c>
    </row>
    <row r="602" spans="51:142">
      <c r="AY602" s="154" t="s">
        <v>1177</v>
      </c>
      <c r="AZ602" s="137" t="s">
        <v>1723</v>
      </c>
      <c r="BA602" s="138" t="str">
        <f>CONCATENATE(AY602,".",AZ602)</f>
        <v>ДП МОДЕРН.3А/2.б/з фальц.</v>
      </c>
      <c r="BW602" s="250" t="s">
        <v>1174</v>
      </c>
      <c r="BX602" s="770" t="s">
        <v>3851</v>
      </c>
      <c r="BY602" s="138" t="str">
        <f t="shared" si="335"/>
        <v>ДП МОДЕРН.3/2.Графіт</v>
      </c>
      <c r="CA602" s="146" t="s">
        <v>3297</v>
      </c>
      <c r="CB602" s="783" t="s">
        <v>5756</v>
      </c>
      <c r="CC602" s="138" t="str">
        <f t="shared" si="352"/>
        <v>ДП ЛАДА-ЛОФТ.фальц,.робоча..Stand кл Лів +3завіс</v>
      </c>
      <c r="DD602" s="738" t="s">
        <v>5219</v>
      </c>
      <c r="DE602" s="166">
        <v>9900</v>
      </c>
      <c r="DF602" s="528">
        <f t="shared" si="345"/>
        <v>9900</v>
      </c>
      <c r="DG602" s="523"/>
      <c r="DH602" s="530">
        <f t="shared" si="336"/>
        <v>9900</v>
      </c>
      <c r="DP602" s="740" t="s">
        <v>2817</v>
      </c>
      <c r="DQ602" s="166">
        <v>0</v>
      </c>
      <c r="DR602" s="522">
        <f t="shared" si="346"/>
        <v>0</v>
      </c>
      <c r="DS602" s="523"/>
      <c r="DT602" s="524">
        <f t="shared" si="347"/>
        <v>0</v>
      </c>
      <c r="DV602" s="738" t="s">
        <v>5870</v>
      </c>
      <c r="DW602" s="166">
        <v>0</v>
      </c>
      <c r="DX602" s="522">
        <f t="shared" si="350"/>
        <v>0</v>
      </c>
      <c r="DY602" s="523"/>
      <c r="DZ602" s="524">
        <f t="shared" si="351"/>
        <v>0</v>
      </c>
      <c r="EH602" s="739" t="s">
        <v>3790</v>
      </c>
      <c r="EI602" s="164">
        <v>640</v>
      </c>
      <c r="EJ602" s="531">
        <f>ROUND(((EI602-(EI602/6))/$DD$3)*$DE$3,2)</f>
        <v>640</v>
      </c>
      <c r="EK602" s="526"/>
      <c r="EL602" s="527">
        <f>IF(EK602="",EJ602,
IF(AND($EI$10&gt;=VLOOKUP(EK602,$EH$5:$EL$9,2,0),$EI$10&lt;=VLOOKUP(EK602,$EH$5:$EL$9,3,0)),
(EJ602*(1-VLOOKUP(EK602,$EH$5:$EL$9,4,0))),
EJ602))</f>
        <v>640</v>
      </c>
    </row>
    <row r="603" spans="51:142">
      <c r="AY603" s="155" t="s">
        <v>1177</v>
      </c>
      <c r="AZ603" s="62" t="s">
        <v>1724</v>
      </c>
      <c r="BA603" s="139" t="str">
        <f>CONCATENATE(AY603,".",AZ603)</f>
        <v>ДП МОДЕРН.3А/2.купе.</v>
      </c>
      <c r="BW603" s="249" t="s">
        <v>1174</v>
      </c>
      <c r="BX603" s="248" t="s">
        <v>832</v>
      </c>
      <c r="BY603" s="139" t="str">
        <f t="shared" si="335"/>
        <v>ДП МОДЕРН.3/2.Бронза</v>
      </c>
      <c r="CA603" s="146" t="s">
        <v>3297</v>
      </c>
      <c r="CB603" s="783" t="s">
        <v>5757</v>
      </c>
      <c r="CC603" s="138" t="str">
        <f t="shared" si="352"/>
        <v>ДП ЛАДА-ЛОФТ.фальц,.робоча..Stand кл Пр +3завіс</v>
      </c>
      <c r="DD603" s="738" t="s">
        <v>5220</v>
      </c>
      <c r="DE603" s="166">
        <v>9900</v>
      </c>
      <c r="DF603" s="528">
        <f t="shared" si="345"/>
        <v>9900</v>
      </c>
      <c r="DG603" s="523"/>
      <c r="DH603" s="530">
        <f t="shared" si="336"/>
        <v>9900</v>
      </c>
      <c r="DP603" s="740" t="s">
        <v>4003</v>
      </c>
      <c r="DQ603" s="166">
        <v>550</v>
      </c>
      <c r="DR603" s="522">
        <f t="shared" si="346"/>
        <v>550</v>
      </c>
      <c r="DS603" s="523"/>
      <c r="DT603" s="524">
        <f t="shared" si="347"/>
        <v>550</v>
      </c>
      <c r="DV603" s="738" t="s">
        <v>5871</v>
      </c>
      <c r="DW603" s="163">
        <v>0</v>
      </c>
      <c r="DX603" s="528">
        <f>ROUND(((DW603-(DW603/6))/$DD$3)*$DE$3,2)</f>
        <v>0</v>
      </c>
      <c r="DY603" s="529"/>
      <c r="DZ603" s="530">
        <f>IF(DY603="",DX603,
IF(AND($DW$10&gt;=VLOOKUP(DY603,$DV$5:$DZ$9,2,0),$DW$10&lt;=VLOOKUP(DY603,$DV$5:$DZ$9,3,0)),
(DX603*(1-VLOOKUP(DY603,$DV$5:$DZ$9,4,0))),
DX603))</f>
        <v>0</v>
      </c>
      <c r="EH603" s="738" t="s">
        <v>3791</v>
      </c>
      <c r="EI603" s="166">
        <v>0</v>
      </c>
      <c r="EJ603" s="522">
        <f t="shared" si="348"/>
        <v>0</v>
      </c>
      <c r="EK603" s="523"/>
      <c r="EL603" s="524">
        <f t="shared" si="349"/>
        <v>0</v>
      </c>
    </row>
    <row r="604" spans="51:142">
      <c r="AY604" s="436"/>
      <c r="AZ604" s="544"/>
      <c r="BA604" s="545"/>
      <c r="BW604" s="251" t="s">
        <v>1175</v>
      </c>
      <c r="BX604" s="246" t="s">
        <v>458</v>
      </c>
      <c r="BY604" s="135" t="str">
        <f t="shared" si="335"/>
        <v>ДП МОДЕРН.3/3.Сатин</v>
      </c>
      <c r="CA604" s="146" t="s">
        <v>3297</v>
      </c>
      <c r="CB604" s="783" t="s">
        <v>5758</v>
      </c>
      <c r="CC604" s="138" t="str">
        <f t="shared" si="352"/>
        <v>ДП ЛАДА-ЛОФТ.фальц,.робоча..Stand ст Лів +3завіс</v>
      </c>
      <c r="DD604" s="738" t="s">
        <v>5221</v>
      </c>
      <c r="DE604" s="166">
        <v>7540</v>
      </c>
      <c r="DF604" s="528">
        <f t="shared" si="345"/>
        <v>7540</v>
      </c>
      <c r="DG604" s="523"/>
      <c r="DH604" s="530">
        <f t="shared" si="336"/>
        <v>7540</v>
      </c>
      <c r="DP604" s="741" t="s">
        <v>2818</v>
      </c>
      <c r="DQ604" s="164">
        <v>550</v>
      </c>
      <c r="DR604" s="531">
        <f t="shared" si="346"/>
        <v>550</v>
      </c>
      <c r="DS604" s="526"/>
      <c r="DT604" s="527">
        <f t="shared" si="347"/>
        <v>550</v>
      </c>
      <c r="DV604" s="738" t="s">
        <v>5872</v>
      </c>
      <c r="DW604" s="166">
        <v>0</v>
      </c>
      <c r="DX604" s="522">
        <f t="shared" si="350"/>
        <v>0</v>
      </c>
      <c r="DY604" s="523"/>
      <c r="DZ604" s="524">
        <f t="shared" si="351"/>
        <v>0</v>
      </c>
      <c r="EH604" s="739" t="s">
        <v>3792</v>
      </c>
      <c r="EI604" s="164">
        <v>660</v>
      </c>
      <c r="EJ604" s="531">
        <f t="shared" si="348"/>
        <v>660</v>
      </c>
      <c r="EK604" s="526"/>
      <c r="EL604" s="527">
        <f t="shared" si="349"/>
        <v>660</v>
      </c>
    </row>
    <row r="605" spans="51:142">
      <c r="AY605" s="153" t="s">
        <v>664</v>
      </c>
      <c r="AZ605" s="137" t="s">
        <v>1722</v>
      </c>
      <c r="BA605" s="138" t="str">
        <f t="shared" ref="BA605:BA625" si="353">CONCATENATE(AY605,".",AZ605)</f>
        <v>ДП ПОЛЛО.3/0.фальц.</v>
      </c>
      <c r="BW605" s="250" t="s">
        <v>1175</v>
      </c>
      <c r="BX605" s="770" t="s">
        <v>3851</v>
      </c>
      <c r="BY605" s="138" t="str">
        <f t="shared" si="335"/>
        <v>ДП МОДЕРН.3/3.Графіт</v>
      </c>
      <c r="CA605" s="146" t="s">
        <v>3297</v>
      </c>
      <c r="CB605" s="783" t="s">
        <v>5759</v>
      </c>
      <c r="CC605" s="138" t="str">
        <f t="shared" si="352"/>
        <v>ДП ЛАДА-ЛОФТ.фальц,.робоча..Stand ст Пр +3завіс</v>
      </c>
      <c r="DD605" s="738" t="s">
        <v>5222</v>
      </c>
      <c r="DE605" s="166">
        <v>8960</v>
      </c>
      <c r="DF605" s="528">
        <f t="shared" si="345"/>
        <v>8960</v>
      </c>
      <c r="DG605" s="523"/>
      <c r="DH605" s="530">
        <f t="shared" si="336"/>
        <v>8960</v>
      </c>
      <c r="DP605" s="740" t="s">
        <v>2819</v>
      </c>
      <c r="DQ605" s="166">
        <v>0</v>
      </c>
      <c r="DR605" s="522">
        <f t="shared" si="346"/>
        <v>0</v>
      </c>
      <c r="DS605" s="523"/>
      <c r="DT605" s="524">
        <f t="shared" si="347"/>
        <v>0</v>
      </c>
      <c r="DV605" s="738" t="s">
        <v>5873</v>
      </c>
      <c r="DW605" s="166">
        <v>0</v>
      </c>
      <c r="DX605" s="522">
        <f>ROUND(((DW605-(DW605/6))/$DD$3)*$DE$3,2)</f>
        <v>0</v>
      </c>
      <c r="DY605" s="523"/>
      <c r="DZ605" s="524">
        <f>IF(DY605="",DX605,
IF(AND($DW$10&gt;=VLOOKUP(DY605,$DV$5:$DZ$9,2,0),$DW$10&lt;=VLOOKUP(DY605,$DV$5:$DZ$9,3,0)),
(DX605*(1-VLOOKUP(DY605,$DV$5:$DZ$9,4,0))),
DX605))</f>
        <v>0</v>
      </c>
      <c r="EH605" s="738" t="s">
        <v>3793</v>
      </c>
      <c r="EI605" s="166">
        <v>0</v>
      </c>
      <c r="EJ605" s="522">
        <f t="shared" si="348"/>
        <v>0</v>
      </c>
      <c r="EK605" s="523"/>
      <c r="EL605" s="524">
        <f t="shared" si="349"/>
        <v>0</v>
      </c>
    </row>
    <row r="606" spans="51:142">
      <c r="AY606" s="154" t="s">
        <v>664</v>
      </c>
      <c r="AZ606" s="137" t="s">
        <v>1723</v>
      </c>
      <c r="BA606" s="138" t="str">
        <f t="shared" si="353"/>
        <v>ДП ПОЛЛО.3/0.б/з фальц.</v>
      </c>
      <c r="BW606" s="249" t="s">
        <v>1175</v>
      </c>
      <c r="BX606" s="248" t="s">
        <v>832</v>
      </c>
      <c r="BY606" s="139" t="str">
        <f t="shared" si="335"/>
        <v>ДП МОДЕРН.3/3.Бронза</v>
      </c>
      <c r="CA606" s="146" t="s">
        <v>3297</v>
      </c>
      <c r="CC606" s="138"/>
      <c r="DD606" s="738" t="s">
        <v>5223</v>
      </c>
      <c r="DE606" s="166">
        <v>10040.000000000002</v>
      </c>
      <c r="DF606" s="528">
        <f t="shared" si="345"/>
        <v>10040</v>
      </c>
      <c r="DG606" s="523"/>
      <c r="DH606" s="530">
        <f t="shared" si="336"/>
        <v>10040</v>
      </c>
      <c r="DP606" s="740" t="s">
        <v>4004</v>
      </c>
      <c r="DQ606" s="166">
        <v>550</v>
      </c>
      <c r="DR606" s="522">
        <f t="shared" si="346"/>
        <v>550</v>
      </c>
      <c r="DS606" s="523"/>
      <c r="DT606" s="524">
        <f t="shared" si="347"/>
        <v>550</v>
      </c>
      <c r="DV606" s="738" t="s">
        <v>4663</v>
      </c>
      <c r="DW606" s="166">
        <v>550</v>
      </c>
      <c r="DX606" s="522">
        <f t="shared" si="350"/>
        <v>550</v>
      </c>
      <c r="DY606" s="523"/>
      <c r="DZ606" s="524">
        <f t="shared" si="351"/>
        <v>550</v>
      </c>
      <c r="EH606" s="739" t="s">
        <v>3794</v>
      </c>
      <c r="EI606" s="164">
        <v>730</v>
      </c>
      <c r="EJ606" s="531">
        <f t="shared" si="348"/>
        <v>730</v>
      </c>
      <c r="EK606" s="526"/>
      <c r="EL606" s="527">
        <f t="shared" si="349"/>
        <v>730</v>
      </c>
    </row>
    <row r="607" spans="51:142">
      <c r="AY607" s="155" t="s">
        <v>664</v>
      </c>
      <c r="AZ607" s="62" t="s">
        <v>1724</v>
      </c>
      <c r="BA607" s="139" t="str">
        <f t="shared" si="353"/>
        <v>ДП ПОЛЛО.3/0.купе.</v>
      </c>
      <c r="BW607" s="251" t="s">
        <v>1176</v>
      </c>
      <c r="BX607" s="246" t="s">
        <v>458</v>
      </c>
      <c r="BY607" s="135" t="str">
        <f t="shared" si="335"/>
        <v>ДП МОДЕРН.3А/1.Сатин</v>
      </c>
      <c r="CA607" s="146" t="s">
        <v>3297</v>
      </c>
      <c r="CB607" s="137" t="s">
        <v>4304</v>
      </c>
      <c r="CC607" s="138" t="str">
        <f>CONCATENATE(CA607,".",CB607)</f>
        <v>ДП ЛАДА-ЛОФТ.фальц,.робоча..Soft цл +3завіс</v>
      </c>
      <c r="DD607" s="738" t="s">
        <v>5224</v>
      </c>
      <c r="DE607" s="166">
        <v>8960</v>
      </c>
      <c r="DF607" s="528">
        <f t="shared" si="345"/>
        <v>8960</v>
      </c>
      <c r="DG607" s="523"/>
      <c r="DH607" s="530">
        <f t="shared" si="336"/>
        <v>8960</v>
      </c>
      <c r="DP607" s="741" t="s">
        <v>2820</v>
      </c>
      <c r="DQ607" s="164">
        <v>550</v>
      </c>
      <c r="DR607" s="531">
        <f t="shared" si="346"/>
        <v>550</v>
      </c>
      <c r="DS607" s="526"/>
      <c r="DT607" s="527">
        <f t="shared" si="347"/>
        <v>550</v>
      </c>
      <c r="DV607" s="738" t="s">
        <v>4664</v>
      </c>
      <c r="DW607" s="166">
        <v>550</v>
      </c>
      <c r="DX607" s="522">
        <f t="shared" si="350"/>
        <v>550</v>
      </c>
      <c r="DY607" s="523"/>
      <c r="DZ607" s="524">
        <f t="shared" si="351"/>
        <v>550</v>
      </c>
      <c r="EH607" s="738" t="s">
        <v>5225</v>
      </c>
      <c r="EI607" s="166">
        <v>0</v>
      </c>
      <c r="EJ607" s="522">
        <f>ROUND(((EI607-(EI607/6))/$DD$3)*$DE$3,2)</f>
        <v>0</v>
      </c>
      <c r="EK607" s="523"/>
      <c r="EL607" s="524">
        <f>IF(EK607="",EJ607,
IF(AND($EI$10&gt;=VLOOKUP(EK607,$EH$5:$EL$9,2,0),$EI$10&lt;=VLOOKUP(EK607,$EH$5:$EL$9,3,0)),
(EJ607*(1-VLOOKUP(EK607,$EH$5:$EL$9,4,0))),
EJ607))</f>
        <v>0</v>
      </c>
    </row>
    <row r="608" spans="51:142">
      <c r="AY608" s="154" t="s">
        <v>665</v>
      </c>
      <c r="AZ608" s="137" t="s">
        <v>1722</v>
      </c>
      <c r="BA608" s="138" t="str">
        <f t="shared" si="353"/>
        <v>ДП ПОЛЛО.3/2.фальц.</v>
      </c>
      <c r="BW608" s="250" t="s">
        <v>1176</v>
      </c>
      <c r="BX608" s="770" t="s">
        <v>3851</v>
      </c>
      <c r="BY608" s="138" t="str">
        <f t="shared" si="335"/>
        <v>ДП МОДЕРН.3А/1.Графіт</v>
      </c>
      <c r="CA608" s="146" t="s">
        <v>3297</v>
      </c>
      <c r="CB608" s="137" t="s">
        <v>4307</v>
      </c>
      <c r="CC608" s="138" t="str">
        <f>CONCATENATE(CA608,".",CB608)</f>
        <v>ДП ЛАДА-ЛОФТ.фальц,.робоча..Soft ст +3завіс</v>
      </c>
      <c r="DD608" s="739" t="s">
        <v>5226</v>
      </c>
      <c r="DE608" s="164">
        <v>8960</v>
      </c>
      <c r="DF608" s="528">
        <f t="shared" si="345"/>
        <v>8960</v>
      </c>
      <c r="DG608" s="523"/>
      <c r="DH608" s="530">
        <f t="shared" si="336"/>
        <v>8960</v>
      </c>
      <c r="DP608" s="740" t="s">
        <v>2821</v>
      </c>
      <c r="DQ608" s="166">
        <v>0</v>
      </c>
      <c r="DR608" s="522">
        <f t="shared" si="346"/>
        <v>0</v>
      </c>
      <c r="DS608" s="523"/>
      <c r="DT608" s="524">
        <f t="shared" si="347"/>
        <v>0</v>
      </c>
      <c r="DV608" s="738" t="s">
        <v>4665</v>
      </c>
      <c r="DW608" s="166">
        <v>800</v>
      </c>
      <c r="DX608" s="522">
        <f t="shared" si="350"/>
        <v>800</v>
      </c>
      <c r="DY608" s="523"/>
      <c r="DZ608" s="524">
        <f t="shared" si="351"/>
        <v>800</v>
      </c>
      <c r="EH608" s="739" t="s">
        <v>5227</v>
      </c>
      <c r="EI608" s="164">
        <v>770</v>
      </c>
      <c r="EJ608" s="531">
        <f>ROUND(((EI608-(EI608/6))/$DD$3)*$DE$3,2)</f>
        <v>770</v>
      </c>
      <c r="EK608" s="526"/>
      <c r="EL608" s="527">
        <v>750</v>
      </c>
    </row>
    <row r="609" spans="51:142">
      <c r="AY609" s="154" t="s">
        <v>665</v>
      </c>
      <c r="AZ609" s="137" t="s">
        <v>1723</v>
      </c>
      <c r="BA609" s="138" t="str">
        <f t="shared" si="353"/>
        <v>ДП ПОЛЛО.3/2.б/з фальц.</v>
      </c>
      <c r="BW609" s="249" t="s">
        <v>1176</v>
      </c>
      <c r="BX609" s="248" t="s">
        <v>832</v>
      </c>
      <c r="BY609" s="139" t="str">
        <f t="shared" si="335"/>
        <v>ДП МОДЕРН.3А/1.Бронза</v>
      </c>
      <c r="CA609" s="146" t="s">
        <v>3297</v>
      </c>
      <c r="CB609" s="21"/>
      <c r="CC609" s="21"/>
      <c r="DD609" s="641"/>
      <c r="DE609" s="642"/>
      <c r="DF609" s="643"/>
      <c r="DG609" s="644"/>
      <c r="DH609" s="645"/>
      <c r="DP609" s="740" t="s">
        <v>4005</v>
      </c>
      <c r="DQ609" s="166">
        <v>550</v>
      </c>
      <c r="DR609" s="522">
        <f t="shared" si="346"/>
        <v>550</v>
      </c>
      <c r="DS609" s="523"/>
      <c r="DT609" s="524">
        <f t="shared" si="347"/>
        <v>550</v>
      </c>
      <c r="DV609" s="739" t="s">
        <v>4666</v>
      </c>
      <c r="DW609" s="164">
        <v>800</v>
      </c>
      <c r="DX609" s="525">
        <f t="shared" si="350"/>
        <v>800</v>
      </c>
      <c r="DY609" s="526"/>
      <c r="DZ609" s="527">
        <f t="shared" si="351"/>
        <v>800</v>
      </c>
      <c r="EH609" s="738" t="s">
        <v>3795</v>
      </c>
      <c r="EI609" s="166">
        <v>0</v>
      </c>
      <c r="EJ609" s="522">
        <f t="shared" si="348"/>
        <v>0</v>
      </c>
      <c r="EK609" s="523"/>
      <c r="EL609" s="524">
        <f t="shared" si="349"/>
        <v>0</v>
      </c>
    </row>
    <row r="610" spans="51:142">
      <c r="AY610" s="155" t="s">
        <v>665</v>
      </c>
      <c r="AZ610" s="62" t="s">
        <v>1724</v>
      </c>
      <c r="BA610" s="139" t="str">
        <f t="shared" si="353"/>
        <v>ДП ПОЛЛО.3/2.купе.</v>
      </c>
      <c r="BW610" s="251" t="s">
        <v>1177</v>
      </c>
      <c r="BX610" s="246" t="s">
        <v>458</v>
      </c>
      <c r="BY610" s="135" t="str">
        <f t="shared" si="335"/>
        <v>ДП МОДЕРН.3А/2.Сатин</v>
      </c>
      <c r="CA610" s="146" t="s">
        <v>3297</v>
      </c>
      <c r="CB610" s="137" t="s">
        <v>4316</v>
      </c>
      <c r="CC610" s="138" t="str">
        <f>CONCATENATE(CA610,".",CB610)</f>
        <v>ДП ЛАДА-ЛОФТ.фальц,.робоча..Magnet цл +3завіс</v>
      </c>
      <c r="DD610" s="251" t="s">
        <v>2684</v>
      </c>
      <c r="DE610" s="163">
        <v>6950</v>
      </c>
      <c r="DF610" s="528">
        <f>ROUND(((DE610-(DE610/6))/$DD$3)*$DE$3,2)</f>
        <v>6950</v>
      </c>
      <c r="DG610" s="529"/>
      <c r="DH610" s="530">
        <f t="shared" ref="DH610:DH619" si="354">IF(DG610="",DF610,
IF(AND($DE$10&gt;=VLOOKUP(DG610,$DD$5:$DH$9,2,0),$DE$10&lt;=VLOOKUP(DG610,$DD$5:$DH$9,3,0)),
(DF610*(1-VLOOKUP(DG610,$DD$5:$DH$9,4,0))),
DF610))</f>
        <v>6950</v>
      </c>
      <c r="DP610" s="741" t="s">
        <v>2822</v>
      </c>
      <c r="DQ610" s="164">
        <v>550</v>
      </c>
      <c r="DR610" s="531">
        <f t="shared" si="346"/>
        <v>550</v>
      </c>
      <c r="DS610" s="526"/>
      <c r="DT610" s="527">
        <f t="shared" si="347"/>
        <v>550</v>
      </c>
      <c r="DV610" s="738" t="s">
        <v>4665</v>
      </c>
      <c r="DW610" s="166">
        <v>800</v>
      </c>
      <c r="DX610" s="522">
        <f>ROUND(((DW610-(DW610/6))/$DD$3)*$DE$3,2)</f>
        <v>800</v>
      </c>
      <c r="DY610" s="523"/>
      <c r="DZ610" s="524">
        <f>IF(DY610="",DX610,
IF(AND($DW$10&gt;=VLOOKUP(DY610,$DV$5:$DZ$9,2,0),$DW$10&lt;=VLOOKUP(DY610,$DV$5:$DZ$9,3,0)),
(DX610*(1-VLOOKUP(DY610,$DV$5:$DZ$9,4,0))),
DX610))</f>
        <v>800</v>
      </c>
      <c r="EH610" s="739" t="s">
        <v>3796</v>
      </c>
      <c r="EI610" s="164">
        <v>770</v>
      </c>
      <c r="EJ610" s="531">
        <f>ROUND(((EI610-(EI610/6))/$DD$3)*$DE$3,2)</f>
        <v>770</v>
      </c>
      <c r="EK610" s="526"/>
      <c r="EL610" s="527">
        <v>750</v>
      </c>
    </row>
    <row r="611" spans="51:142">
      <c r="AY611" s="154" t="s">
        <v>666</v>
      </c>
      <c r="AZ611" s="137" t="s">
        <v>1722</v>
      </c>
      <c r="BA611" s="138" t="str">
        <f t="shared" si="353"/>
        <v>ДП ПОЛЛО.3/4.фальц.</v>
      </c>
      <c r="BW611" s="250" t="s">
        <v>1177</v>
      </c>
      <c r="BX611" s="770" t="s">
        <v>3851</v>
      </c>
      <c r="BY611" s="138" t="str">
        <f t="shared" si="335"/>
        <v>ДП МОДЕРН.3А/2.Графіт</v>
      </c>
      <c r="CA611" s="147" t="s">
        <v>3297</v>
      </c>
      <c r="CB611" s="62" t="s">
        <v>4319</v>
      </c>
      <c r="CC611" s="138" t="str">
        <f>CONCATENATE(CA611,".",CB611)</f>
        <v>ДП ЛАДА-ЛОФТ.фальц,.робоча..Magnet ст +3завіс</v>
      </c>
      <c r="DD611" s="250" t="s">
        <v>2685</v>
      </c>
      <c r="DE611" s="166">
        <v>6950</v>
      </c>
      <c r="DF611" s="528">
        <f t="shared" ref="DF611:DF674" si="355">ROUND(((DE611-(DE611/6))/$DD$3)*$DE$3,2)</f>
        <v>6950</v>
      </c>
      <c r="DG611" s="529"/>
      <c r="DH611" s="524">
        <f t="shared" si="354"/>
        <v>6950</v>
      </c>
      <c r="DP611" s="740" t="s">
        <v>2823</v>
      </c>
      <c r="DQ611" s="166">
        <v>0</v>
      </c>
      <c r="DR611" s="522">
        <f t="shared" si="346"/>
        <v>0</v>
      </c>
      <c r="DS611" s="523"/>
      <c r="DT611" s="524">
        <f t="shared" si="347"/>
        <v>0</v>
      </c>
      <c r="DV611" s="739" t="s">
        <v>4666</v>
      </c>
      <c r="DW611" s="164">
        <v>800</v>
      </c>
      <c r="DX611" s="525">
        <f>ROUND(((DW611-(DW611/6))/$DD$3)*$DE$3,2)</f>
        <v>800</v>
      </c>
      <c r="DY611" s="526"/>
      <c r="DZ611" s="527">
        <f>IF(DY611="",DX611,
IF(AND($DW$10&gt;=VLOOKUP(DY611,$DV$5:$DZ$9,2,0),$DW$10&lt;=VLOOKUP(DY611,$DV$5:$DZ$9,3,0)),
(DX611*(1-VLOOKUP(DY611,$DV$5:$DZ$9,4,0))),
DX611))</f>
        <v>800</v>
      </c>
      <c r="EH611" s="538"/>
      <c r="EI611" s="539"/>
      <c r="EJ611" s="650"/>
      <c r="EK611" s="651"/>
      <c r="EL611" s="652"/>
    </row>
    <row r="612" spans="51:142">
      <c r="AY612" s="154" t="s">
        <v>666</v>
      </c>
      <c r="AZ612" s="137" t="s">
        <v>1723</v>
      </c>
      <c r="BA612" s="138" t="str">
        <f t="shared" si="353"/>
        <v>ДП ПОЛЛО.3/4.б/з фальц.</v>
      </c>
      <c r="BW612" s="249" t="s">
        <v>1177</v>
      </c>
      <c r="BX612" s="248" t="s">
        <v>832</v>
      </c>
      <c r="BY612" s="139" t="str">
        <f t="shared" si="335"/>
        <v>ДП МОДЕРН.3А/2.Бронза</v>
      </c>
      <c r="CA612" s="145" t="s">
        <v>3298</v>
      </c>
      <c r="CB612" s="134" t="s">
        <v>4106</v>
      </c>
      <c r="CC612" s="135" t="str">
        <f>CONCATENATE(CA612,".",CB612)</f>
        <v>ДП ЛАДА-ЛОФТ.фальц,.неробоча,.(ні)</v>
      </c>
      <c r="DD612" s="250" t="s">
        <v>2686</v>
      </c>
      <c r="DE612" s="166">
        <v>6950</v>
      </c>
      <c r="DF612" s="528">
        <f t="shared" si="355"/>
        <v>6950</v>
      </c>
      <c r="DG612" s="529"/>
      <c r="DH612" s="524">
        <f t="shared" si="354"/>
        <v>6950</v>
      </c>
      <c r="DP612" s="740" t="s">
        <v>4006</v>
      </c>
      <c r="DQ612" s="166">
        <v>550</v>
      </c>
      <c r="DR612" s="522">
        <f t="shared" si="346"/>
        <v>550</v>
      </c>
      <c r="DS612" s="523"/>
      <c r="DT612" s="524">
        <f t="shared" si="347"/>
        <v>550</v>
      </c>
      <c r="DV612" s="738" t="s">
        <v>6351</v>
      </c>
      <c r="DW612" s="166">
        <v>1</v>
      </c>
      <c r="DX612" s="522">
        <f>ROUND(((DW612-(DW612/6))/$DD$3)*$DE$3,2)</f>
        <v>1</v>
      </c>
      <c r="DY612" s="523"/>
      <c r="DZ612" s="524">
        <f>IF(DY612="",DX612,
IF(AND($DW$10&gt;=VLOOKUP(DY612,$DV$5:$DZ$9,2,0),$DW$10&lt;=VLOOKUP(DY612,$DV$5:$DZ$9,3,0)),
(DX612*(1-VLOOKUP(DY612,$DV$5:$DZ$9,4,0))),
DX612))</f>
        <v>1</v>
      </c>
      <c r="EH612" s="738" t="s">
        <v>5009</v>
      </c>
      <c r="EI612" s="166">
        <v>0</v>
      </c>
      <c r="EJ612" s="522">
        <f t="shared" ref="EJ612:EJ627" si="356">ROUND(((EI612-(EI612/6))/$DD$3)*$DE$3,2)</f>
        <v>0</v>
      </c>
      <c r="EK612" s="523"/>
      <c r="EL612" s="524">
        <f t="shared" ref="EL612:EL627" si="357">IF(EK612="",EJ612,
IF(AND($EI$10&gt;=VLOOKUP(EK612,$EH$5:$EL$9,2,0),$EI$10&lt;=VLOOKUP(EK612,$EH$5:$EL$9,3,0)),
(EJ612*(1-VLOOKUP(EK612,$EH$5:$EL$9,4,0))),
EJ612))</f>
        <v>0</v>
      </c>
    </row>
    <row r="613" spans="51:142">
      <c r="AY613" s="155" t="s">
        <v>666</v>
      </c>
      <c r="AZ613" s="62" t="s">
        <v>1724</v>
      </c>
      <c r="BA613" s="139" t="str">
        <f t="shared" si="353"/>
        <v>ДП ПОЛЛО.3/4.купе.</v>
      </c>
      <c r="BW613" s="432"/>
      <c r="BX613" s="432"/>
      <c r="BY613" s="432"/>
      <c r="CA613" s="146" t="s">
        <v>3298</v>
      </c>
      <c r="CB613" s="21"/>
      <c r="CC613" s="21"/>
      <c r="DD613" s="250" t="s">
        <v>2687</v>
      </c>
      <c r="DE613" s="166">
        <v>6950</v>
      </c>
      <c r="DF613" s="528">
        <f>ROUND(((DE613-(DE613/6))/$DD$3)*$DE$3,2)</f>
        <v>6950</v>
      </c>
      <c r="DG613" s="529"/>
      <c r="DH613" s="524">
        <f t="shared" si="354"/>
        <v>6950</v>
      </c>
      <c r="DP613" s="741" t="s">
        <v>2824</v>
      </c>
      <c r="DQ613" s="164">
        <v>550</v>
      </c>
      <c r="DR613" s="531">
        <f t="shared" si="346"/>
        <v>550</v>
      </c>
      <c r="DS613" s="526"/>
      <c r="DT613" s="527">
        <f t="shared" si="347"/>
        <v>550</v>
      </c>
      <c r="DV613" s="739" t="s">
        <v>6352</v>
      </c>
      <c r="DW613" s="164">
        <v>1</v>
      </c>
      <c r="DX613" s="525">
        <f>ROUND(((DW613-(DW613/6))/$DD$3)*$DE$3,2)</f>
        <v>1</v>
      </c>
      <c r="DY613" s="526"/>
      <c r="DZ613" s="527">
        <f>IF(DY613="",DX613,
IF(AND($DW$10&gt;=VLOOKUP(DY613,$DV$5:$DZ$9,2,0),$DW$10&lt;=VLOOKUP(DY613,$DV$5:$DZ$9,3,0)),
(DX613*(1-VLOOKUP(DY613,$DV$5:$DZ$9,4,0))),
DX613))</f>
        <v>1</v>
      </c>
      <c r="EH613" s="739" t="s">
        <v>5010</v>
      </c>
      <c r="EI613" s="164">
        <v>660</v>
      </c>
      <c r="EJ613" s="531">
        <f t="shared" si="356"/>
        <v>660</v>
      </c>
      <c r="EK613" s="526"/>
      <c r="EL613" s="527">
        <f t="shared" si="357"/>
        <v>660</v>
      </c>
    </row>
    <row r="614" spans="51:142">
      <c r="AY614" s="154" t="s">
        <v>667</v>
      </c>
      <c r="AZ614" s="137" t="s">
        <v>1722</v>
      </c>
      <c r="BA614" s="138" t="str">
        <f t="shared" si="353"/>
        <v>ДП ПОЛЛО.3/6.фальц.</v>
      </c>
      <c r="BW614" s="249" t="s">
        <v>664</v>
      </c>
      <c r="BX614" s="782" t="s">
        <v>4106</v>
      </c>
      <c r="BY614" s="139" t="str">
        <f t="shared" ref="BY614:BY632" si="358">CONCATENATE(BW614,".",BX614)</f>
        <v>ДП ПОЛЛО.3/0.(ні)</v>
      </c>
      <c r="CA614" s="146" t="s">
        <v>3298</v>
      </c>
      <c r="CB614" s="783" t="s">
        <v>4325</v>
      </c>
      <c r="CC614" s="138" t="str">
        <f>CONCATENATE(CA614,".",CB614)</f>
        <v>ДП ЛАДА-ЛОФТ.фальц,.неробоча,.Пл Stand +3завіс</v>
      </c>
      <c r="DD614" s="250" t="s">
        <v>2688</v>
      </c>
      <c r="DE614" s="166">
        <v>6950</v>
      </c>
      <c r="DF614" s="528">
        <f t="shared" si="355"/>
        <v>6950</v>
      </c>
      <c r="DG614" s="529"/>
      <c r="DH614" s="524">
        <f t="shared" si="354"/>
        <v>6950</v>
      </c>
      <c r="DP614" s="538"/>
      <c r="DQ614" s="539"/>
      <c r="DR614" s="650"/>
      <c r="DS614" s="651"/>
      <c r="DT614" s="652"/>
      <c r="DV614" s="738" t="s">
        <v>6351</v>
      </c>
      <c r="DW614" s="166">
        <v>1</v>
      </c>
      <c r="DX614" s="522">
        <f t="shared" si="350"/>
        <v>1</v>
      </c>
      <c r="DY614" s="523"/>
      <c r="DZ614" s="524">
        <f t="shared" si="351"/>
        <v>1</v>
      </c>
      <c r="EH614" s="738" t="s">
        <v>3797</v>
      </c>
      <c r="EI614" s="166">
        <v>0</v>
      </c>
      <c r="EJ614" s="522">
        <f t="shared" si="356"/>
        <v>0</v>
      </c>
      <c r="EK614" s="523"/>
      <c r="EL614" s="524">
        <f t="shared" si="357"/>
        <v>0</v>
      </c>
    </row>
    <row r="615" spans="51:142">
      <c r="AY615" s="154" t="s">
        <v>667</v>
      </c>
      <c r="AZ615" s="137" t="s">
        <v>1723</v>
      </c>
      <c r="BA615" s="138" t="str">
        <f t="shared" si="353"/>
        <v>ДП ПОЛЛО.3/6.б/з фальц.</v>
      </c>
      <c r="BW615" s="251" t="s">
        <v>665</v>
      </c>
      <c r="BX615" s="246" t="s">
        <v>458</v>
      </c>
      <c r="BY615" s="135" t="str">
        <f t="shared" si="358"/>
        <v>ДП ПОЛЛО.3/2.Сатин</v>
      </c>
      <c r="CA615" s="146" t="s">
        <v>3298</v>
      </c>
      <c r="CB615" s="783" t="s">
        <v>4333</v>
      </c>
      <c r="CC615" s="138" t="str">
        <f>CONCATENATE(CA615,".",CB615)</f>
        <v>ДП ЛАДА-ЛОФТ.фальц,.неробоча,.Пл Soft +3завіс</v>
      </c>
      <c r="DD615" s="250" t="s">
        <v>2689</v>
      </c>
      <c r="DE615" s="166">
        <v>6950</v>
      </c>
      <c r="DF615" s="528">
        <f t="shared" si="355"/>
        <v>6950</v>
      </c>
      <c r="DG615" s="529"/>
      <c r="DH615" s="524">
        <f t="shared" si="354"/>
        <v>6950</v>
      </c>
      <c r="DP615" s="736" t="s">
        <v>4178</v>
      </c>
      <c r="DQ615" s="105">
        <v>0</v>
      </c>
      <c r="DR615" s="403">
        <f>ROUND(((DQ615-(DQ615/6))/$DD$3)*$DE$3,2)</f>
        <v>0</v>
      </c>
      <c r="DS615" s="514"/>
      <c r="DT615" s="511">
        <f t="shared" ref="DT615:DT663" si="359">IF(DS615="",DR615,
IF(AND($DQ$10&gt;=VLOOKUP(DS615,$DP$5:$DT$9,2,0),$DQ$10&lt;=VLOOKUP(DS615,$DP$5:$DT$9,3,0)),
(DR615*(1-VLOOKUP(DS615,$DP$5:$DT$9,4,0))),
DR615))</f>
        <v>0</v>
      </c>
      <c r="DV615" s="739" t="s">
        <v>6352</v>
      </c>
      <c r="DW615" s="164">
        <v>1</v>
      </c>
      <c r="DX615" s="525">
        <f t="shared" si="350"/>
        <v>1</v>
      </c>
      <c r="DY615" s="526"/>
      <c r="DZ615" s="527">
        <f t="shared" si="351"/>
        <v>1</v>
      </c>
      <c r="EH615" s="739" t="s">
        <v>3798</v>
      </c>
      <c r="EI615" s="164">
        <v>660</v>
      </c>
      <c r="EJ615" s="531">
        <f t="shared" si="356"/>
        <v>660</v>
      </c>
      <c r="EK615" s="526"/>
      <c r="EL615" s="527">
        <f t="shared" si="357"/>
        <v>660</v>
      </c>
    </row>
    <row r="616" spans="51:142">
      <c r="AY616" s="155" t="s">
        <v>667</v>
      </c>
      <c r="AZ616" s="62" t="s">
        <v>1724</v>
      </c>
      <c r="BA616" s="139" t="str">
        <f t="shared" si="353"/>
        <v>ДП ПОЛЛО.3/6.купе.</v>
      </c>
      <c r="BW616" s="250" t="s">
        <v>665</v>
      </c>
      <c r="BX616" s="770" t="s">
        <v>3851</v>
      </c>
      <c r="BY616" s="138" t="str">
        <f t="shared" si="358"/>
        <v>ДП ПОЛЛО.3/2.Графіт</v>
      </c>
      <c r="CA616" s="147" t="s">
        <v>3298</v>
      </c>
      <c r="CB616" s="152" t="s">
        <v>4336</v>
      </c>
      <c r="CC616" s="139" t="str">
        <f>CONCATENATE(CA616,".",CB616)</f>
        <v>ДП ЛАДА-ЛОФТ.фальц,.неробоча,.Пл Magnet +3завіс</v>
      </c>
      <c r="DD616" s="250" t="s">
        <v>2690</v>
      </c>
      <c r="DE616" s="166">
        <v>6950</v>
      </c>
      <c r="DF616" s="528">
        <f t="shared" si="355"/>
        <v>6950</v>
      </c>
      <c r="DG616" s="529"/>
      <c r="DH616" s="524">
        <f t="shared" si="354"/>
        <v>6950</v>
      </c>
      <c r="DP616" s="162" t="s">
        <v>1193</v>
      </c>
      <c r="DQ616" s="163">
        <v>0</v>
      </c>
      <c r="DR616" s="528">
        <f t="shared" ref="DR616:DR627" si="360">ROUND(((DQ616-(DQ616/6))/$DD$3)*$DE$3,2)</f>
        <v>0</v>
      </c>
      <c r="DS616" s="529"/>
      <c r="DT616" s="530">
        <f t="shared" si="359"/>
        <v>0</v>
      </c>
      <c r="DV616" s="737" t="s">
        <v>4667</v>
      </c>
      <c r="DW616" s="163">
        <v>0</v>
      </c>
      <c r="DX616" s="528">
        <f t="shared" si="350"/>
        <v>0</v>
      </c>
      <c r="DY616" s="529"/>
      <c r="DZ616" s="530">
        <f t="shared" si="351"/>
        <v>0</v>
      </c>
      <c r="EH616" s="738" t="s">
        <v>3799</v>
      </c>
      <c r="EI616" s="166">
        <v>0</v>
      </c>
      <c r="EJ616" s="522">
        <f>ROUND(((EI616-(EI616/6))/$DD$3)*$DE$3,2)</f>
        <v>0</v>
      </c>
      <c r="EK616" s="523"/>
      <c r="EL616" s="524">
        <f>IF(EK616="",EJ616,
IF(AND($EI$10&gt;=VLOOKUP(EK616,$EH$5:$EL$9,2,0),$EI$10&lt;=VLOOKUP(EK616,$EH$5:$EL$9,3,0)),
(EJ616*(1-VLOOKUP(EK616,$EH$5:$EL$9,4,0))),
EJ616))</f>
        <v>0</v>
      </c>
    </row>
    <row r="617" spans="51:142">
      <c r="AY617" s="154" t="s">
        <v>670</v>
      </c>
      <c r="AZ617" s="137" t="s">
        <v>1722</v>
      </c>
      <c r="BA617" s="138" t="str">
        <f t="shared" si="353"/>
        <v>ДП ПОЛЛО.3А/3.фальц.</v>
      </c>
      <c r="BW617" s="249" t="s">
        <v>665</v>
      </c>
      <c r="BX617" s="248" t="s">
        <v>832</v>
      </c>
      <c r="BY617" s="139" t="str">
        <f t="shared" si="358"/>
        <v>ДП ПОЛЛО.3/2.Бронза</v>
      </c>
      <c r="CA617" s="146" t="s">
        <v>3299</v>
      </c>
      <c r="CB617" s="137" t="s">
        <v>4106</v>
      </c>
      <c r="CC617" s="239" t="str">
        <f>CONCATENATE(CA617,".",CB617)</f>
        <v>ДП ЛАДА-ЛОФТ.б/з фальц..робоча..(ні)</v>
      </c>
      <c r="DD617" s="250" t="s">
        <v>2691</v>
      </c>
      <c r="DE617" s="166">
        <v>6950</v>
      </c>
      <c r="DF617" s="528">
        <f t="shared" si="355"/>
        <v>6950</v>
      </c>
      <c r="DG617" s="529"/>
      <c r="DH617" s="524">
        <f t="shared" si="354"/>
        <v>6950</v>
      </c>
      <c r="DP617" s="738" t="s">
        <v>4007</v>
      </c>
      <c r="DQ617" s="166">
        <v>550</v>
      </c>
      <c r="DR617" s="522">
        <f t="shared" si="360"/>
        <v>550</v>
      </c>
      <c r="DS617" s="523"/>
      <c r="DT617" s="524">
        <f t="shared" si="359"/>
        <v>550</v>
      </c>
      <c r="DV617" s="738" t="s">
        <v>4668</v>
      </c>
      <c r="DW617" s="166">
        <v>0</v>
      </c>
      <c r="DX617" s="522">
        <f t="shared" si="350"/>
        <v>0</v>
      </c>
      <c r="DY617" s="523"/>
      <c r="DZ617" s="524">
        <f t="shared" si="351"/>
        <v>0</v>
      </c>
      <c r="EH617" s="739" t="s">
        <v>3800</v>
      </c>
      <c r="EI617" s="164">
        <v>660</v>
      </c>
      <c r="EJ617" s="531">
        <f>ROUND(((EI617-(EI617/6))/$DD$3)*$DE$3,2)</f>
        <v>660</v>
      </c>
      <c r="EK617" s="526"/>
      <c r="EL617" s="527">
        <f>IF(EK617="",EJ617,
IF(AND($EI$10&gt;=VLOOKUP(EK617,$EH$5:$EL$9,2,0),$EI$10&lt;=VLOOKUP(EK617,$EH$5:$EL$9,3,0)),
(EJ617*(1-VLOOKUP(EK617,$EH$5:$EL$9,4,0))),
EJ617))</f>
        <v>660</v>
      </c>
    </row>
    <row r="618" spans="51:142">
      <c r="AY618" s="154" t="s">
        <v>670</v>
      </c>
      <c r="AZ618" s="137" t="s">
        <v>1723</v>
      </c>
      <c r="BA618" s="138" t="str">
        <f t="shared" si="353"/>
        <v>ДП ПОЛЛО.3А/3.б/з фальц.</v>
      </c>
      <c r="BW618" s="251" t="s">
        <v>666</v>
      </c>
      <c r="BX618" s="246" t="s">
        <v>458</v>
      </c>
      <c r="BY618" s="135" t="str">
        <f t="shared" si="358"/>
        <v>ДП ПОЛЛО.3/4.Сатин</v>
      </c>
      <c r="CA618" s="146" t="s">
        <v>3299</v>
      </c>
      <c r="CB618" s="97"/>
      <c r="CC618" s="97"/>
      <c r="DD618" s="250" t="s">
        <v>2692</v>
      </c>
      <c r="DE618" s="166">
        <v>6950</v>
      </c>
      <c r="DF618" s="528">
        <f t="shared" si="355"/>
        <v>6950</v>
      </c>
      <c r="DG618" s="529"/>
      <c r="DH618" s="524">
        <f t="shared" si="354"/>
        <v>6950</v>
      </c>
      <c r="DP618" s="108" t="s">
        <v>1194</v>
      </c>
      <c r="DQ618" s="164">
        <v>550</v>
      </c>
      <c r="DR618" s="531">
        <f t="shared" si="360"/>
        <v>550</v>
      </c>
      <c r="DS618" s="526"/>
      <c r="DT618" s="527">
        <f t="shared" si="359"/>
        <v>550</v>
      </c>
      <c r="DV618" s="739" t="s">
        <v>4669</v>
      </c>
      <c r="DW618" s="164">
        <v>0</v>
      </c>
      <c r="DX618" s="531">
        <f t="shared" ref="DX618:DX624" si="361">ROUND(((DW618-(DW618/6))/$DD$3)*$DE$3,2)</f>
        <v>0</v>
      </c>
      <c r="DY618" s="526"/>
      <c r="DZ618" s="527">
        <f t="shared" ref="DZ618:DZ624" si="362">IF(DY618="",DX618,
IF(AND($DW$10&gt;=VLOOKUP(DY618,$DV$5:$DZ$9,2,0),$DW$10&lt;=VLOOKUP(DY618,$DV$5:$DZ$9,3,0)),
(DX618*(1-VLOOKUP(DY618,$DV$5:$DZ$9,4,0))),
DX618))</f>
        <v>0</v>
      </c>
      <c r="EH618" s="738" t="s">
        <v>3801</v>
      </c>
      <c r="EI618" s="166">
        <v>0</v>
      </c>
      <c r="EJ618" s="522">
        <f>ROUND(((EI618-(EI618/6))/$DD$3)*$DE$3,2)</f>
        <v>0</v>
      </c>
      <c r="EK618" s="523"/>
      <c r="EL618" s="524">
        <f>IF(EK618="",EJ618,
IF(AND($EI$10&gt;=VLOOKUP(EK618,$EH$5:$EL$9,2,0),$EI$10&lt;=VLOOKUP(EK618,$EH$5:$EL$9,3,0)),
(EJ618*(1-VLOOKUP(EK618,$EH$5:$EL$9,4,0))),
EJ618))</f>
        <v>0</v>
      </c>
    </row>
    <row r="619" spans="51:142">
      <c r="AY619" s="155" t="s">
        <v>670</v>
      </c>
      <c r="AZ619" s="62" t="s">
        <v>1724</v>
      </c>
      <c r="BA619" s="139" t="str">
        <f t="shared" si="353"/>
        <v>ДП ПОЛЛО.3А/3.купе.</v>
      </c>
      <c r="BW619" s="250" t="s">
        <v>666</v>
      </c>
      <c r="BX619" s="770" t="s">
        <v>3851</v>
      </c>
      <c r="BY619" s="138" t="str">
        <f t="shared" si="358"/>
        <v>ДП ПОЛЛО.3/4.Графіт</v>
      </c>
      <c r="CA619" s="146" t="s">
        <v>3299</v>
      </c>
      <c r="CB619" s="478" t="s">
        <v>4337</v>
      </c>
      <c r="CC619" s="239" t="str">
        <f>CONCATENATE(CA619,".",CB619)</f>
        <v>ДП ЛАДА-ЛОФТ.б/з фальц..робоча..Magnet цл б/з завіс.</v>
      </c>
      <c r="DD619" s="249" t="s">
        <v>2693</v>
      </c>
      <c r="DE619" s="164">
        <v>6950</v>
      </c>
      <c r="DF619" s="528">
        <f t="shared" si="355"/>
        <v>6950</v>
      </c>
      <c r="DG619" s="529"/>
      <c r="DH619" s="527">
        <f t="shared" si="354"/>
        <v>6950</v>
      </c>
      <c r="DP619" s="165" t="s">
        <v>1195</v>
      </c>
      <c r="DQ619" s="166">
        <v>0</v>
      </c>
      <c r="DR619" s="522">
        <f t="shared" si="360"/>
        <v>0</v>
      </c>
      <c r="DS619" s="523"/>
      <c r="DT619" s="524">
        <f t="shared" si="359"/>
        <v>0</v>
      </c>
      <c r="DV619" s="738" t="s">
        <v>4670</v>
      </c>
      <c r="DW619" s="166">
        <v>800</v>
      </c>
      <c r="DX619" s="522">
        <f t="shared" si="361"/>
        <v>800</v>
      </c>
      <c r="DY619" s="523"/>
      <c r="DZ619" s="524">
        <f t="shared" si="362"/>
        <v>800</v>
      </c>
      <c r="EH619" s="739" t="s">
        <v>3802</v>
      </c>
      <c r="EI619" s="164">
        <v>760</v>
      </c>
      <c r="EJ619" s="531">
        <f>ROUND(((EI619-(EI619/6))/$DD$3)*$DE$3,2)</f>
        <v>760</v>
      </c>
      <c r="EK619" s="526"/>
      <c r="EL619" s="527">
        <f>IF(EK619="",EJ619,
IF(AND($EI$10&gt;=VLOOKUP(EK619,$EH$5:$EL$9,2,0),$EI$10&lt;=VLOOKUP(EK619,$EH$5:$EL$9,3,0)),
(EJ619*(1-VLOOKUP(EK619,$EH$5:$EL$9,4,0))),
EJ619))</f>
        <v>760</v>
      </c>
    </row>
    <row r="620" spans="51:142">
      <c r="AY620" s="154" t="s">
        <v>673</v>
      </c>
      <c r="AZ620" s="137" t="s">
        <v>1722</v>
      </c>
      <c r="BA620" s="138" t="str">
        <f t="shared" si="353"/>
        <v>ДП ПОЛЛО.3А/5.фальц.</v>
      </c>
      <c r="BW620" s="249" t="s">
        <v>666</v>
      </c>
      <c r="BX620" s="248" t="s">
        <v>832</v>
      </c>
      <c r="BY620" s="139" t="str">
        <f t="shared" si="358"/>
        <v>ДП ПОЛЛО.3/4.Бронза</v>
      </c>
      <c r="CA620" s="146" t="s">
        <v>3299</v>
      </c>
      <c r="CB620" s="478" t="s">
        <v>4339</v>
      </c>
      <c r="CC620" s="239" t="str">
        <f>CONCATENATE(CA620,".",CB620)</f>
        <v>ДП ЛАДА-ЛОФТ.б/з фальц..робоча..Magnet ст б/з завіс.</v>
      </c>
      <c r="DD620" s="250" t="s">
        <v>2694</v>
      </c>
      <c r="DE620" s="166">
        <v>7920</v>
      </c>
      <c r="DF620" s="528">
        <f t="shared" si="355"/>
        <v>7920</v>
      </c>
      <c r="DG620" s="529"/>
      <c r="DH620" s="524">
        <f t="shared" ref="DH620:DH629" si="363">IF(DG620="",DF620,
IF(AND($DE$10&gt;=VLOOKUP(DG620,$DD$5:$DH$9,2,0),$DE$10&lt;=VLOOKUP(DG620,$DD$5:$DH$9,3,0)),
(DF620*(1-VLOOKUP(DG620,$DD$5:$DH$9,4,0))),
DF620))</f>
        <v>7920</v>
      </c>
      <c r="DP620" s="738" t="s">
        <v>4008</v>
      </c>
      <c r="DQ620" s="166">
        <v>550</v>
      </c>
      <c r="DR620" s="522">
        <f t="shared" si="360"/>
        <v>550</v>
      </c>
      <c r="DS620" s="523"/>
      <c r="DT620" s="524">
        <f t="shared" si="359"/>
        <v>550</v>
      </c>
      <c r="DV620" s="738" t="s">
        <v>4671</v>
      </c>
      <c r="DW620" s="166">
        <v>800</v>
      </c>
      <c r="DX620" s="522">
        <f t="shared" si="361"/>
        <v>800</v>
      </c>
      <c r="DY620" s="523"/>
      <c r="DZ620" s="524">
        <f t="shared" si="362"/>
        <v>800</v>
      </c>
      <c r="EH620" s="738" t="s">
        <v>3803</v>
      </c>
      <c r="EI620" s="166">
        <v>0</v>
      </c>
      <c r="EJ620" s="522">
        <f t="shared" si="356"/>
        <v>0</v>
      </c>
      <c r="EK620" s="523"/>
      <c r="EL620" s="524">
        <f t="shared" si="357"/>
        <v>0</v>
      </c>
    </row>
    <row r="621" spans="51:142">
      <c r="AY621" s="154" t="s">
        <v>673</v>
      </c>
      <c r="AZ621" s="137" t="s">
        <v>1723</v>
      </c>
      <c r="BA621" s="138" t="str">
        <f t="shared" si="353"/>
        <v>ДП ПОЛЛО.3А/5.б/з фальц.</v>
      </c>
      <c r="BW621" s="251" t="s">
        <v>667</v>
      </c>
      <c r="BX621" s="246" t="s">
        <v>458</v>
      </c>
      <c r="BY621" s="135" t="str">
        <f t="shared" si="358"/>
        <v>ДП ПОЛЛО.3/6.Сатин</v>
      </c>
      <c r="CA621" s="146" t="s">
        <v>3299</v>
      </c>
      <c r="CB621" s="97"/>
      <c r="CC621" s="97"/>
      <c r="DD621" s="250" t="s">
        <v>2695</v>
      </c>
      <c r="DE621" s="166">
        <v>7920</v>
      </c>
      <c r="DF621" s="528">
        <f t="shared" si="355"/>
        <v>7920</v>
      </c>
      <c r="DG621" s="529"/>
      <c r="DH621" s="524">
        <f t="shared" si="363"/>
        <v>7920</v>
      </c>
      <c r="DP621" s="108" t="s">
        <v>1196</v>
      </c>
      <c r="DQ621" s="164">
        <v>550</v>
      </c>
      <c r="DR621" s="531">
        <f t="shared" si="360"/>
        <v>550</v>
      </c>
      <c r="DS621" s="526"/>
      <c r="DT621" s="527">
        <f t="shared" si="359"/>
        <v>550</v>
      </c>
      <c r="DV621" s="738" t="s">
        <v>4672</v>
      </c>
      <c r="DW621" s="166">
        <v>800</v>
      </c>
      <c r="DX621" s="522">
        <f t="shared" si="361"/>
        <v>800</v>
      </c>
      <c r="DY621" s="523"/>
      <c r="DZ621" s="524">
        <f t="shared" si="362"/>
        <v>800</v>
      </c>
      <c r="EH621" s="739" t="s">
        <v>3804</v>
      </c>
      <c r="EI621" s="164">
        <v>810</v>
      </c>
      <c r="EJ621" s="531">
        <f t="shared" si="356"/>
        <v>810</v>
      </c>
      <c r="EK621" s="526"/>
      <c r="EL621" s="527">
        <f t="shared" si="357"/>
        <v>810</v>
      </c>
    </row>
    <row r="622" spans="51:142">
      <c r="AY622" s="155" t="s">
        <v>673</v>
      </c>
      <c r="AZ622" s="62" t="s">
        <v>1724</v>
      </c>
      <c r="BA622" s="139" t="str">
        <f t="shared" si="353"/>
        <v>ДП ПОЛЛО.3А/5.купе.</v>
      </c>
      <c r="BW622" s="250" t="s">
        <v>667</v>
      </c>
      <c r="BX622" s="770" t="s">
        <v>3851</v>
      </c>
      <c r="BY622" s="138" t="str">
        <f t="shared" si="358"/>
        <v>ДП ПОЛЛО.3/6.Графіт</v>
      </c>
      <c r="CA622" s="146" t="s">
        <v>3299</v>
      </c>
      <c r="CB622" s="478" t="s">
        <v>4343</v>
      </c>
      <c r="CC622" s="239" t="str">
        <f>CONCATENATE(CA622,".",CB622)</f>
        <v>ДП ЛАДА-ЛОФТ.б/з фальц..робоча..Magnet цл +2завіс 3D</v>
      </c>
      <c r="DD622" s="250" t="s">
        <v>2696</v>
      </c>
      <c r="DE622" s="166">
        <v>7920</v>
      </c>
      <c r="DF622" s="528">
        <f t="shared" si="355"/>
        <v>7920</v>
      </c>
      <c r="DG622" s="529"/>
      <c r="DH622" s="524">
        <f t="shared" si="363"/>
        <v>7920</v>
      </c>
      <c r="DP622" s="165" t="s">
        <v>1197</v>
      </c>
      <c r="DQ622" s="166">
        <v>0</v>
      </c>
      <c r="DR622" s="522">
        <f t="shared" si="360"/>
        <v>0</v>
      </c>
      <c r="DS622" s="523"/>
      <c r="DT622" s="524">
        <f t="shared" si="359"/>
        <v>0</v>
      </c>
      <c r="DV622" s="738" t="s">
        <v>4673</v>
      </c>
      <c r="DW622" s="166">
        <v>800</v>
      </c>
      <c r="DX622" s="522">
        <f t="shared" si="361"/>
        <v>800</v>
      </c>
      <c r="DY622" s="523"/>
      <c r="DZ622" s="524">
        <f t="shared" si="362"/>
        <v>800</v>
      </c>
      <c r="EH622" s="738" t="s">
        <v>3805</v>
      </c>
      <c r="EI622" s="166">
        <v>0</v>
      </c>
      <c r="EJ622" s="522">
        <f t="shared" si="356"/>
        <v>0</v>
      </c>
      <c r="EK622" s="523"/>
      <c r="EL622" s="524">
        <f t="shared" si="357"/>
        <v>0</v>
      </c>
    </row>
    <row r="623" spans="51:142">
      <c r="AY623" s="154" t="s">
        <v>676</v>
      </c>
      <c r="AZ623" s="137" t="s">
        <v>1722</v>
      </c>
      <c r="BA623" s="138" t="str">
        <f t="shared" si="353"/>
        <v>ДП ПОЛЛО.4/3.фальц.</v>
      </c>
      <c r="BW623" s="249" t="s">
        <v>667</v>
      </c>
      <c r="BX623" s="248" t="s">
        <v>832</v>
      </c>
      <c r="BY623" s="139" t="str">
        <f t="shared" si="358"/>
        <v>ДП ПОЛЛО.3/6.Бронза</v>
      </c>
      <c r="CA623" s="146" t="s">
        <v>3299</v>
      </c>
      <c r="CB623" s="478" t="s">
        <v>4347</v>
      </c>
      <c r="CC623" s="239" t="str">
        <f>CONCATENATE(CA623,".",CB623)</f>
        <v>ДП ЛАДА-ЛОФТ.б/з фальц..робоча..Magnet ст +2завіс 3D</v>
      </c>
      <c r="DD623" s="250" t="s">
        <v>2697</v>
      </c>
      <c r="DE623" s="166">
        <v>7920</v>
      </c>
      <c r="DF623" s="528">
        <f t="shared" si="355"/>
        <v>7920</v>
      </c>
      <c r="DG623" s="529"/>
      <c r="DH623" s="524">
        <f t="shared" si="363"/>
        <v>7920</v>
      </c>
      <c r="DP623" s="738" t="s">
        <v>4009</v>
      </c>
      <c r="DQ623" s="166">
        <v>550</v>
      </c>
      <c r="DR623" s="522">
        <f t="shared" si="360"/>
        <v>550</v>
      </c>
      <c r="DS623" s="523"/>
      <c r="DT623" s="524">
        <f t="shared" si="359"/>
        <v>550</v>
      </c>
      <c r="DV623" s="738" t="s">
        <v>4674</v>
      </c>
      <c r="DW623" s="166">
        <v>800</v>
      </c>
      <c r="DX623" s="522">
        <f t="shared" si="361"/>
        <v>800</v>
      </c>
      <c r="DY623" s="523"/>
      <c r="DZ623" s="524">
        <f t="shared" si="362"/>
        <v>800</v>
      </c>
      <c r="EH623" s="739" t="s">
        <v>3806</v>
      </c>
      <c r="EI623" s="164">
        <v>860</v>
      </c>
      <c r="EJ623" s="531">
        <f t="shared" si="356"/>
        <v>860</v>
      </c>
      <c r="EK623" s="526"/>
      <c r="EL623" s="527">
        <f t="shared" si="357"/>
        <v>860</v>
      </c>
    </row>
    <row r="624" spans="51:142">
      <c r="AY624" s="154" t="s">
        <v>676</v>
      </c>
      <c r="AZ624" s="137" t="s">
        <v>1723</v>
      </c>
      <c r="BA624" s="138" t="str">
        <f t="shared" si="353"/>
        <v>ДП ПОЛЛО.4/3.б/з фальц.</v>
      </c>
      <c r="BW624" s="251" t="s">
        <v>670</v>
      </c>
      <c r="BX624" s="786" t="s">
        <v>4220</v>
      </c>
      <c r="BY624" s="135" t="str">
        <f t="shared" si="358"/>
        <v>ДП ПОЛЛО.3А/3.Малюнок</v>
      </c>
      <c r="CA624" s="146" t="s">
        <v>3299</v>
      </c>
      <c r="CB624" s="97"/>
      <c r="CC624" s="97"/>
      <c r="DD624" s="250" t="s">
        <v>2698</v>
      </c>
      <c r="DE624" s="166">
        <v>7920</v>
      </c>
      <c r="DF624" s="528">
        <f t="shared" si="355"/>
        <v>7920</v>
      </c>
      <c r="DG624" s="529"/>
      <c r="DH624" s="524">
        <f t="shared" si="363"/>
        <v>7920</v>
      </c>
      <c r="DP624" s="108" t="s">
        <v>1198</v>
      </c>
      <c r="DQ624" s="164">
        <v>550</v>
      </c>
      <c r="DR624" s="531">
        <f t="shared" si="360"/>
        <v>550</v>
      </c>
      <c r="DS624" s="526"/>
      <c r="DT624" s="527">
        <f t="shared" si="359"/>
        <v>550</v>
      </c>
      <c r="DV624" s="739" t="s">
        <v>4675</v>
      </c>
      <c r="DW624" s="166">
        <v>800</v>
      </c>
      <c r="DX624" s="525">
        <f t="shared" si="361"/>
        <v>800</v>
      </c>
      <c r="DY624" s="526"/>
      <c r="DZ624" s="527">
        <f t="shared" si="362"/>
        <v>800</v>
      </c>
      <c r="EH624" s="738" t="s">
        <v>5228</v>
      </c>
      <c r="EI624" s="166">
        <v>0</v>
      </c>
      <c r="EJ624" s="522">
        <f>ROUND(((EI624-(EI624/6))/$DD$3)*$DE$3,2)</f>
        <v>0</v>
      </c>
      <c r="EK624" s="523"/>
      <c r="EL624" s="524">
        <f>IF(EK624="",EJ624,
IF(AND($EI$10&gt;=VLOOKUP(EK624,$EH$5:$EL$9,2,0),$EI$10&lt;=VLOOKUP(EK624,$EH$5:$EL$9,3,0)),
(EJ624*(1-VLOOKUP(EK624,$EH$5:$EL$9,4,0))),
EJ624))</f>
        <v>0</v>
      </c>
    </row>
    <row r="625" spans="51:142">
      <c r="AY625" s="155" t="s">
        <v>676</v>
      </c>
      <c r="AZ625" s="62" t="s">
        <v>1724</v>
      </c>
      <c r="BA625" s="139" t="str">
        <f t="shared" si="353"/>
        <v>ДП ПОЛЛО.4/3.купе.</v>
      </c>
      <c r="BW625" s="250" t="s">
        <v>670</v>
      </c>
      <c r="BX625" s="770" t="s">
        <v>3851</v>
      </c>
      <c r="BY625" s="138" t="str">
        <f t="shared" si="358"/>
        <v>ДП ПОЛЛО.3А/3.Графіт</v>
      </c>
      <c r="CA625" s="146" t="s">
        <v>3299</v>
      </c>
      <c r="CB625" s="478" t="s">
        <v>4349</v>
      </c>
      <c r="CC625" s="239" t="str">
        <f>CONCATENATE(CA625,".",CB625)</f>
        <v>ДП ЛАДА-ЛОФТ.б/з фальц..робоча..Magnet цл +3завіс 3D</v>
      </c>
      <c r="DD625" s="250" t="s">
        <v>2699</v>
      </c>
      <c r="DE625" s="166">
        <v>7920</v>
      </c>
      <c r="DF625" s="528">
        <f t="shared" si="355"/>
        <v>7920</v>
      </c>
      <c r="DG625" s="529"/>
      <c r="DH625" s="524">
        <f t="shared" si="363"/>
        <v>7920</v>
      </c>
      <c r="DP625" s="165" t="s">
        <v>1199</v>
      </c>
      <c r="DQ625" s="166">
        <v>0</v>
      </c>
      <c r="DR625" s="522">
        <f t="shared" si="360"/>
        <v>0</v>
      </c>
      <c r="DS625" s="523"/>
      <c r="DT625" s="524">
        <f t="shared" si="359"/>
        <v>0</v>
      </c>
      <c r="DV625" s="739" t="s">
        <v>6353</v>
      </c>
      <c r="DW625" s="164">
        <v>0</v>
      </c>
      <c r="DX625" s="531">
        <f t="shared" si="350"/>
        <v>0</v>
      </c>
      <c r="DY625" s="526"/>
      <c r="DZ625" s="527">
        <f t="shared" si="351"/>
        <v>0</v>
      </c>
      <c r="EH625" s="739" t="s">
        <v>5229</v>
      </c>
      <c r="EI625" s="164">
        <v>940</v>
      </c>
      <c r="EJ625" s="531">
        <f>ROUND(((EI625-(EI625/6))/$DD$3)*$DE$3,2)</f>
        <v>940</v>
      </c>
      <c r="EK625" s="526"/>
      <c r="EL625" s="527">
        <f>IF(EK625="",EJ625,
IF(AND($EI$10&gt;=VLOOKUP(EK625,$EH$5:$EL$9,2,0),$EI$10&lt;=VLOOKUP(EK625,$EH$5:$EL$9,3,0)),
(EJ625*(1-VLOOKUP(EK625,$EH$5:$EL$9,4,0))),
EJ625))</f>
        <v>940</v>
      </c>
    </row>
    <row r="626" spans="51:142">
      <c r="AY626" s="432"/>
      <c r="AZ626" s="222"/>
      <c r="BA626" s="223"/>
      <c r="BW626" s="249" t="s">
        <v>670</v>
      </c>
      <c r="BX626" s="248" t="s">
        <v>832</v>
      </c>
      <c r="BY626" s="139" t="str">
        <f t="shared" si="358"/>
        <v>ДП ПОЛЛО.3А/3.Бронза</v>
      </c>
      <c r="CA626" s="147" t="s">
        <v>3299</v>
      </c>
      <c r="CB626" s="590" t="s">
        <v>4350</v>
      </c>
      <c r="CC626" s="240" t="str">
        <f>CONCATENATE(CA626,".",CB626)</f>
        <v>ДП ЛАДА-ЛОФТ.б/з фальц..робоча..Magnet ст +3завіс 3D</v>
      </c>
      <c r="DD626" s="250" t="s">
        <v>2700</v>
      </c>
      <c r="DE626" s="166">
        <v>7920</v>
      </c>
      <c r="DF626" s="528">
        <f t="shared" si="355"/>
        <v>7920</v>
      </c>
      <c r="DG626" s="529"/>
      <c r="DH626" s="524">
        <f t="shared" si="363"/>
        <v>7920</v>
      </c>
      <c r="DP626" s="738" t="s">
        <v>4010</v>
      </c>
      <c r="DQ626" s="166">
        <v>550</v>
      </c>
      <c r="DR626" s="522">
        <f t="shared" si="360"/>
        <v>550</v>
      </c>
      <c r="DS626" s="523"/>
      <c r="DT626" s="524">
        <f t="shared" si="359"/>
        <v>550</v>
      </c>
      <c r="DV626" s="738" t="s">
        <v>6354</v>
      </c>
      <c r="DW626" s="166">
        <v>1</v>
      </c>
      <c r="DX626" s="522">
        <f t="shared" si="350"/>
        <v>1</v>
      </c>
      <c r="DY626" s="523"/>
      <c r="DZ626" s="524">
        <f t="shared" si="351"/>
        <v>1</v>
      </c>
      <c r="EH626" s="738" t="s">
        <v>3807</v>
      </c>
      <c r="EI626" s="166">
        <v>0</v>
      </c>
      <c r="EJ626" s="522">
        <f t="shared" si="356"/>
        <v>0</v>
      </c>
      <c r="EK626" s="523"/>
      <c r="EL626" s="524">
        <f t="shared" si="357"/>
        <v>0</v>
      </c>
    </row>
    <row r="627" spans="51:142">
      <c r="AY627" s="57" t="s">
        <v>2938</v>
      </c>
      <c r="AZ627" s="56" t="s">
        <v>1725</v>
      </c>
      <c r="BA627" s="70" t="str">
        <f>CONCATENATE(AY627,".",AZ627)</f>
        <v>ДП Лінея.1.фальц,</v>
      </c>
      <c r="BW627" s="251" t="s">
        <v>673</v>
      </c>
      <c r="BX627" s="786" t="s">
        <v>4220</v>
      </c>
      <c r="BY627" s="135" t="str">
        <f t="shared" si="358"/>
        <v>ДП ПОЛЛО.3А/5.Малюнок</v>
      </c>
      <c r="CA627" s="145" t="s">
        <v>3300</v>
      </c>
      <c r="CB627" s="134" t="s">
        <v>4106</v>
      </c>
      <c r="CC627" s="135" t="str">
        <f>CONCATENATE(CA627,".",CB627)</f>
        <v>ДП ЛАДА-ЛОФТ.купе..робоча..(ні)</v>
      </c>
      <c r="DD627" s="250" t="s">
        <v>2701</v>
      </c>
      <c r="DE627" s="166">
        <v>7920</v>
      </c>
      <c r="DF627" s="528">
        <f t="shared" si="355"/>
        <v>7920</v>
      </c>
      <c r="DG627" s="529"/>
      <c r="DH627" s="524">
        <f t="shared" si="363"/>
        <v>7920</v>
      </c>
      <c r="DP627" s="108" t="s">
        <v>1200</v>
      </c>
      <c r="DQ627" s="164">
        <v>550</v>
      </c>
      <c r="DR627" s="531">
        <f t="shared" si="360"/>
        <v>550</v>
      </c>
      <c r="DS627" s="526"/>
      <c r="DT627" s="527">
        <f t="shared" si="359"/>
        <v>550</v>
      </c>
      <c r="DV627" s="738" t="s">
        <v>6355</v>
      </c>
      <c r="DW627" s="166">
        <v>1</v>
      </c>
      <c r="DX627" s="522">
        <f t="shared" si="350"/>
        <v>1</v>
      </c>
      <c r="DY627" s="523"/>
      <c r="DZ627" s="524">
        <f t="shared" si="351"/>
        <v>1</v>
      </c>
      <c r="EH627" s="739" t="s">
        <v>3808</v>
      </c>
      <c r="EI627" s="164">
        <v>940</v>
      </c>
      <c r="EJ627" s="531">
        <f t="shared" si="356"/>
        <v>940</v>
      </c>
      <c r="EK627" s="526"/>
      <c r="EL627" s="527">
        <f t="shared" si="357"/>
        <v>940</v>
      </c>
    </row>
    <row r="628" spans="51:142">
      <c r="AY628" s="57" t="s">
        <v>2939</v>
      </c>
      <c r="AZ628" s="56" t="s">
        <v>1725</v>
      </c>
      <c r="BA628" s="70" t="str">
        <f>CONCATENATE(AY628,".",AZ628)</f>
        <v>ДП Лінея.3.фальц,</v>
      </c>
      <c r="BW628" s="250" t="s">
        <v>673</v>
      </c>
      <c r="BX628" s="770" t="s">
        <v>3851</v>
      </c>
      <c r="BY628" s="138" t="str">
        <f t="shared" si="358"/>
        <v>ДП ПОЛЛО.3А/5.Графіт</v>
      </c>
      <c r="CA628" s="146" t="s">
        <v>3300</v>
      </c>
      <c r="CB628" s="21"/>
      <c r="CC628" s="21"/>
      <c r="DD628" s="250" t="s">
        <v>2702</v>
      </c>
      <c r="DE628" s="166">
        <v>7920</v>
      </c>
      <c r="DF628" s="528">
        <f t="shared" si="355"/>
        <v>7920</v>
      </c>
      <c r="DG628" s="529"/>
      <c r="DH628" s="524">
        <f t="shared" si="363"/>
        <v>7920</v>
      </c>
      <c r="DI628" s="121"/>
      <c r="DP628" s="165" t="s">
        <v>1306</v>
      </c>
      <c r="DQ628" s="166">
        <v>0</v>
      </c>
      <c r="DR628" s="522">
        <f>ROUND(((DQ628-(DQ628/6))/$DD$3)*$DE$3,2)</f>
        <v>0</v>
      </c>
      <c r="DS628" s="523"/>
      <c r="DT628" s="524">
        <f t="shared" si="359"/>
        <v>0</v>
      </c>
      <c r="DV628" s="738" t="s">
        <v>6356</v>
      </c>
      <c r="DW628" s="166">
        <v>1</v>
      </c>
      <c r="DX628" s="522">
        <f t="shared" si="350"/>
        <v>1</v>
      </c>
      <c r="DY628" s="523"/>
      <c r="DZ628" s="524">
        <f t="shared" si="351"/>
        <v>1</v>
      </c>
      <c r="EH628" s="538"/>
      <c r="EI628" s="539"/>
      <c r="EJ628" s="650"/>
      <c r="EK628" s="651"/>
      <c r="EL628" s="652"/>
    </row>
    <row r="629" spans="51:142">
      <c r="AY629" s="57" t="s">
        <v>2940</v>
      </c>
      <c r="AZ629" s="56" t="s">
        <v>1719</v>
      </c>
      <c r="BA629" s="70" t="str">
        <f>CONCATENATE(AY629,".",AZ629)</f>
        <v>ДП Лінея.4.фальц</v>
      </c>
      <c r="BW629" s="249" t="s">
        <v>673</v>
      </c>
      <c r="BX629" s="248" t="s">
        <v>832</v>
      </c>
      <c r="BY629" s="139" t="str">
        <f t="shared" si="358"/>
        <v>ДП ПОЛЛО.3А/5.Бронза</v>
      </c>
      <c r="CA629" s="146" t="s">
        <v>3300</v>
      </c>
      <c r="CB629" s="137" t="s">
        <v>462</v>
      </c>
      <c r="CC629" s="138" t="str">
        <f>CONCATENATE(CA629,".",CB629)</f>
        <v>ДП ЛАДА-ЛОФТ.купе..робоча..Ручка-Захват</v>
      </c>
      <c r="DD629" s="249" t="s">
        <v>2703</v>
      </c>
      <c r="DE629" s="164">
        <v>7920</v>
      </c>
      <c r="DF629" s="528">
        <f t="shared" si="355"/>
        <v>7920</v>
      </c>
      <c r="DG629" s="529"/>
      <c r="DH629" s="527">
        <f t="shared" si="363"/>
        <v>7920</v>
      </c>
      <c r="DI629" s="121"/>
      <c r="DP629" s="738" t="s">
        <v>4011</v>
      </c>
      <c r="DQ629" s="166">
        <v>550</v>
      </c>
      <c r="DR629" s="522">
        <f>ROUND(((DQ629-(DQ629/6))/$DD$3)*$DE$3,2)</f>
        <v>550</v>
      </c>
      <c r="DS629" s="523"/>
      <c r="DT629" s="524">
        <f t="shared" si="359"/>
        <v>550</v>
      </c>
      <c r="DV629" s="738" t="s">
        <v>6357</v>
      </c>
      <c r="DW629" s="166">
        <v>1</v>
      </c>
      <c r="DX629" s="522">
        <f t="shared" si="350"/>
        <v>1</v>
      </c>
      <c r="DY629" s="523"/>
      <c r="DZ629" s="524">
        <f t="shared" si="351"/>
        <v>1</v>
      </c>
      <c r="EH629" s="538"/>
      <c r="EI629" s="539"/>
      <c r="EJ629" s="650"/>
      <c r="EK629" s="651"/>
      <c r="EL629" s="652"/>
    </row>
    <row r="630" spans="51:142">
      <c r="AY630" s="227"/>
      <c r="AZ630" s="222"/>
      <c r="BA630" s="223"/>
      <c r="BW630" s="251" t="s">
        <v>676</v>
      </c>
      <c r="BX630" s="786" t="s">
        <v>4220</v>
      </c>
      <c r="BY630" s="135" t="str">
        <f t="shared" si="358"/>
        <v>ДП ПОЛЛО.4/3.Малюнок</v>
      </c>
      <c r="CA630" s="146" t="s">
        <v>3300</v>
      </c>
      <c r="CB630" s="137" t="s">
        <v>684</v>
      </c>
      <c r="CC630" s="138" t="str">
        <f>CONCATENATE(CA630,".",CB630)</f>
        <v>ДП ЛАДА-ЛОФТ.купе..робоча..Ручка-Замок</v>
      </c>
      <c r="DD630" s="250" t="s">
        <v>2704</v>
      </c>
      <c r="DE630" s="166">
        <v>8270</v>
      </c>
      <c r="DF630" s="528">
        <f t="shared" si="355"/>
        <v>8270</v>
      </c>
      <c r="DG630" s="529"/>
      <c r="DH630" s="524">
        <f t="shared" ref="DH630:DH649" si="364">IF(DG630="",DF630,
IF(AND($DE$10&gt;=VLOOKUP(DG630,$DD$5:$DH$9,2,0),$DE$10&lt;=VLOOKUP(DG630,$DD$5:$DH$9,3,0)),
(DF630*(1-VLOOKUP(DG630,$DD$5:$DH$9,4,0))),
DF630))</f>
        <v>8270</v>
      </c>
      <c r="DI630" s="121"/>
      <c r="DP630" s="108" t="s">
        <v>1307</v>
      </c>
      <c r="DQ630" s="164">
        <v>550</v>
      </c>
      <c r="DR630" s="531">
        <f>ROUND(((DQ630-(DQ630/6))/$DD$3)*$DE$3,2)</f>
        <v>550</v>
      </c>
      <c r="DS630" s="526"/>
      <c r="DT630" s="527">
        <f t="shared" si="359"/>
        <v>550</v>
      </c>
      <c r="DV630" s="738" t="s">
        <v>6358</v>
      </c>
      <c r="DW630" s="166">
        <v>1</v>
      </c>
      <c r="DX630" s="522">
        <f t="shared" si="350"/>
        <v>1</v>
      </c>
      <c r="DY630" s="523"/>
      <c r="DZ630" s="524">
        <f t="shared" si="351"/>
        <v>1</v>
      </c>
      <c r="EH630" s="736" t="s">
        <v>5011</v>
      </c>
      <c r="EI630" s="105">
        <v>0</v>
      </c>
      <c r="EJ630" s="536">
        <f t="shared" ref="EJ630:EJ637" si="365">ROUND(((EI630-(EI630/6))/$DD$3)*$DE$3,2)</f>
        <v>0</v>
      </c>
      <c r="EK630" s="514"/>
      <c r="EL630" s="511">
        <f t="shared" ref="EL630:EL637" si="366">IF(EK630="",EJ630,
IF(AND($EI$10&gt;=VLOOKUP(EK630,$EH$5:$EL$9,2,0),$EI$10&lt;=VLOOKUP(EK630,$EH$5:$EL$9,3,0)),
(EJ630*(1-VLOOKUP(EK630,$EH$5:$EL$9,4,0))),
EJ630))</f>
        <v>0</v>
      </c>
    </row>
    <row r="631" spans="51:142">
      <c r="AY631" s="55" t="s">
        <v>597</v>
      </c>
      <c r="AZ631" s="56" t="s">
        <v>1725</v>
      </c>
      <c r="BA631" s="70" t="str">
        <f t="shared" ref="BA631:BA637" si="367">CONCATENATE(AY631,".",AZ631)</f>
        <v>ДП ЛАЙН.1.фальц,</v>
      </c>
      <c r="BW631" s="250" t="s">
        <v>676</v>
      </c>
      <c r="BX631" s="770" t="s">
        <v>3851</v>
      </c>
      <c r="BY631" s="138" t="str">
        <f t="shared" si="358"/>
        <v>ДП ПОЛЛО.4/3.Графіт</v>
      </c>
      <c r="CA631" s="432"/>
      <c r="CB631" s="222"/>
      <c r="CC631" s="223"/>
      <c r="DD631" s="250" t="s">
        <v>2705</v>
      </c>
      <c r="DE631" s="166">
        <v>8270</v>
      </c>
      <c r="DF631" s="528">
        <f t="shared" si="355"/>
        <v>8270</v>
      </c>
      <c r="DG631" s="529"/>
      <c r="DH631" s="524">
        <f t="shared" si="364"/>
        <v>8270</v>
      </c>
      <c r="DI631" s="121"/>
      <c r="DP631" s="165" t="s">
        <v>1201</v>
      </c>
      <c r="DQ631" s="166">
        <v>0</v>
      </c>
      <c r="DR631" s="522">
        <f t="shared" ref="DR631:DR663" si="368">ROUND(((DQ631-(DQ631/6))/$DD$3)*$DE$3,2)</f>
        <v>0</v>
      </c>
      <c r="DS631" s="523"/>
      <c r="DT631" s="524">
        <f t="shared" si="359"/>
        <v>0</v>
      </c>
      <c r="DV631" s="739" t="s">
        <v>6359</v>
      </c>
      <c r="DW631" s="166">
        <v>1</v>
      </c>
      <c r="DX631" s="525">
        <f t="shared" si="350"/>
        <v>1</v>
      </c>
      <c r="DY631" s="526"/>
      <c r="DZ631" s="527">
        <f t="shared" si="351"/>
        <v>1</v>
      </c>
      <c r="EH631" s="736" t="s">
        <v>3809</v>
      </c>
      <c r="EI631" s="105">
        <v>0</v>
      </c>
      <c r="EJ631" s="536">
        <f t="shared" si="365"/>
        <v>0</v>
      </c>
      <c r="EK631" s="514"/>
      <c r="EL631" s="511">
        <f t="shared" si="366"/>
        <v>0</v>
      </c>
    </row>
    <row r="632" spans="51:142">
      <c r="AY632" s="55" t="s">
        <v>598</v>
      </c>
      <c r="AZ632" s="56" t="s">
        <v>1725</v>
      </c>
      <c r="BA632" s="70" t="str">
        <f t="shared" si="367"/>
        <v>ДП ЛАЙН.2.фальц,</v>
      </c>
      <c r="BW632" s="250" t="s">
        <v>676</v>
      </c>
      <c r="BX632" s="247" t="s">
        <v>832</v>
      </c>
      <c r="BY632" s="138" t="str">
        <f t="shared" si="358"/>
        <v>ДП ПОЛЛО.4/3.Бронза</v>
      </c>
      <c r="CA632" s="146" t="s">
        <v>3301</v>
      </c>
      <c r="CB632" s="137" t="s">
        <v>4106</v>
      </c>
      <c r="CC632" s="138" t="str">
        <f>CONCATENATE(CA632,".",CB632)</f>
        <v>ДП Лінда.фальц..робоча..(ні)</v>
      </c>
      <c r="DD632" s="250" t="s">
        <v>2706</v>
      </c>
      <c r="DE632" s="166">
        <v>8270</v>
      </c>
      <c r="DF632" s="528">
        <f t="shared" si="355"/>
        <v>8270</v>
      </c>
      <c r="DG632" s="529"/>
      <c r="DH632" s="524">
        <f t="shared" si="364"/>
        <v>8270</v>
      </c>
      <c r="DI632" s="121"/>
      <c r="DP632" s="738" t="s">
        <v>4012</v>
      </c>
      <c r="DQ632" s="166">
        <v>550</v>
      </c>
      <c r="DR632" s="522">
        <f t="shared" si="368"/>
        <v>550</v>
      </c>
      <c r="DS632" s="523"/>
      <c r="DT632" s="524">
        <f t="shared" si="359"/>
        <v>550</v>
      </c>
      <c r="DV632" s="165" t="s">
        <v>2664</v>
      </c>
      <c r="DW632" s="166">
        <v>0</v>
      </c>
      <c r="DX632" s="522">
        <f t="shared" si="350"/>
        <v>0</v>
      </c>
      <c r="DY632" s="523"/>
      <c r="DZ632" s="524">
        <f t="shared" si="351"/>
        <v>0</v>
      </c>
      <c r="EH632" s="736" t="s">
        <v>3810</v>
      </c>
      <c r="EI632" s="105">
        <v>0</v>
      </c>
      <c r="EJ632" s="536">
        <f>ROUND(((EI632-(EI632/6))/$DD$3)*$DE$3,2)</f>
        <v>0</v>
      </c>
      <c r="EK632" s="514"/>
      <c r="EL632" s="511">
        <f>IF(EK632="",EJ632,
IF(AND($EI$10&gt;=VLOOKUP(EK632,$EH$5:$EL$9,2,0),$EI$10&lt;=VLOOKUP(EK632,$EH$5:$EL$9,3,0)),
(EJ632*(1-VLOOKUP(EK632,$EH$5:$EL$9,4,0))),
EJ632))</f>
        <v>0</v>
      </c>
    </row>
    <row r="633" spans="51:142">
      <c r="AY633" s="55" t="s">
        <v>599</v>
      </c>
      <c r="AZ633" s="56" t="s">
        <v>1725</v>
      </c>
      <c r="BA633" s="70" t="str">
        <f t="shared" si="367"/>
        <v>ДП ЛАЙН.3.фальц,</v>
      </c>
      <c r="BW633" s="432"/>
      <c r="BX633" s="432"/>
      <c r="BY633" s="432"/>
      <c r="CA633" s="146" t="s">
        <v>3301</v>
      </c>
      <c r="CB633" s="21"/>
      <c r="CC633" s="21"/>
      <c r="DD633" s="250" t="s">
        <v>2707</v>
      </c>
      <c r="DE633" s="166">
        <v>8270</v>
      </c>
      <c r="DF633" s="528">
        <f t="shared" si="355"/>
        <v>8270</v>
      </c>
      <c r="DG633" s="529"/>
      <c r="DH633" s="524">
        <f t="shared" si="364"/>
        <v>8270</v>
      </c>
      <c r="DI633" s="121"/>
      <c r="DP633" s="108" t="s">
        <v>1203</v>
      </c>
      <c r="DQ633" s="164">
        <v>550</v>
      </c>
      <c r="DR633" s="531">
        <f t="shared" si="368"/>
        <v>550</v>
      </c>
      <c r="DS633" s="526"/>
      <c r="DT633" s="527">
        <f t="shared" si="359"/>
        <v>550</v>
      </c>
      <c r="DV633" s="108" t="s">
        <v>2665</v>
      </c>
      <c r="DW633" s="164">
        <v>560</v>
      </c>
      <c r="DX633" s="531">
        <f t="shared" si="350"/>
        <v>560</v>
      </c>
      <c r="DY633" s="526"/>
      <c r="DZ633" s="527">
        <f t="shared" si="351"/>
        <v>560</v>
      </c>
      <c r="EH633" s="736" t="s">
        <v>3811</v>
      </c>
      <c r="EI633" s="105">
        <v>0</v>
      </c>
      <c r="EJ633" s="536">
        <f>ROUND(((EI633-(EI633/6))/$DD$3)*$DE$3,2)</f>
        <v>0</v>
      </c>
      <c r="EK633" s="514"/>
      <c r="EL633" s="511">
        <f>IF(EK633="",EJ633,
IF(AND($EI$10&gt;=VLOOKUP(EK633,$EH$5:$EL$9,2,0),$EI$10&lt;=VLOOKUP(EK633,$EH$5:$EL$9,3,0)),
(EJ633*(1-VLOOKUP(EK633,$EH$5:$EL$9,4,0))),
EJ633))</f>
        <v>0</v>
      </c>
    </row>
    <row r="634" spans="51:142">
      <c r="AY634" s="55" t="s">
        <v>600</v>
      </c>
      <c r="AZ634" s="56" t="s">
        <v>1725</v>
      </c>
      <c r="BA634" s="70" t="str">
        <f t="shared" si="367"/>
        <v>ДП ЛАЙН.4.фальц,</v>
      </c>
      <c r="BW634" s="738" t="s">
        <v>2938</v>
      </c>
      <c r="BX634" s="247" t="s">
        <v>458</v>
      </c>
      <c r="BY634" s="138" t="str">
        <f t="shared" ref="BY634:BY648" si="369">CONCATENATE(BW634,".",BX634)</f>
        <v>ДП Лінея.1.Сатин</v>
      </c>
      <c r="CA634" s="146" t="s">
        <v>3301</v>
      </c>
      <c r="CB634" s="783" t="s">
        <v>5754</v>
      </c>
      <c r="CC634" s="138" t="str">
        <f t="shared" ref="CC634:CC639" si="370">CONCATENATE(CA634,".",CB634)</f>
        <v>ДП Лінда.фальц..робоча..Stand цл Лів +3завіс</v>
      </c>
      <c r="DD634" s="250" t="s">
        <v>2708</v>
      </c>
      <c r="DE634" s="166">
        <v>8270</v>
      </c>
      <c r="DF634" s="528">
        <f t="shared" si="355"/>
        <v>8270</v>
      </c>
      <c r="DG634" s="529"/>
      <c r="DH634" s="524">
        <f t="shared" si="364"/>
        <v>8270</v>
      </c>
      <c r="DI634" s="121"/>
      <c r="DP634" s="165" t="s">
        <v>1204</v>
      </c>
      <c r="DQ634" s="166">
        <v>0</v>
      </c>
      <c r="DR634" s="522">
        <f t="shared" si="368"/>
        <v>0</v>
      </c>
      <c r="DS634" s="523"/>
      <c r="DT634" s="524">
        <f t="shared" si="359"/>
        <v>0</v>
      </c>
      <c r="DV634" s="647"/>
      <c r="DW634" s="648"/>
      <c r="DX634" s="654"/>
      <c r="DY634" s="655"/>
      <c r="DZ634" s="656"/>
      <c r="EH634" s="736" t="s">
        <v>3812</v>
      </c>
      <c r="EI634" s="105">
        <v>0</v>
      </c>
      <c r="EJ634" s="536">
        <f t="shared" si="365"/>
        <v>0</v>
      </c>
      <c r="EK634" s="514"/>
      <c r="EL634" s="511">
        <f t="shared" si="366"/>
        <v>0</v>
      </c>
    </row>
    <row r="635" spans="51:142">
      <c r="AY635" s="55" t="s">
        <v>601</v>
      </c>
      <c r="AZ635" s="56" t="s">
        <v>1725</v>
      </c>
      <c r="BA635" s="70" t="str">
        <f t="shared" si="367"/>
        <v>ДП ЛАЙН.5.фальц,</v>
      </c>
      <c r="BW635" s="738" t="s">
        <v>2938</v>
      </c>
      <c r="BX635" s="770" t="s">
        <v>3851</v>
      </c>
      <c r="BY635" s="138" t="str">
        <f t="shared" si="369"/>
        <v>ДП Лінея.1.Графіт</v>
      </c>
      <c r="CA635" s="146" t="s">
        <v>3301</v>
      </c>
      <c r="CB635" s="783" t="s">
        <v>5755</v>
      </c>
      <c r="CC635" s="138" t="str">
        <f t="shared" si="370"/>
        <v>ДП Лінда.фальц..робоча..Stand цл Пр +3завіс</v>
      </c>
      <c r="DD635" s="250" t="s">
        <v>2709</v>
      </c>
      <c r="DE635" s="166">
        <v>8270</v>
      </c>
      <c r="DF635" s="528">
        <f t="shared" si="355"/>
        <v>8270</v>
      </c>
      <c r="DG635" s="529"/>
      <c r="DH635" s="524">
        <f t="shared" si="364"/>
        <v>8270</v>
      </c>
      <c r="DI635" s="121"/>
      <c r="DP635" s="738" t="s">
        <v>4013</v>
      </c>
      <c r="DQ635" s="166">
        <v>550</v>
      </c>
      <c r="DR635" s="522">
        <f t="shared" si="368"/>
        <v>550</v>
      </c>
      <c r="DS635" s="523"/>
      <c r="DT635" s="524">
        <f t="shared" si="359"/>
        <v>550</v>
      </c>
      <c r="DV635" s="736" t="s">
        <v>4165</v>
      </c>
      <c r="DW635" s="105">
        <v>0</v>
      </c>
      <c r="DX635" s="403">
        <f t="shared" ref="DX635:DX665" si="371">ROUND(((DW635-(DW635/6))/$DD$3)*$DE$3,2)</f>
        <v>0</v>
      </c>
      <c r="DY635" s="514"/>
      <c r="DZ635" s="511">
        <f t="shared" ref="DZ635:DZ665" si="372">IF(DY635="",DX635,
IF(AND($DW$10&gt;=VLOOKUP(DY635,$DV$5:$DZ$9,2,0),$DW$10&lt;=VLOOKUP(DY635,$DV$5:$DZ$9,3,0)),
(DX635*(1-VLOOKUP(DY635,$DV$5:$DZ$9,4,0))),
DX635))</f>
        <v>0</v>
      </c>
      <c r="EH635" s="736" t="s">
        <v>3813</v>
      </c>
      <c r="EI635" s="105">
        <v>0</v>
      </c>
      <c r="EJ635" s="536">
        <f t="shared" si="365"/>
        <v>0</v>
      </c>
      <c r="EK635" s="514"/>
      <c r="EL635" s="511">
        <f t="shared" si="366"/>
        <v>0</v>
      </c>
    </row>
    <row r="636" spans="51:142">
      <c r="AY636" s="55" t="s">
        <v>602</v>
      </c>
      <c r="AZ636" s="56" t="s">
        <v>1725</v>
      </c>
      <c r="BA636" s="70" t="str">
        <f t="shared" si="367"/>
        <v>ДП ЛАЙН.6.фальц,</v>
      </c>
      <c r="BW636" s="738" t="s">
        <v>2938</v>
      </c>
      <c r="BX636" s="247" t="s">
        <v>832</v>
      </c>
      <c r="BY636" s="138" t="str">
        <f t="shared" si="369"/>
        <v>ДП Лінея.1.Бронза</v>
      </c>
      <c r="CA636" s="146" t="s">
        <v>3301</v>
      </c>
      <c r="CB636" s="783" t="s">
        <v>5756</v>
      </c>
      <c r="CC636" s="138" t="str">
        <f t="shared" si="370"/>
        <v>ДП Лінда.фальц..робоча..Stand кл Лів +3завіс</v>
      </c>
      <c r="DD636" s="250" t="s">
        <v>2710</v>
      </c>
      <c r="DE636" s="166">
        <v>8270</v>
      </c>
      <c r="DF636" s="528">
        <f t="shared" si="355"/>
        <v>8270</v>
      </c>
      <c r="DG636" s="529"/>
      <c r="DH636" s="524">
        <f t="shared" si="364"/>
        <v>8270</v>
      </c>
      <c r="DI636" s="121"/>
      <c r="DP636" s="108" t="s">
        <v>1205</v>
      </c>
      <c r="DQ636" s="164">
        <v>550</v>
      </c>
      <c r="DR636" s="531">
        <f t="shared" si="368"/>
        <v>550</v>
      </c>
      <c r="DS636" s="526"/>
      <c r="DT636" s="527">
        <f t="shared" si="359"/>
        <v>550</v>
      </c>
      <c r="DV636" s="737" t="s">
        <v>5874</v>
      </c>
      <c r="DW636" s="163">
        <v>0</v>
      </c>
      <c r="DX636" s="528">
        <f t="shared" si="371"/>
        <v>0</v>
      </c>
      <c r="DY636" s="529"/>
      <c r="DZ636" s="530">
        <f t="shared" si="372"/>
        <v>0</v>
      </c>
      <c r="EH636" s="736" t="s">
        <v>5230</v>
      </c>
      <c r="EI636" s="105">
        <v>0</v>
      </c>
      <c r="EJ636" s="536">
        <f>ROUND(((EI636-(EI636/6))/$DD$3)*$DE$3,2)</f>
        <v>0</v>
      </c>
      <c r="EK636" s="514"/>
      <c r="EL636" s="511">
        <f>IF(EK636="",EJ636,
IF(AND($EI$10&gt;=VLOOKUP(EK636,$EH$5:$EL$9,2,0),$EI$10&lt;=VLOOKUP(EK636,$EH$5:$EL$9,3,0)),
(EJ636*(1-VLOOKUP(EK636,$EH$5:$EL$9,4,0))),
EJ636))</f>
        <v>0</v>
      </c>
    </row>
    <row r="637" spans="51:142">
      <c r="AY637" s="55" t="s">
        <v>660</v>
      </c>
      <c r="AZ637" s="56" t="s">
        <v>1725</v>
      </c>
      <c r="BA637" s="70" t="str">
        <f t="shared" si="367"/>
        <v>ДП ЛАЙН.7.фальц,</v>
      </c>
      <c r="BW637" s="738" t="s">
        <v>2938</v>
      </c>
      <c r="BX637" s="247" t="s">
        <v>461</v>
      </c>
      <c r="BY637" s="138" t="str">
        <f t="shared" si="369"/>
        <v>ДП Лінея.1.Трипл. мат</v>
      </c>
      <c r="CA637" s="146" t="s">
        <v>3301</v>
      </c>
      <c r="CB637" s="783" t="s">
        <v>5757</v>
      </c>
      <c r="CC637" s="138" t="str">
        <f t="shared" si="370"/>
        <v>ДП Лінда.фальц..робоча..Stand кл Пр +3завіс</v>
      </c>
      <c r="DD637" s="250" t="s">
        <v>2711</v>
      </c>
      <c r="DE637" s="166">
        <v>8270</v>
      </c>
      <c r="DF637" s="528">
        <f t="shared" si="355"/>
        <v>8270</v>
      </c>
      <c r="DG637" s="529"/>
      <c r="DH637" s="524">
        <f t="shared" si="364"/>
        <v>8270</v>
      </c>
      <c r="DI637" s="121"/>
      <c r="DP637" s="165" t="s">
        <v>1206</v>
      </c>
      <c r="DQ637" s="166">
        <v>0</v>
      </c>
      <c r="DR637" s="522">
        <f t="shared" si="368"/>
        <v>0</v>
      </c>
      <c r="DS637" s="523"/>
      <c r="DT637" s="524">
        <f t="shared" si="359"/>
        <v>0</v>
      </c>
      <c r="DV637" s="737" t="s">
        <v>5875</v>
      </c>
      <c r="DW637" s="163">
        <v>0</v>
      </c>
      <c r="DX637" s="528">
        <f>ROUND(((DW637-(DW637/6))/$DD$3)*$DE$3,2)</f>
        <v>0</v>
      </c>
      <c r="DY637" s="529"/>
      <c r="DZ637" s="530">
        <f>IF(DY637="",DX637,
IF(AND($DW$10&gt;=VLOOKUP(DY637,$DV$5:$DZ$9,2,0),$DW$10&lt;=VLOOKUP(DY637,$DV$5:$DZ$9,3,0)),
(DX637*(1-VLOOKUP(DY637,$DV$5:$DZ$9,4,0))),
DX637))</f>
        <v>0</v>
      </c>
      <c r="EH637" s="736" t="s">
        <v>3814</v>
      </c>
      <c r="EI637" s="105">
        <v>0</v>
      </c>
      <c r="EJ637" s="536">
        <f t="shared" si="365"/>
        <v>0</v>
      </c>
      <c r="EK637" s="514"/>
      <c r="EL637" s="511">
        <f t="shared" si="366"/>
        <v>0</v>
      </c>
    </row>
    <row r="638" spans="51:142">
      <c r="AY638" s="432"/>
      <c r="AZ638" s="222"/>
      <c r="BA638" s="223"/>
      <c r="BW638" s="739" t="s">
        <v>2938</v>
      </c>
      <c r="BX638" s="248" t="s">
        <v>460</v>
      </c>
      <c r="BY638" s="139" t="str">
        <f t="shared" si="369"/>
        <v>ДП Лінея.1.Трипл. чер</v>
      </c>
      <c r="CA638" s="146" t="s">
        <v>3301</v>
      </c>
      <c r="CB638" s="783" t="s">
        <v>5758</v>
      </c>
      <c r="CC638" s="138" t="str">
        <f t="shared" si="370"/>
        <v>ДП Лінда.фальц..робоча..Stand ст Лів +3завіс</v>
      </c>
      <c r="DD638" s="250" t="s">
        <v>2712</v>
      </c>
      <c r="DE638" s="166">
        <v>8270</v>
      </c>
      <c r="DF638" s="528">
        <f t="shared" si="355"/>
        <v>8270</v>
      </c>
      <c r="DG638" s="529"/>
      <c r="DH638" s="524">
        <f t="shared" si="364"/>
        <v>8270</v>
      </c>
      <c r="DP638" s="738" t="s">
        <v>4014</v>
      </c>
      <c r="DQ638" s="166">
        <v>550</v>
      </c>
      <c r="DR638" s="522">
        <f t="shared" si="368"/>
        <v>550</v>
      </c>
      <c r="DS638" s="523"/>
      <c r="DT638" s="524">
        <f t="shared" si="359"/>
        <v>550</v>
      </c>
      <c r="DV638" s="738" t="s">
        <v>5876</v>
      </c>
      <c r="DW638" s="166">
        <v>0</v>
      </c>
      <c r="DX638" s="522">
        <f t="shared" si="371"/>
        <v>0</v>
      </c>
      <c r="DY638" s="523"/>
      <c r="DZ638" s="524">
        <f t="shared" si="372"/>
        <v>0</v>
      </c>
      <c r="EH638" s="256"/>
      <c r="EI638" s="257"/>
      <c r="EJ638" s="517"/>
      <c r="EK638" s="532"/>
      <c r="EL638" s="259"/>
    </row>
    <row r="639" spans="51:142">
      <c r="AY639" s="57" t="s">
        <v>2959</v>
      </c>
      <c r="AZ639" s="56" t="s">
        <v>1719</v>
      </c>
      <c r="BA639" s="70" t="str">
        <f t="shared" ref="BA639:BA645" si="373">CONCATENATE(AY639,".",AZ639)</f>
        <v>ДП Елегант.1.фальц</v>
      </c>
      <c r="BW639" s="737" t="s">
        <v>2939</v>
      </c>
      <c r="BX639" s="246" t="s">
        <v>458</v>
      </c>
      <c r="BY639" s="135" t="str">
        <f t="shared" si="369"/>
        <v>ДП Лінея.3.Сатин</v>
      </c>
      <c r="CA639" s="146" t="s">
        <v>3301</v>
      </c>
      <c r="CB639" s="783" t="s">
        <v>5759</v>
      </c>
      <c r="CC639" s="138" t="str">
        <f t="shared" si="370"/>
        <v>ДП Лінда.фальц..робоча..Stand ст Пр +3завіс</v>
      </c>
      <c r="DD639" s="249" t="s">
        <v>2713</v>
      </c>
      <c r="DE639" s="164">
        <v>8270</v>
      </c>
      <c r="DF639" s="528">
        <f t="shared" si="355"/>
        <v>8270</v>
      </c>
      <c r="DG639" s="529"/>
      <c r="DH639" s="527">
        <f t="shared" si="364"/>
        <v>8270</v>
      </c>
      <c r="DP639" s="108" t="s">
        <v>1202</v>
      </c>
      <c r="DQ639" s="164">
        <v>550</v>
      </c>
      <c r="DR639" s="531">
        <f t="shared" si="368"/>
        <v>550</v>
      </c>
      <c r="DS639" s="526"/>
      <c r="DT639" s="527">
        <f t="shared" si="359"/>
        <v>550</v>
      </c>
      <c r="DV639" s="738" t="s">
        <v>5877</v>
      </c>
      <c r="DW639" s="163">
        <v>0</v>
      </c>
      <c r="DX639" s="528">
        <f>ROUND(((DW639-(DW639/6))/$DD$3)*$DE$3,2)</f>
        <v>0</v>
      </c>
      <c r="DY639" s="529"/>
      <c r="DZ639" s="530">
        <f>IF(DY639="",DX639,
IF(AND($DW$10&gt;=VLOOKUP(DY639,$DV$5:$DZ$9,2,0),$DW$10&lt;=VLOOKUP(DY639,$DV$5:$DZ$9,3,0)),
(DX639*(1-VLOOKUP(DY639,$DV$5:$DZ$9,4,0))),
DX639))</f>
        <v>0</v>
      </c>
      <c r="EH639" s="736" t="s">
        <v>5012</v>
      </c>
      <c r="EI639" s="105">
        <v>0</v>
      </c>
      <c r="EJ639" s="536">
        <f t="shared" ref="EJ639:EJ646" si="374">ROUND(((EI639-(EI639/6))/$DD$3)*$DE$3,2)</f>
        <v>0</v>
      </c>
      <c r="EK639" s="514"/>
      <c r="EL639" s="511">
        <f t="shared" ref="EL639:EL646" si="375">IF(EK639="",EJ639,
IF(AND($EI$10&gt;=VLOOKUP(EK639,$EH$5:$EL$9,2,0),$EI$10&lt;=VLOOKUP(EK639,$EH$5:$EL$9,3,0)),
(EJ639*(1-VLOOKUP(EK639,$EH$5:$EL$9,4,0))),
EJ639))</f>
        <v>0</v>
      </c>
    </row>
    <row r="640" spans="51:142">
      <c r="AY640" s="57" t="s">
        <v>2960</v>
      </c>
      <c r="AZ640" s="56" t="s">
        <v>1719</v>
      </c>
      <c r="BA640" s="70" t="str">
        <f t="shared" si="373"/>
        <v>ДП Елегант.2.фальц</v>
      </c>
      <c r="BW640" s="738" t="s">
        <v>2939</v>
      </c>
      <c r="BX640" s="770" t="s">
        <v>3851</v>
      </c>
      <c r="BY640" s="138" t="str">
        <f t="shared" si="369"/>
        <v>ДП Лінея.3.Графіт</v>
      </c>
      <c r="CA640" s="146" t="s">
        <v>3301</v>
      </c>
      <c r="CC640" s="138"/>
      <c r="DD640" s="250" t="s">
        <v>2714</v>
      </c>
      <c r="DE640" s="166">
        <v>8880</v>
      </c>
      <c r="DF640" s="528">
        <f t="shared" si="355"/>
        <v>8880</v>
      </c>
      <c r="DG640" s="529"/>
      <c r="DH640" s="524">
        <f t="shared" si="364"/>
        <v>8880</v>
      </c>
      <c r="DP640" s="165" t="s">
        <v>1207</v>
      </c>
      <c r="DQ640" s="166">
        <v>0</v>
      </c>
      <c r="DR640" s="522">
        <f t="shared" si="368"/>
        <v>0</v>
      </c>
      <c r="DS640" s="523"/>
      <c r="DT640" s="524">
        <f t="shared" si="359"/>
        <v>0</v>
      </c>
      <c r="DV640" s="738" t="s">
        <v>5878</v>
      </c>
      <c r="DW640" s="166">
        <v>0</v>
      </c>
      <c r="DX640" s="522">
        <f t="shared" si="371"/>
        <v>0</v>
      </c>
      <c r="DY640" s="523"/>
      <c r="DZ640" s="524">
        <f t="shared" si="372"/>
        <v>0</v>
      </c>
      <c r="EH640" s="736" t="s">
        <v>3815</v>
      </c>
      <c r="EI640" s="105">
        <v>0</v>
      </c>
      <c r="EJ640" s="536">
        <f t="shared" si="374"/>
        <v>0</v>
      </c>
      <c r="EK640" s="514"/>
      <c r="EL640" s="511">
        <f t="shared" si="375"/>
        <v>0</v>
      </c>
    </row>
    <row r="641" spans="51:142">
      <c r="AY641" s="57" t="s">
        <v>2961</v>
      </c>
      <c r="AZ641" s="56" t="s">
        <v>1719</v>
      </c>
      <c r="BA641" s="70" t="str">
        <f t="shared" si="373"/>
        <v>ДП Елегант.3.фальц</v>
      </c>
      <c r="BW641" s="738" t="s">
        <v>2939</v>
      </c>
      <c r="BX641" s="247" t="s">
        <v>832</v>
      </c>
      <c r="BY641" s="138" t="str">
        <f t="shared" si="369"/>
        <v>ДП Лінея.3.Бронза</v>
      </c>
      <c r="CA641" s="146" t="s">
        <v>3301</v>
      </c>
      <c r="CB641" s="137" t="s">
        <v>4304</v>
      </c>
      <c r="CC641" s="138" t="str">
        <f>CONCATENATE(CA641,".",CB641)</f>
        <v>ДП Лінда.фальц..робоча..Soft цл +3завіс</v>
      </c>
      <c r="DD641" s="250" t="s">
        <v>2715</v>
      </c>
      <c r="DE641" s="166">
        <v>8880</v>
      </c>
      <c r="DF641" s="528">
        <f t="shared" si="355"/>
        <v>8880</v>
      </c>
      <c r="DG641" s="529"/>
      <c r="DH641" s="524">
        <f t="shared" si="364"/>
        <v>8880</v>
      </c>
      <c r="DP641" s="738" t="s">
        <v>4015</v>
      </c>
      <c r="DQ641" s="166">
        <v>550</v>
      </c>
      <c r="DR641" s="522">
        <f t="shared" si="368"/>
        <v>550</v>
      </c>
      <c r="DS641" s="523"/>
      <c r="DT641" s="524">
        <f t="shared" si="359"/>
        <v>550</v>
      </c>
      <c r="DV641" s="738" t="s">
        <v>5879</v>
      </c>
      <c r="DW641" s="163">
        <v>0</v>
      </c>
      <c r="DX641" s="528">
        <f>ROUND(((DW641-(DW641/6))/$DD$3)*$DE$3,2)</f>
        <v>0</v>
      </c>
      <c r="DY641" s="529"/>
      <c r="DZ641" s="530">
        <f>IF(DY641="",DX641,
IF(AND($DW$10&gt;=VLOOKUP(DY641,$DV$5:$DZ$9,2,0),$DW$10&lt;=VLOOKUP(DY641,$DV$5:$DZ$9,3,0)),
(DX641*(1-VLOOKUP(DY641,$DV$5:$DZ$9,4,0))),
DX641))</f>
        <v>0</v>
      </c>
      <c r="EH641" s="736" t="s">
        <v>3816</v>
      </c>
      <c r="EI641" s="105">
        <v>0</v>
      </c>
      <c r="EJ641" s="536">
        <f>ROUND(((EI641-(EI641/6))/$DD$3)*$DE$3,2)</f>
        <v>0</v>
      </c>
      <c r="EK641" s="514"/>
      <c r="EL641" s="511">
        <f>IF(EK641="",EJ641,
IF(AND($EI$10&gt;=VLOOKUP(EK641,$EH$5:$EL$9,2,0),$EI$10&lt;=VLOOKUP(EK641,$EH$5:$EL$9,3,0)),
(EJ641*(1-VLOOKUP(EK641,$EH$5:$EL$9,4,0))),
EJ641))</f>
        <v>0</v>
      </c>
    </row>
    <row r="642" spans="51:142">
      <c r="AY642" s="57" t="s">
        <v>2962</v>
      </c>
      <c r="AZ642" s="56" t="s">
        <v>1719</v>
      </c>
      <c r="BA642" s="70" t="str">
        <f t="shared" si="373"/>
        <v>ДП Елегант.4.фальц</v>
      </c>
      <c r="BW642" s="738" t="s">
        <v>2939</v>
      </c>
      <c r="BX642" s="247" t="s">
        <v>461</v>
      </c>
      <c r="BY642" s="138" t="str">
        <f t="shared" si="369"/>
        <v>ДП Лінея.3.Трипл. мат</v>
      </c>
      <c r="CA642" s="146" t="s">
        <v>3301</v>
      </c>
      <c r="CB642" s="137" t="s">
        <v>4307</v>
      </c>
      <c r="CC642" s="138" t="str">
        <f>CONCATENATE(CA642,".",CB642)</f>
        <v>ДП Лінда.фальц..робоча..Soft ст +3завіс</v>
      </c>
      <c r="DD642" s="250" t="s">
        <v>2716</v>
      </c>
      <c r="DE642" s="166">
        <v>8880</v>
      </c>
      <c r="DF642" s="528">
        <f t="shared" si="355"/>
        <v>8880</v>
      </c>
      <c r="DG642" s="529"/>
      <c r="DH642" s="524">
        <f t="shared" si="364"/>
        <v>8880</v>
      </c>
      <c r="DP642" s="108" t="s">
        <v>1208</v>
      </c>
      <c r="DQ642" s="164">
        <v>550</v>
      </c>
      <c r="DR642" s="531">
        <f t="shared" si="368"/>
        <v>550</v>
      </c>
      <c r="DS642" s="526"/>
      <c r="DT642" s="527">
        <f t="shared" si="359"/>
        <v>550</v>
      </c>
      <c r="DV642" s="738" t="s">
        <v>4676</v>
      </c>
      <c r="DW642" s="166">
        <v>550</v>
      </c>
      <c r="DX642" s="522">
        <f t="shared" si="371"/>
        <v>550</v>
      </c>
      <c r="DY642" s="523"/>
      <c r="DZ642" s="524">
        <f t="shared" si="372"/>
        <v>550</v>
      </c>
      <c r="EH642" s="736" t="s">
        <v>3817</v>
      </c>
      <c r="EI642" s="105">
        <v>0</v>
      </c>
      <c r="EJ642" s="536">
        <f>ROUND(((EI642-(EI642/6))/$DD$3)*$DE$3,2)</f>
        <v>0</v>
      </c>
      <c r="EK642" s="514"/>
      <c r="EL642" s="511">
        <f>IF(EK642="",EJ642,
IF(AND($EI$10&gt;=VLOOKUP(EK642,$EH$5:$EL$9,2,0),$EI$10&lt;=VLOOKUP(EK642,$EH$5:$EL$9,3,0)),
(EJ642*(1-VLOOKUP(EK642,$EH$5:$EL$9,4,0))),
EJ642))</f>
        <v>0</v>
      </c>
    </row>
    <row r="643" spans="51:142">
      <c r="AY643" s="57" t="s">
        <v>2963</v>
      </c>
      <c r="AZ643" s="56" t="s">
        <v>1719</v>
      </c>
      <c r="BA643" s="70" t="str">
        <f t="shared" si="373"/>
        <v>ДП Елегант.5.фальц</v>
      </c>
      <c r="BW643" s="739" t="s">
        <v>2939</v>
      </c>
      <c r="BX643" s="248" t="s">
        <v>460</v>
      </c>
      <c r="BY643" s="139" t="str">
        <f t="shared" si="369"/>
        <v>ДП Лінея.3.Трипл. чер</v>
      </c>
      <c r="CA643" s="146" t="s">
        <v>3301</v>
      </c>
      <c r="CB643" s="21"/>
      <c r="CC643" s="21"/>
      <c r="DD643" s="250" t="s">
        <v>2717</v>
      </c>
      <c r="DE643" s="166">
        <v>8880</v>
      </c>
      <c r="DF643" s="528">
        <f t="shared" si="355"/>
        <v>8880</v>
      </c>
      <c r="DG643" s="529"/>
      <c r="DH643" s="524">
        <f t="shared" si="364"/>
        <v>8880</v>
      </c>
      <c r="DP643" s="538"/>
      <c r="DQ643" s="539"/>
      <c r="DR643" s="650"/>
      <c r="DS643" s="651"/>
      <c r="DT643" s="652"/>
      <c r="DV643" s="738" t="s">
        <v>4677</v>
      </c>
      <c r="DW643" s="166">
        <v>550</v>
      </c>
      <c r="DX643" s="522">
        <f t="shared" si="371"/>
        <v>550</v>
      </c>
      <c r="DY643" s="523"/>
      <c r="DZ643" s="524">
        <f t="shared" si="372"/>
        <v>550</v>
      </c>
      <c r="EH643" s="736" t="s">
        <v>3818</v>
      </c>
      <c r="EI643" s="105">
        <v>0</v>
      </c>
      <c r="EJ643" s="536">
        <f t="shared" si="374"/>
        <v>0</v>
      </c>
      <c r="EK643" s="514"/>
      <c r="EL643" s="511">
        <f t="shared" si="375"/>
        <v>0</v>
      </c>
    </row>
    <row r="644" spans="51:142">
      <c r="AY644" s="57" t="s">
        <v>2964</v>
      </c>
      <c r="AZ644" s="56" t="s">
        <v>1719</v>
      </c>
      <c r="BA644" s="70" t="str">
        <f t="shared" si="373"/>
        <v>ДП Елегант.6.фальц</v>
      </c>
      <c r="BW644" s="737" t="s">
        <v>2940</v>
      </c>
      <c r="BX644" s="246" t="s">
        <v>458</v>
      </c>
      <c r="BY644" s="135" t="str">
        <f t="shared" si="369"/>
        <v>ДП Лінея.4.Сатин</v>
      </c>
      <c r="CA644" s="146" t="s">
        <v>3301</v>
      </c>
      <c r="CB644" s="137" t="s">
        <v>4316</v>
      </c>
      <c r="CC644" s="138" t="str">
        <f>CONCATENATE(CA644,".",CB644)</f>
        <v>ДП Лінда.фальц..робоча..Magnet цл +3завіс</v>
      </c>
      <c r="DD644" s="250" t="s">
        <v>2718</v>
      </c>
      <c r="DE644" s="166">
        <v>8880</v>
      </c>
      <c r="DF644" s="528">
        <f t="shared" si="355"/>
        <v>8880</v>
      </c>
      <c r="DG644" s="529"/>
      <c r="DH644" s="524">
        <f t="shared" si="364"/>
        <v>8880</v>
      </c>
      <c r="DP644" s="736" t="s">
        <v>4181</v>
      </c>
      <c r="DQ644" s="164">
        <v>0</v>
      </c>
      <c r="DR644" s="403">
        <f t="shared" si="368"/>
        <v>0</v>
      </c>
      <c r="DS644" s="514"/>
      <c r="DT644" s="511">
        <f t="shared" si="359"/>
        <v>0</v>
      </c>
      <c r="DV644" s="738" t="s">
        <v>4678</v>
      </c>
      <c r="DW644" s="166">
        <v>800</v>
      </c>
      <c r="DX644" s="522">
        <f>ROUND(((DW644-(DW644/6))/$DD$3)*$DE$3,2)</f>
        <v>800</v>
      </c>
      <c r="DY644" s="523"/>
      <c r="DZ644" s="524">
        <f>IF(DY644="",DX644,
IF(AND($DW$10&gt;=VLOOKUP(DY644,$DV$5:$DZ$9,2,0),$DW$10&lt;=VLOOKUP(DY644,$DV$5:$DZ$9,3,0)),
(DX644*(1-VLOOKUP(DY644,$DV$5:$DZ$9,4,0))),
DX644))</f>
        <v>800</v>
      </c>
      <c r="EH644" s="736" t="s">
        <v>3819</v>
      </c>
      <c r="EI644" s="105">
        <v>0</v>
      </c>
      <c r="EJ644" s="536">
        <f t="shared" si="374"/>
        <v>0</v>
      </c>
      <c r="EK644" s="514"/>
      <c r="EL644" s="511">
        <f t="shared" si="375"/>
        <v>0</v>
      </c>
    </row>
    <row r="645" spans="51:142">
      <c r="AY645" s="57" t="s">
        <v>2965</v>
      </c>
      <c r="AZ645" s="56" t="s">
        <v>1719</v>
      </c>
      <c r="BA645" s="70" t="str">
        <f t="shared" si="373"/>
        <v>ДП Елегант.7.фальц</v>
      </c>
      <c r="BW645" s="738" t="s">
        <v>2940</v>
      </c>
      <c r="BX645" s="770" t="s">
        <v>3851</v>
      </c>
      <c r="BY645" s="138" t="str">
        <f t="shared" si="369"/>
        <v>ДП Лінея.4.Графіт</v>
      </c>
      <c r="CA645" s="147" t="s">
        <v>3301</v>
      </c>
      <c r="CB645" s="62" t="s">
        <v>4319</v>
      </c>
      <c r="CC645" s="139" t="str">
        <f>CONCATENATE(CA645,".",CB645)</f>
        <v>ДП Лінда.фальц..робоча..Magnet ст +3завіс</v>
      </c>
      <c r="DD645" s="250" t="s">
        <v>2719</v>
      </c>
      <c r="DE645" s="166">
        <v>8880</v>
      </c>
      <c r="DF645" s="528">
        <f t="shared" si="355"/>
        <v>8880</v>
      </c>
      <c r="DG645" s="529"/>
      <c r="DH645" s="524">
        <f t="shared" si="364"/>
        <v>8880</v>
      </c>
      <c r="DP645" s="162" t="s">
        <v>1215</v>
      </c>
      <c r="DQ645" s="163">
        <v>0</v>
      </c>
      <c r="DR645" s="528">
        <f t="shared" si="368"/>
        <v>0</v>
      </c>
      <c r="DS645" s="529"/>
      <c r="DT645" s="530">
        <f t="shared" si="359"/>
        <v>0</v>
      </c>
      <c r="DV645" s="739" t="s">
        <v>4679</v>
      </c>
      <c r="DW645" s="164">
        <v>800</v>
      </c>
      <c r="DX645" s="525">
        <f>ROUND(((DW645-(DW645/6))/$DD$3)*$DE$3,2)</f>
        <v>800</v>
      </c>
      <c r="DY645" s="526"/>
      <c r="DZ645" s="527">
        <f>IF(DY645="",DX645,
IF(AND($DW$10&gt;=VLOOKUP(DY645,$DV$5:$DZ$9,2,0),$DW$10&lt;=VLOOKUP(DY645,$DV$5:$DZ$9,3,0)),
(DX645*(1-VLOOKUP(DY645,$DV$5:$DZ$9,4,0))),
DX645))</f>
        <v>800</v>
      </c>
      <c r="EH645" s="736" t="s">
        <v>5231</v>
      </c>
      <c r="EI645" s="105">
        <v>0</v>
      </c>
      <c r="EJ645" s="536">
        <f>ROUND(((EI645-(EI645/6))/$DD$3)*$DE$3,2)</f>
        <v>0</v>
      </c>
      <c r="EK645" s="514"/>
      <c r="EL645" s="511">
        <f>IF(EK645="",EJ645,
IF(AND($EI$10&gt;=VLOOKUP(EK645,$EH$5:$EL$9,2,0),$EI$10&lt;=VLOOKUP(EK645,$EH$5:$EL$9,3,0)),
(EJ645*(1-VLOOKUP(EK645,$EH$5:$EL$9,4,0))),
EJ645))</f>
        <v>0</v>
      </c>
    </row>
    <row r="646" spans="51:142">
      <c r="AY646" s="432"/>
      <c r="AZ646" s="222"/>
      <c r="BA646" s="223"/>
      <c r="BW646" s="738" t="s">
        <v>2940</v>
      </c>
      <c r="BX646" s="247" t="s">
        <v>832</v>
      </c>
      <c r="BY646" s="138" t="str">
        <f t="shared" si="369"/>
        <v>ДП Лінея.4.Бронза</v>
      </c>
      <c r="CA646" s="145" t="s">
        <v>3302</v>
      </c>
      <c r="CB646" s="134" t="s">
        <v>4106</v>
      </c>
      <c r="CC646" s="135" t="str">
        <f>CONCATENATE(CA646,".",CB646)</f>
        <v>ДП Лінда.фальц..неробоча..(ні)</v>
      </c>
      <c r="DD646" s="250" t="s">
        <v>2720</v>
      </c>
      <c r="DE646" s="166">
        <v>8880</v>
      </c>
      <c r="DF646" s="528">
        <f t="shared" si="355"/>
        <v>8880</v>
      </c>
      <c r="DG646" s="529"/>
      <c r="DH646" s="524">
        <f t="shared" si="364"/>
        <v>8880</v>
      </c>
      <c r="DP646" s="738" t="s">
        <v>4016</v>
      </c>
      <c r="DQ646" s="166">
        <v>550</v>
      </c>
      <c r="DR646" s="522">
        <f t="shared" si="368"/>
        <v>550</v>
      </c>
      <c r="DS646" s="523"/>
      <c r="DT646" s="524">
        <f t="shared" si="359"/>
        <v>550</v>
      </c>
      <c r="DV646" s="738" t="s">
        <v>6360</v>
      </c>
      <c r="DW646" s="166">
        <v>1</v>
      </c>
      <c r="DX646" s="522">
        <f t="shared" si="371"/>
        <v>1</v>
      </c>
      <c r="DY646" s="523"/>
      <c r="DZ646" s="524">
        <f t="shared" si="372"/>
        <v>1</v>
      </c>
      <c r="EH646" s="736" t="s">
        <v>3820</v>
      </c>
      <c r="EI646" s="105">
        <v>0</v>
      </c>
      <c r="EJ646" s="536">
        <f t="shared" si="374"/>
        <v>0</v>
      </c>
      <c r="EK646" s="514"/>
      <c r="EL646" s="511">
        <f t="shared" si="375"/>
        <v>0</v>
      </c>
    </row>
    <row r="647" spans="51:142">
      <c r="AY647" s="55" t="s">
        <v>603</v>
      </c>
      <c r="AZ647" s="56" t="s">
        <v>4078</v>
      </c>
      <c r="BA647" s="70" t="str">
        <f>CONCATENATE(AY647,".",AZ647)</f>
        <v>ДП ГЛАСФОРД.1.Скло</v>
      </c>
      <c r="BW647" s="738" t="s">
        <v>2940</v>
      </c>
      <c r="BX647" s="247" t="s">
        <v>461</v>
      </c>
      <c r="BY647" s="138" t="str">
        <f t="shared" si="369"/>
        <v>ДП Лінея.4.Трипл. мат</v>
      </c>
      <c r="CA647" s="146" t="s">
        <v>3302</v>
      </c>
      <c r="CB647" s="21"/>
      <c r="CC647" s="21"/>
      <c r="DD647" s="250" t="s">
        <v>2721</v>
      </c>
      <c r="DE647" s="166">
        <v>8880</v>
      </c>
      <c r="DF647" s="528">
        <f t="shared" si="355"/>
        <v>8880</v>
      </c>
      <c r="DG647" s="529"/>
      <c r="DH647" s="524">
        <f t="shared" si="364"/>
        <v>8880</v>
      </c>
      <c r="DP647" s="108" t="s">
        <v>1216</v>
      </c>
      <c r="DQ647" s="164">
        <v>550</v>
      </c>
      <c r="DR647" s="531">
        <f t="shared" si="368"/>
        <v>550</v>
      </c>
      <c r="DS647" s="526"/>
      <c r="DT647" s="527">
        <f t="shared" si="359"/>
        <v>550</v>
      </c>
      <c r="DV647" s="739" t="s">
        <v>6361</v>
      </c>
      <c r="DW647" s="164">
        <v>1</v>
      </c>
      <c r="DX647" s="525">
        <f t="shared" si="371"/>
        <v>1</v>
      </c>
      <c r="DY647" s="526"/>
      <c r="DZ647" s="527">
        <f t="shared" si="372"/>
        <v>1</v>
      </c>
      <c r="EH647" s="256"/>
      <c r="EI647" s="257"/>
      <c r="EJ647" s="517"/>
      <c r="EK647" s="532"/>
      <c r="EL647" s="259"/>
    </row>
    <row r="648" spans="51:142">
      <c r="AY648" s="55" t="s">
        <v>604</v>
      </c>
      <c r="AZ648" s="56" t="s">
        <v>4078</v>
      </c>
      <c r="BA648" s="70" t="str">
        <f>CONCATENATE(AY648,".",AZ648)</f>
        <v>ДП ГЛАСФОРД.2.Скло</v>
      </c>
      <c r="BW648" s="738" t="s">
        <v>2940</v>
      </c>
      <c r="BX648" s="247" t="s">
        <v>460</v>
      </c>
      <c r="BY648" s="138" t="str">
        <f t="shared" si="369"/>
        <v>ДП Лінея.4.Трипл. чер</v>
      </c>
      <c r="CA648" s="146" t="s">
        <v>3302</v>
      </c>
      <c r="CB648" s="783" t="s">
        <v>4325</v>
      </c>
      <c r="CC648" s="138" t="str">
        <f>CONCATENATE(CA648,".",CB648)</f>
        <v>ДП Лінда.фальц..неробоча..Пл Stand +3завіс</v>
      </c>
      <c r="DD648" s="250" t="s">
        <v>2722</v>
      </c>
      <c r="DE648" s="166">
        <v>8880</v>
      </c>
      <c r="DF648" s="528">
        <f t="shared" si="355"/>
        <v>8880</v>
      </c>
      <c r="DG648" s="529"/>
      <c r="DH648" s="524">
        <f t="shared" si="364"/>
        <v>8880</v>
      </c>
      <c r="DP648" s="739" t="s">
        <v>4183</v>
      </c>
      <c r="DQ648" s="164">
        <v>0</v>
      </c>
      <c r="DR648" s="525">
        <f t="shared" si="368"/>
        <v>0</v>
      </c>
      <c r="DS648" s="526"/>
      <c r="DT648" s="527">
        <f t="shared" si="359"/>
        <v>0</v>
      </c>
      <c r="DV648" s="737" t="s">
        <v>4680</v>
      </c>
      <c r="DW648" s="163">
        <v>0</v>
      </c>
      <c r="DX648" s="528">
        <f t="shared" si="371"/>
        <v>0</v>
      </c>
      <c r="DY648" s="529"/>
      <c r="DZ648" s="530">
        <f t="shared" si="372"/>
        <v>0</v>
      </c>
      <c r="EH648" s="736" t="s">
        <v>5013</v>
      </c>
      <c r="EI648" s="105">
        <v>0</v>
      </c>
      <c r="EJ648" s="536">
        <f t="shared" ref="EJ648:EJ655" si="376">ROUND(((EI648-(EI648/6))/$DD$3)*$DE$3,2)</f>
        <v>0</v>
      </c>
      <c r="EK648" s="514"/>
      <c r="EL648" s="511">
        <f t="shared" ref="EL648:EL655" si="377">IF(EK648="",EJ648,
IF(AND($EI$10&gt;=VLOOKUP(EK648,$EH$5:$EL$9,2,0),$EI$10&lt;=VLOOKUP(EK648,$EH$5:$EL$9,3,0)),
(EJ648*(1-VLOOKUP(EK648,$EH$5:$EL$9,4,0))),
EJ648))</f>
        <v>0</v>
      </c>
    </row>
    <row r="649" spans="51:142">
      <c r="AY649" s="55" t="s">
        <v>605</v>
      </c>
      <c r="AZ649" s="56" t="s">
        <v>4078</v>
      </c>
      <c r="BA649" s="70" t="str">
        <f>CONCATENATE(AY649,".",AZ649)</f>
        <v>ДП ГЛАСФОРД.3.Скло</v>
      </c>
      <c r="BW649" s="432"/>
      <c r="BX649" s="432"/>
      <c r="BY649" s="432"/>
      <c r="CA649" s="146" t="s">
        <v>3302</v>
      </c>
      <c r="CB649" s="783" t="s">
        <v>4333</v>
      </c>
      <c r="CC649" s="138" t="str">
        <f>CONCATENATE(CA649,".",CB649)</f>
        <v>ДП Лінда.фальц..неробоча..Пл Soft +3завіс</v>
      </c>
      <c r="DD649" s="249" t="s">
        <v>2723</v>
      </c>
      <c r="DE649" s="164">
        <v>8880</v>
      </c>
      <c r="DF649" s="528">
        <f t="shared" si="355"/>
        <v>8880</v>
      </c>
      <c r="DG649" s="529"/>
      <c r="DH649" s="527">
        <f t="shared" si="364"/>
        <v>8880</v>
      </c>
      <c r="DP649" s="162" t="s">
        <v>1209</v>
      </c>
      <c r="DQ649" s="163">
        <v>0</v>
      </c>
      <c r="DR649" s="528">
        <f t="shared" si="368"/>
        <v>0</v>
      </c>
      <c r="DS649" s="529"/>
      <c r="DT649" s="530">
        <f t="shared" si="359"/>
        <v>0</v>
      </c>
      <c r="DV649" s="738" t="s">
        <v>4681</v>
      </c>
      <c r="DW649" s="166">
        <v>0</v>
      </c>
      <c r="DX649" s="522">
        <f t="shared" si="371"/>
        <v>0</v>
      </c>
      <c r="DY649" s="523"/>
      <c r="DZ649" s="524">
        <f t="shared" si="372"/>
        <v>0</v>
      </c>
      <c r="EH649" s="736" t="s">
        <v>3821</v>
      </c>
      <c r="EI649" s="105">
        <v>0</v>
      </c>
      <c r="EJ649" s="536">
        <f t="shared" si="376"/>
        <v>0</v>
      </c>
      <c r="EK649" s="514"/>
      <c r="EL649" s="511">
        <f t="shared" si="377"/>
        <v>0</v>
      </c>
    </row>
    <row r="650" spans="51:142">
      <c r="AY650" s="55" t="s">
        <v>606</v>
      </c>
      <c r="AZ650" s="56" t="s">
        <v>4078</v>
      </c>
      <c r="BA650" s="70" t="str">
        <f>CONCATENATE(AY650,".",AZ650)</f>
        <v>ДП ГЛАСФОРД.4.Скло</v>
      </c>
      <c r="BW650" s="165" t="s">
        <v>597</v>
      </c>
      <c r="BX650" s="247" t="s">
        <v>458</v>
      </c>
      <c r="BY650" s="138" t="str">
        <f t="shared" ref="BY650:BY684" si="378">CONCATENATE(BW650,".",BX650)</f>
        <v>ДП ЛАЙН.1.Сатин</v>
      </c>
      <c r="CA650" s="147" t="s">
        <v>3302</v>
      </c>
      <c r="CB650" s="152" t="s">
        <v>4336</v>
      </c>
      <c r="CC650" s="139" t="str">
        <f>CONCATENATE(CA650,".",CB650)</f>
        <v>ДП Лінда.фальц..неробоча..Пл Magnet +3завіс</v>
      </c>
      <c r="DD650" s="740" t="s">
        <v>5232</v>
      </c>
      <c r="DE650" s="166">
        <v>9310</v>
      </c>
      <c r="DF650" s="528">
        <f t="shared" si="355"/>
        <v>9310</v>
      </c>
      <c r="DG650" s="529"/>
      <c r="DH650" s="524">
        <f t="shared" ref="DH650:DH659" si="379">IF(DG650="",DF650,
IF(AND($DE$10&gt;=VLOOKUP(DG650,$DD$5:$DH$9,2,0),$DE$10&lt;=VLOOKUP(DG650,$DD$5:$DH$9,3,0)),
(DF650*(1-VLOOKUP(DG650,$DD$5:$DH$9,4,0))),
DF650))</f>
        <v>9310</v>
      </c>
      <c r="DP650" s="738" t="s">
        <v>4017</v>
      </c>
      <c r="DQ650" s="166">
        <v>550</v>
      </c>
      <c r="DR650" s="522">
        <f t="shared" si="368"/>
        <v>550</v>
      </c>
      <c r="DS650" s="523"/>
      <c r="DT650" s="524">
        <f t="shared" si="359"/>
        <v>550</v>
      </c>
      <c r="DV650" s="739" t="s">
        <v>4682</v>
      </c>
      <c r="DW650" s="164">
        <v>0</v>
      </c>
      <c r="DX650" s="531">
        <f t="shared" ref="DX650:DX656" si="380">ROUND(((DW650-(DW650/6))/$DD$3)*$DE$3,2)</f>
        <v>0</v>
      </c>
      <c r="DY650" s="526"/>
      <c r="DZ650" s="527">
        <f t="shared" ref="DZ650:DZ656" si="381">IF(DY650="",DX650,
IF(AND($DW$10&gt;=VLOOKUP(DY650,$DV$5:$DZ$9,2,0),$DW$10&lt;=VLOOKUP(DY650,$DV$5:$DZ$9,3,0)),
(DX650*(1-VLOOKUP(DY650,$DV$5:$DZ$9,4,0))),
DX650))</f>
        <v>0</v>
      </c>
      <c r="EH650" s="736" t="s">
        <v>3822</v>
      </c>
      <c r="EI650" s="105">
        <v>0</v>
      </c>
      <c r="EJ650" s="536">
        <f>ROUND(((EI650-(EI650/6))/$DD$3)*$DE$3,2)</f>
        <v>0</v>
      </c>
      <c r="EK650" s="514"/>
      <c r="EL650" s="511">
        <f>IF(EK650="",EJ650,
IF(AND($EI$10&gt;=VLOOKUP(EK650,$EH$5:$EL$9,2,0),$EI$10&lt;=VLOOKUP(EK650,$EH$5:$EL$9,3,0)),
(EJ650*(1-VLOOKUP(EK650,$EH$5:$EL$9,4,0))),
EJ650))</f>
        <v>0</v>
      </c>
    </row>
    <row r="651" spans="51:142">
      <c r="AY651" s="55" t="s">
        <v>607</v>
      </c>
      <c r="AZ651" s="56" t="s">
        <v>4078</v>
      </c>
      <c r="BA651" s="70" t="str">
        <f>CONCATENATE(AY651,".",AZ651)</f>
        <v>ДП ГЛАСФОРД.5.Скло</v>
      </c>
      <c r="BW651" s="165" t="s">
        <v>597</v>
      </c>
      <c r="BX651" s="770" t="s">
        <v>3851</v>
      </c>
      <c r="BY651" s="138" t="str">
        <f t="shared" si="378"/>
        <v>ДП ЛАЙН.1.Графіт</v>
      </c>
      <c r="CA651" s="146" t="s">
        <v>3303</v>
      </c>
      <c r="CB651" s="137" t="s">
        <v>4106</v>
      </c>
      <c r="CC651" s="239" t="str">
        <f>CONCATENATE(CA651,".",CB651)</f>
        <v>ДП Лінда.б/з фальц..робоча..(ні)</v>
      </c>
      <c r="DD651" s="740" t="s">
        <v>5233</v>
      </c>
      <c r="DE651" s="166">
        <v>9310</v>
      </c>
      <c r="DF651" s="528">
        <f t="shared" si="355"/>
        <v>9310</v>
      </c>
      <c r="DG651" s="529"/>
      <c r="DH651" s="524">
        <f t="shared" si="379"/>
        <v>9310</v>
      </c>
      <c r="DP651" s="108" t="s">
        <v>1210</v>
      </c>
      <c r="DQ651" s="164">
        <v>550</v>
      </c>
      <c r="DR651" s="531">
        <f t="shared" si="368"/>
        <v>550</v>
      </c>
      <c r="DS651" s="526"/>
      <c r="DT651" s="527">
        <f t="shared" si="359"/>
        <v>550</v>
      </c>
      <c r="DV651" s="738" t="s">
        <v>4683</v>
      </c>
      <c r="DW651" s="166">
        <v>800</v>
      </c>
      <c r="DX651" s="522">
        <f t="shared" si="380"/>
        <v>800</v>
      </c>
      <c r="DY651" s="523"/>
      <c r="DZ651" s="524">
        <f t="shared" si="381"/>
        <v>800</v>
      </c>
      <c r="EH651" s="736" t="s">
        <v>3823</v>
      </c>
      <c r="EI651" s="105">
        <v>0</v>
      </c>
      <c r="EJ651" s="536">
        <f>ROUND(((EI651-(EI651/6))/$DD$3)*$DE$3,2)</f>
        <v>0</v>
      </c>
      <c r="EK651" s="514"/>
      <c r="EL651" s="511">
        <f>IF(EK651="",EJ651,
IF(AND($EI$10&gt;=VLOOKUP(EK651,$EH$5:$EL$9,2,0),$EI$10&lt;=VLOOKUP(EK651,$EH$5:$EL$9,3,0)),
(EJ651*(1-VLOOKUP(EK651,$EH$5:$EL$9,4,0))),
EJ651))</f>
        <v>0</v>
      </c>
    </row>
    <row r="652" spans="51:142">
      <c r="AY652" s="432"/>
      <c r="AZ652" s="222"/>
      <c r="BA652" s="223"/>
      <c r="BW652" s="165" t="s">
        <v>597</v>
      </c>
      <c r="BX652" s="247" t="s">
        <v>832</v>
      </c>
      <c r="BY652" s="138" t="str">
        <f t="shared" si="378"/>
        <v>ДП ЛАЙН.1.Бронза</v>
      </c>
      <c r="CA652" s="146" t="s">
        <v>3303</v>
      </c>
      <c r="CB652" s="97"/>
      <c r="CC652" s="97"/>
      <c r="DD652" s="740" t="s">
        <v>5234</v>
      </c>
      <c r="DE652" s="166">
        <v>9310</v>
      </c>
      <c r="DF652" s="528">
        <f t="shared" si="355"/>
        <v>9310</v>
      </c>
      <c r="DG652" s="529"/>
      <c r="DH652" s="524">
        <f t="shared" si="379"/>
        <v>9310</v>
      </c>
      <c r="DP652" s="165" t="s">
        <v>1211</v>
      </c>
      <c r="DQ652" s="166">
        <v>0</v>
      </c>
      <c r="DR652" s="522">
        <f t="shared" si="368"/>
        <v>0</v>
      </c>
      <c r="DS652" s="523"/>
      <c r="DT652" s="524">
        <f t="shared" si="359"/>
        <v>0</v>
      </c>
      <c r="DV652" s="738" t="s">
        <v>4684</v>
      </c>
      <c r="DW652" s="166">
        <v>800</v>
      </c>
      <c r="DX652" s="522">
        <f t="shared" si="380"/>
        <v>800</v>
      </c>
      <c r="DY652" s="523"/>
      <c r="DZ652" s="524">
        <f t="shared" si="381"/>
        <v>800</v>
      </c>
      <c r="EH652" s="736" t="s">
        <v>3824</v>
      </c>
      <c r="EI652" s="105">
        <v>0</v>
      </c>
      <c r="EJ652" s="536">
        <f t="shared" si="376"/>
        <v>0</v>
      </c>
      <c r="EK652" s="514"/>
      <c r="EL652" s="511">
        <f t="shared" si="377"/>
        <v>0</v>
      </c>
    </row>
    <row r="653" spans="51:142">
      <c r="AY653" s="57" t="s">
        <v>3014</v>
      </c>
      <c r="AZ653" s="56" t="s">
        <v>1726</v>
      </c>
      <c r="BA653" s="70" t="str">
        <f>CONCATENATE(AY653,".",AZ653)</f>
        <v>ДП Добір.А.фальц..</v>
      </c>
      <c r="BW653" s="165" t="s">
        <v>597</v>
      </c>
      <c r="BX653" s="247" t="s">
        <v>461</v>
      </c>
      <c r="BY653" s="138" t="str">
        <f t="shared" si="378"/>
        <v>ДП ЛАЙН.1.Трипл. мат</v>
      </c>
      <c r="CA653" s="146" t="s">
        <v>3303</v>
      </c>
      <c r="CB653" s="478" t="s">
        <v>4337</v>
      </c>
      <c r="CC653" s="239" t="str">
        <f>CONCATENATE(CA653,".",CB653)</f>
        <v>ДП Лінда.б/з фальц..робоча..Magnet цл б/з завіс.</v>
      </c>
      <c r="DD653" s="740" t="s">
        <v>5235</v>
      </c>
      <c r="DE653" s="166">
        <v>9310</v>
      </c>
      <c r="DF653" s="528">
        <f t="shared" si="355"/>
        <v>9310</v>
      </c>
      <c r="DG653" s="529"/>
      <c r="DH653" s="524">
        <f t="shared" si="379"/>
        <v>9310</v>
      </c>
      <c r="DP653" s="738" t="s">
        <v>4018</v>
      </c>
      <c r="DQ653" s="166">
        <v>550</v>
      </c>
      <c r="DR653" s="522">
        <f t="shared" si="368"/>
        <v>550</v>
      </c>
      <c r="DS653" s="523"/>
      <c r="DT653" s="524">
        <f t="shared" si="359"/>
        <v>550</v>
      </c>
      <c r="DV653" s="738" t="s">
        <v>4685</v>
      </c>
      <c r="DW653" s="166">
        <v>800</v>
      </c>
      <c r="DX653" s="522">
        <f t="shared" si="380"/>
        <v>800</v>
      </c>
      <c r="DY653" s="523"/>
      <c r="DZ653" s="524">
        <f t="shared" si="381"/>
        <v>800</v>
      </c>
      <c r="EH653" s="736" t="s">
        <v>3825</v>
      </c>
      <c r="EI653" s="105">
        <v>0</v>
      </c>
      <c r="EJ653" s="536">
        <f t="shared" si="376"/>
        <v>0</v>
      </c>
      <c r="EK653" s="514"/>
      <c r="EL653" s="511">
        <f t="shared" si="377"/>
        <v>0</v>
      </c>
    </row>
    <row r="654" spans="51:142">
      <c r="AY654" s="57" t="s">
        <v>3016</v>
      </c>
      <c r="AZ654" s="56" t="s">
        <v>1726</v>
      </c>
      <c r="BA654" s="70" t="str">
        <f>CONCATENATE(AY654,".",AZ654)</f>
        <v>ДП Добір.Б.фальц..</v>
      </c>
      <c r="BW654" s="108" t="s">
        <v>597</v>
      </c>
      <c r="BX654" s="248" t="s">
        <v>460</v>
      </c>
      <c r="BY654" s="139" t="str">
        <f t="shared" si="378"/>
        <v>ДП ЛАЙН.1.Трипл. чер</v>
      </c>
      <c r="CA654" s="146" t="s">
        <v>3303</v>
      </c>
      <c r="CB654" s="478" t="s">
        <v>4339</v>
      </c>
      <c r="CC654" s="239" t="str">
        <f>CONCATENATE(CA654,".",CB654)</f>
        <v>ДП Лінда.б/з фальц..робоча..Magnet ст б/з завіс.</v>
      </c>
      <c r="DD654" s="740" t="s">
        <v>5236</v>
      </c>
      <c r="DE654" s="166">
        <v>9310</v>
      </c>
      <c r="DF654" s="528">
        <f t="shared" si="355"/>
        <v>9310</v>
      </c>
      <c r="DG654" s="529"/>
      <c r="DH654" s="524">
        <f t="shared" si="379"/>
        <v>9310</v>
      </c>
      <c r="DP654" s="108" t="s">
        <v>1212</v>
      </c>
      <c r="DQ654" s="164">
        <v>550</v>
      </c>
      <c r="DR654" s="531">
        <f t="shared" si="368"/>
        <v>550</v>
      </c>
      <c r="DS654" s="526"/>
      <c r="DT654" s="527">
        <f t="shared" si="359"/>
        <v>550</v>
      </c>
      <c r="DV654" s="738" t="s">
        <v>4686</v>
      </c>
      <c r="DW654" s="166">
        <v>800</v>
      </c>
      <c r="DX654" s="522">
        <f t="shared" si="380"/>
        <v>800</v>
      </c>
      <c r="DY654" s="523"/>
      <c r="DZ654" s="524">
        <f t="shared" si="381"/>
        <v>800</v>
      </c>
      <c r="EH654" s="736" t="s">
        <v>5237</v>
      </c>
      <c r="EI654" s="105">
        <v>0</v>
      </c>
      <c r="EJ654" s="536">
        <f>ROUND(((EI654-(EI654/6))/$DD$3)*$DE$3,2)</f>
        <v>0</v>
      </c>
      <c r="EK654" s="514"/>
      <c r="EL654" s="511">
        <f>IF(EK654="",EJ654,
IF(AND($EI$10&gt;=VLOOKUP(EK654,$EH$5:$EL$9,2,0),$EI$10&lt;=VLOOKUP(EK654,$EH$5:$EL$9,3,0)),
(EJ654*(1-VLOOKUP(EK654,$EH$5:$EL$9,4,0))),
EJ654))</f>
        <v>0</v>
      </c>
    </row>
    <row r="655" spans="51:142">
      <c r="AY655" s="227"/>
      <c r="AZ655" s="222"/>
      <c r="BA655" s="223"/>
      <c r="BW655" s="162" t="s">
        <v>598</v>
      </c>
      <c r="BX655" s="786" t="s">
        <v>4220</v>
      </c>
      <c r="BY655" s="135" t="str">
        <f t="shared" si="378"/>
        <v>ДП ЛАЙН.2.Малюнок</v>
      </c>
      <c r="CA655" s="146" t="s">
        <v>3303</v>
      </c>
      <c r="CB655" s="97"/>
      <c r="CC655" s="97"/>
      <c r="DD655" s="740" t="s">
        <v>5238</v>
      </c>
      <c r="DE655" s="166">
        <v>9310</v>
      </c>
      <c r="DF655" s="528">
        <f t="shared" si="355"/>
        <v>9310</v>
      </c>
      <c r="DG655" s="529"/>
      <c r="DH655" s="524">
        <f t="shared" si="379"/>
        <v>9310</v>
      </c>
      <c r="DP655" s="165" t="s">
        <v>1213</v>
      </c>
      <c r="DQ655" s="166">
        <v>0</v>
      </c>
      <c r="DR655" s="522">
        <f t="shared" si="368"/>
        <v>0</v>
      </c>
      <c r="DS655" s="523"/>
      <c r="DT655" s="524">
        <f t="shared" si="359"/>
        <v>0</v>
      </c>
      <c r="DV655" s="738" t="s">
        <v>4687</v>
      </c>
      <c r="DW655" s="166">
        <v>800</v>
      </c>
      <c r="DX655" s="522">
        <f t="shared" si="380"/>
        <v>800</v>
      </c>
      <c r="DY655" s="523"/>
      <c r="DZ655" s="524">
        <f t="shared" si="381"/>
        <v>800</v>
      </c>
      <c r="EH655" s="736" t="s">
        <v>3826</v>
      </c>
      <c r="EI655" s="105">
        <v>0</v>
      </c>
      <c r="EJ655" s="536">
        <f t="shared" si="376"/>
        <v>0</v>
      </c>
      <c r="EK655" s="514"/>
      <c r="EL655" s="511">
        <f t="shared" si="377"/>
        <v>0</v>
      </c>
    </row>
    <row r="656" spans="51:142">
      <c r="AY656" s="750" t="s">
        <v>3017</v>
      </c>
      <c r="AZ656" s="56" t="s">
        <v>1726</v>
      </c>
      <c r="BA656" s="70" t="str">
        <f t="shared" ref="BA656:BA666" si="382">CONCATENATE(AY656,".",AZ656)</f>
        <v>ДП Добір-ЛАДА.Л1/0.фальц..</v>
      </c>
      <c r="BW656" s="165" t="s">
        <v>598</v>
      </c>
      <c r="BX656" s="770" t="s">
        <v>3851</v>
      </c>
      <c r="BY656" s="138" t="str">
        <f t="shared" si="378"/>
        <v>ДП ЛАЙН.2.Графіт</v>
      </c>
      <c r="CA656" s="146" t="s">
        <v>3303</v>
      </c>
      <c r="CB656" s="478" t="s">
        <v>4343</v>
      </c>
      <c r="CC656" s="239" t="str">
        <f>CONCATENATE(CA656,".",CB656)</f>
        <v>ДП Лінда.б/з фальц..робоча..Magnet цл +2завіс 3D</v>
      </c>
      <c r="DD656" s="740" t="s">
        <v>5239</v>
      </c>
      <c r="DE656" s="166">
        <v>9310</v>
      </c>
      <c r="DF656" s="528">
        <f t="shared" si="355"/>
        <v>9310</v>
      </c>
      <c r="DG656" s="529"/>
      <c r="DH656" s="524">
        <f t="shared" si="379"/>
        <v>9310</v>
      </c>
      <c r="DP656" s="738" t="s">
        <v>4019</v>
      </c>
      <c r="DQ656" s="166">
        <v>550</v>
      </c>
      <c r="DR656" s="522">
        <f t="shared" si="368"/>
        <v>550</v>
      </c>
      <c r="DS656" s="523"/>
      <c r="DT656" s="524">
        <f t="shared" si="359"/>
        <v>550</v>
      </c>
      <c r="DV656" s="739" t="s">
        <v>4688</v>
      </c>
      <c r="DW656" s="166">
        <v>800</v>
      </c>
      <c r="DX656" s="525">
        <f t="shared" si="380"/>
        <v>800</v>
      </c>
      <c r="DY656" s="526"/>
      <c r="DZ656" s="527">
        <f t="shared" si="381"/>
        <v>800</v>
      </c>
      <c r="EH656" s="256"/>
      <c r="EI656" s="257"/>
      <c r="EJ656" s="517"/>
      <c r="EK656" s="532"/>
      <c r="EL656" s="259"/>
    </row>
    <row r="657" spans="51:142">
      <c r="AY657" s="750" t="s">
        <v>3020</v>
      </c>
      <c r="AZ657" s="56" t="s">
        <v>1726</v>
      </c>
      <c r="BA657" s="70" t="str">
        <f t="shared" si="382"/>
        <v>ДП Добір-ЛАДА.Л1/1.фальц..</v>
      </c>
      <c r="BW657" s="165" t="s">
        <v>598</v>
      </c>
      <c r="BX657" s="247" t="s">
        <v>832</v>
      </c>
      <c r="BY657" s="138" t="str">
        <f t="shared" si="378"/>
        <v>ДП ЛАЙН.2.Бронза</v>
      </c>
      <c r="CA657" s="146" t="s">
        <v>3303</v>
      </c>
      <c r="CB657" s="478" t="s">
        <v>4347</v>
      </c>
      <c r="CC657" s="239" t="str">
        <f>CONCATENATE(CA657,".",CB657)</f>
        <v>ДП Лінда.б/з фальц..робоча..Magnet ст +2завіс 3D</v>
      </c>
      <c r="DD657" s="740" t="s">
        <v>5240</v>
      </c>
      <c r="DE657" s="166">
        <v>9310</v>
      </c>
      <c r="DF657" s="528">
        <f t="shared" si="355"/>
        <v>9310</v>
      </c>
      <c r="DG657" s="529"/>
      <c r="DH657" s="524">
        <f t="shared" si="379"/>
        <v>9310</v>
      </c>
      <c r="DP657" s="108" t="s">
        <v>1214</v>
      </c>
      <c r="DQ657" s="164">
        <v>550</v>
      </c>
      <c r="DR657" s="531">
        <f t="shared" si="368"/>
        <v>550</v>
      </c>
      <c r="DS657" s="526"/>
      <c r="DT657" s="527">
        <f t="shared" si="359"/>
        <v>550</v>
      </c>
      <c r="DV657" s="739" t="s">
        <v>6362</v>
      </c>
      <c r="DW657" s="164">
        <v>0</v>
      </c>
      <c r="DX657" s="531">
        <f t="shared" si="371"/>
        <v>0</v>
      </c>
      <c r="DY657" s="526"/>
      <c r="DZ657" s="527">
        <f t="shared" si="372"/>
        <v>0</v>
      </c>
      <c r="EH657" s="256"/>
      <c r="EI657" s="257"/>
      <c r="EJ657" s="517"/>
      <c r="EK657" s="532"/>
      <c r="EL657" s="259"/>
    </row>
    <row r="658" spans="51:142">
      <c r="AY658" s="750" t="s">
        <v>3021</v>
      </c>
      <c r="AZ658" s="56" t="s">
        <v>1726</v>
      </c>
      <c r="BA658" s="70" t="str">
        <f t="shared" si="382"/>
        <v>ДП Добір-ЛАДА.Л3/0.фальц..</v>
      </c>
      <c r="BW658" s="165" t="s">
        <v>598</v>
      </c>
      <c r="BX658" s="247" t="s">
        <v>461</v>
      </c>
      <c r="BY658" s="138" t="str">
        <f t="shared" si="378"/>
        <v>ДП ЛАЙН.2.Трипл. мат</v>
      </c>
      <c r="CA658" s="146" t="s">
        <v>3303</v>
      </c>
      <c r="CB658" s="97"/>
      <c r="CC658" s="97"/>
      <c r="DD658" s="740" t="s">
        <v>5241</v>
      </c>
      <c r="DE658" s="166">
        <v>9310</v>
      </c>
      <c r="DF658" s="528">
        <f t="shared" si="355"/>
        <v>9310</v>
      </c>
      <c r="DG658" s="529"/>
      <c r="DH658" s="524">
        <f t="shared" si="379"/>
        <v>9310</v>
      </c>
      <c r="DP658" s="165" t="s">
        <v>1217</v>
      </c>
      <c r="DQ658" s="166">
        <v>0</v>
      </c>
      <c r="DR658" s="522">
        <f t="shared" si="368"/>
        <v>0</v>
      </c>
      <c r="DS658" s="523"/>
      <c r="DT658" s="524">
        <f t="shared" si="359"/>
        <v>0</v>
      </c>
      <c r="DV658" s="738" t="s">
        <v>6363</v>
      </c>
      <c r="DW658" s="166">
        <v>1</v>
      </c>
      <c r="DX658" s="522">
        <f t="shared" si="371"/>
        <v>1</v>
      </c>
      <c r="DY658" s="523"/>
      <c r="DZ658" s="524">
        <f t="shared" si="372"/>
        <v>1</v>
      </c>
      <c r="EH658" s="736" t="s">
        <v>6474</v>
      </c>
      <c r="EI658" s="105">
        <v>0</v>
      </c>
      <c r="EJ658" s="536">
        <f t="shared" ref="EJ658:EJ665" si="383">ROUND(((EI658-(EI658/6))/$DD$3)*$DE$3,2)</f>
        <v>0</v>
      </c>
      <c r="EK658" s="514"/>
      <c r="EL658" s="511">
        <f t="shared" ref="EL658:EL665" si="384">IF(EK658="",EJ658,
IF(AND($EI$10&gt;=VLOOKUP(EK658,$EH$5:$EL$9,2,0),$EI$10&lt;=VLOOKUP(EK658,$EH$5:$EL$9,3,0)),
(EJ658*(1-VLOOKUP(EK658,$EH$5:$EL$9,4,0))),
EJ658))</f>
        <v>0</v>
      </c>
    </row>
    <row r="659" spans="51:142">
      <c r="AY659" s="750" t="s">
        <v>3022</v>
      </c>
      <c r="AZ659" s="56" t="s">
        <v>1726</v>
      </c>
      <c r="BA659" s="70" t="str">
        <f t="shared" si="382"/>
        <v>ДП Добір-ЛАДА.Л3/1.фальц..</v>
      </c>
      <c r="BW659" s="108" t="s">
        <v>598</v>
      </c>
      <c r="BX659" s="248" t="s">
        <v>460</v>
      </c>
      <c r="BY659" s="139" t="str">
        <f t="shared" si="378"/>
        <v>ДП ЛАЙН.2.Трипл. чер</v>
      </c>
      <c r="CA659" s="146" t="s">
        <v>3303</v>
      </c>
      <c r="CB659" s="478" t="s">
        <v>4349</v>
      </c>
      <c r="CC659" s="239" t="str">
        <f>CONCATENATE(CA659,".",CB659)</f>
        <v>ДП Лінда.б/з фальц..робоча..Magnet цл +3завіс 3D</v>
      </c>
      <c r="DD659" s="741" t="s">
        <v>5242</v>
      </c>
      <c r="DE659" s="164">
        <v>9310</v>
      </c>
      <c r="DF659" s="528">
        <f t="shared" si="355"/>
        <v>9310</v>
      </c>
      <c r="DG659" s="529"/>
      <c r="DH659" s="527">
        <f t="shared" si="379"/>
        <v>9310</v>
      </c>
      <c r="DP659" s="738" t="s">
        <v>4020</v>
      </c>
      <c r="DQ659" s="166">
        <v>550</v>
      </c>
      <c r="DR659" s="522">
        <f t="shared" si="368"/>
        <v>550</v>
      </c>
      <c r="DS659" s="523"/>
      <c r="DT659" s="524">
        <f t="shared" si="359"/>
        <v>550</v>
      </c>
      <c r="DV659" s="738" t="s">
        <v>6364</v>
      </c>
      <c r="DW659" s="166">
        <v>1</v>
      </c>
      <c r="DX659" s="522">
        <f t="shared" si="371"/>
        <v>1</v>
      </c>
      <c r="DY659" s="523"/>
      <c r="DZ659" s="524">
        <f t="shared" si="372"/>
        <v>1</v>
      </c>
      <c r="EH659" s="736" t="s">
        <v>6475</v>
      </c>
      <c r="EI659" s="105">
        <v>0</v>
      </c>
      <c r="EJ659" s="536">
        <f t="shared" si="383"/>
        <v>0</v>
      </c>
      <c r="EK659" s="514"/>
      <c r="EL659" s="511">
        <f t="shared" si="384"/>
        <v>0</v>
      </c>
    </row>
    <row r="660" spans="51:142">
      <c r="AY660" s="750" t="s">
        <v>3023</v>
      </c>
      <c r="AZ660" s="56" t="s">
        <v>1726</v>
      </c>
      <c r="BA660" s="70" t="str">
        <f t="shared" si="382"/>
        <v>ДП Добір-ЛАДА.Л3/2.фальц..</v>
      </c>
      <c r="BW660" s="162" t="s">
        <v>599</v>
      </c>
      <c r="BX660" s="786" t="s">
        <v>4220</v>
      </c>
      <c r="BY660" s="135" t="str">
        <f t="shared" si="378"/>
        <v>ДП ЛАЙН.3.Малюнок</v>
      </c>
      <c r="CA660" s="147" t="s">
        <v>3303</v>
      </c>
      <c r="CB660" s="590" t="s">
        <v>4350</v>
      </c>
      <c r="CC660" s="240" t="str">
        <f>CONCATENATE(CA660,".",CB660)</f>
        <v>ДП Лінда.б/з фальц..робоча..Magnet ст +3завіс 3D</v>
      </c>
      <c r="DD660" s="641"/>
      <c r="DE660" s="642"/>
      <c r="DF660" s="643"/>
      <c r="DG660" s="644"/>
      <c r="DH660" s="645"/>
      <c r="DP660" s="108" t="s">
        <v>1218</v>
      </c>
      <c r="DQ660" s="164">
        <v>550</v>
      </c>
      <c r="DR660" s="531">
        <f t="shared" si="368"/>
        <v>550</v>
      </c>
      <c r="DS660" s="526"/>
      <c r="DT660" s="527">
        <f t="shared" si="359"/>
        <v>550</v>
      </c>
      <c r="DV660" s="738" t="s">
        <v>6365</v>
      </c>
      <c r="DW660" s="166">
        <v>1</v>
      </c>
      <c r="DX660" s="522">
        <f t="shared" si="371"/>
        <v>1</v>
      </c>
      <c r="DY660" s="523"/>
      <c r="DZ660" s="524">
        <f t="shared" si="372"/>
        <v>1</v>
      </c>
      <c r="EH660" s="736" t="s">
        <v>6476</v>
      </c>
      <c r="EI660" s="105">
        <v>0</v>
      </c>
      <c r="EJ660" s="536">
        <f>ROUND(((EI660-(EI660/6))/$DD$3)*$DE$3,2)</f>
        <v>0</v>
      </c>
      <c r="EK660" s="514"/>
      <c r="EL660" s="511">
        <f>IF(EK660="",EJ660,
IF(AND($EI$10&gt;=VLOOKUP(EK660,$EH$5:$EL$9,2,0),$EI$10&lt;=VLOOKUP(EK660,$EH$5:$EL$9,3,0)),
(EJ660*(1-VLOOKUP(EK660,$EH$5:$EL$9,4,0))),
EJ660))</f>
        <v>0</v>
      </c>
    </row>
    <row r="661" spans="51:142">
      <c r="AY661" s="750" t="s">
        <v>3024</v>
      </c>
      <c r="AZ661" s="56" t="s">
        <v>1726</v>
      </c>
      <c r="BA661" s="70" t="str">
        <f t="shared" si="382"/>
        <v>ДП Добір-ЛАДА.Л4/0.фальц..</v>
      </c>
      <c r="BW661" s="165" t="s">
        <v>599</v>
      </c>
      <c r="BX661" s="770" t="s">
        <v>3851</v>
      </c>
      <c r="BY661" s="138" t="str">
        <f t="shared" si="378"/>
        <v>ДП ЛАЙН.3.Графіт</v>
      </c>
      <c r="CA661" s="145" t="s">
        <v>3304</v>
      </c>
      <c r="CB661" s="134" t="s">
        <v>4106</v>
      </c>
      <c r="CC661" s="135" t="str">
        <f>CONCATENATE(CA661,".",CB661)</f>
        <v>ДП Лінда.купе..робоча..(ні)</v>
      </c>
      <c r="DD661" s="251" t="s">
        <v>1097</v>
      </c>
      <c r="DE661" s="163">
        <v>6640.0000000000009</v>
      </c>
      <c r="DF661" s="528">
        <f t="shared" si="355"/>
        <v>6640</v>
      </c>
      <c r="DG661" s="529" t="s">
        <v>6466</v>
      </c>
      <c r="DH661" s="530">
        <f ca="1">IF(DG661="",DF661,
IF(AND($DE$10&gt;=VLOOKUP(DG661,$DD$5:$DH$9,2,0),$DE$10&lt;=VLOOKUP(DG661,$DD$5:$DH$9,3,0)),
(DF661*(1-VLOOKUP(DG661,$DD$5:$DH$9,4,0))),
DF661))</f>
        <v>6640</v>
      </c>
      <c r="DP661" s="165" t="s">
        <v>1219</v>
      </c>
      <c r="DQ661" s="166">
        <v>0</v>
      </c>
      <c r="DR661" s="522">
        <f t="shared" si="368"/>
        <v>0</v>
      </c>
      <c r="DS661" s="523"/>
      <c r="DT661" s="524">
        <f t="shared" si="359"/>
        <v>0</v>
      </c>
      <c r="DV661" s="738" t="s">
        <v>6366</v>
      </c>
      <c r="DW661" s="166">
        <v>1</v>
      </c>
      <c r="DX661" s="522">
        <f t="shared" si="371"/>
        <v>1</v>
      </c>
      <c r="DY661" s="523"/>
      <c r="DZ661" s="524">
        <f t="shared" si="372"/>
        <v>1</v>
      </c>
      <c r="EH661" s="736" t="s">
        <v>6477</v>
      </c>
      <c r="EI661" s="105">
        <v>0</v>
      </c>
      <c r="EJ661" s="536">
        <f>ROUND(((EI661-(EI661/6))/$DD$3)*$DE$3,2)</f>
        <v>0</v>
      </c>
      <c r="EK661" s="514"/>
      <c r="EL661" s="511">
        <f>IF(EK661="",EJ661,
IF(AND($EI$10&gt;=VLOOKUP(EK661,$EH$5:$EL$9,2,0),$EI$10&lt;=VLOOKUP(EK661,$EH$5:$EL$9,3,0)),
(EJ661*(1-VLOOKUP(EK661,$EH$5:$EL$9,4,0))),
EJ661))</f>
        <v>0</v>
      </c>
    </row>
    <row r="662" spans="51:142">
      <c r="AY662" s="750" t="s">
        <v>3025</v>
      </c>
      <c r="AZ662" s="56" t="s">
        <v>1726</v>
      </c>
      <c r="BA662" s="70" t="str">
        <f t="shared" si="382"/>
        <v>ДП Добір-ЛАДА.Л4/1.фальц..</v>
      </c>
      <c r="BW662" s="165" t="s">
        <v>599</v>
      </c>
      <c r="BX662" s="247" t="s">
        <v>832</v>
      </c>
      <c r="BY662" s="138" t="str">
        <f t="shared" si="378"/>
        <v>ДП ЛАЙН.3.Бронза</v>
      </c>
      <c r="CA662" s="146" t="s">
        <v>3304</v>
      </c>
      <c r="CB662" s="21"/>
      <c r="CC662" s="21"/>
      <c r="DD662" s="250" t="s">
        <v>1098</v>
      </c>
      <c r="DE662" s="166">
        <v>6640.0000000000009</v>
      </c>
      <c r="DF662" s="528">
        <f t="shared" si="355"/>
        <v>6640</v>
      </c>
      <c r="DG662" s="529" t="s">
        <v>6466</v>
      </c>
      <c r="DH662" s="530">
        <f t="shared" ref="DH662:DH710" ca="1" si="385">IF(DG662="",DF662,
IF(AND($DE$10&gt;=VLOOKUP(DG662,$DD$5:$DH$9,2,0),$DE$10&lt;=VLOOKUP(DG662,$DD$5:$DH$9,3,0)),
(DF662*(1-VLOOKUP(DG662,$DD$5:$DH$9,4,0))),
DF662))</f>
        <v>6640</v>
      </c>
      <c r="DP662" s="738" t="s">
        <v>4021</v>
      </c>
      <c r="DQ662" s="166">
        <v>550</v>
      </c>
      <c r="DR662" s="522">
        <f t="shared" si="368"/>
        <v>550</v>
      </c>
      <c r="DS662" s="523"/>
      <c r="DT662" s="524">
        <f t="shared" si="359"/>
        <v>550</v>
      </c>
      <c r="DV662" s="738" t="s">
        <v>6367</v>
      </c>
      <c r="DW662" s="166">
        <v>1</v>
      </c>
      <c r="DX662" s="522">
        <f t="shared" si="371"/>
        <v>1</v>
      </c>
      <c r="DY662" s="523"/>
      <c r="DZ662" s="524">
        <f t="shared" si="372"/>
        <v>1</v>
      </c>
      <c r="EH662" s="736" t="s">
        <v>6478</v>
      </c>
      <c r="EI662" s="105">
        <v>0</v>
      </c>
      <c r="EJ662" s="536">
        <f t="shared" si="383"/>
        <v>0</v>
      </c>
      <c r="EK662" s="514"/>
      <c r="EL662" s="511">
        <f t="shared" si="384"/>
        <v>0</v>
      </c>
    </row>
    <row r="663" spans="51:142">
      <c r="AY663" s="750" t="s">
        <v>3026</v>
      </c>
      <c r="AZ663" s="56" t="s">
        <v>1726</v>
      </c>
      <c r="BA663" s="70" t="str">
        <f t="shared" si="382"/>
        <v>ДП Добір-ЛАДА.Л5/0.фальц..</v>
      </c>
      <c r="BW663" s="165" t="s">
        <v>599</v>
      </c>
      <c r="BX663" s="247" t="s">
        <v>461</v>
      </c>
      <c r="BY663" s="138" t="str">
        <f t="shared" si="378"/>
        <v>ДП ЛАЙН.3.Трипл. мат</v>
      </c>
      <c r="CA663" s="146" t="s">
        <v>3304</v>
      </c>
      <c r="CB663" s="137" t="s">
        <v>462</v>
      </c>
      <c r="CC663" s="138" t="str">
        <f>CONCATENATE(CA663,".",CB663)</f>
        <v>ДП Лінда.купе..робоча..Ручка-Захват</v>
      </c>
      <c r="DD663" s="250" t="s">
        <v>1099</v>
      </c>
      <c r="DE663" s="166">
        <v>6950</v>
      </c>
      <c r="DF663" s="528">
        <f t="shared" si="355"/>
        <v>6950</v>
      </c>
      <c r="DG663" s="529" t="s">
        <v>6466</v>
      </c>
      <c r="DH663" s="530">
        <f t="shared" ca="1" si="385"/>
        <v>6950</v>
      </c>
      <c r="DP663" s="108" t="s">
        <v>1220</v>
      </c>
      <c r="DQ663" s="164">
        <v>550</v>
      </c>
      <c r="DR663" s="531">
        <f t="shared" si="368"/>
        <v>550</v>
      </c>
      <c r="DS663" s="526"/>
      <c r="DT663" s="527">
        <f t="shared" si="359"/>
        <v>550</v>
      </c>
      <c r="DV663" s="739" t="s">
        <v>6368</v>
      </c>
      <c r="DW663" s="166">
        <v>1</v>
      </c>
      <c r="DX663" s="525">
        <f t="shared" si="371"/>
        <v>1</v>
      </c>
      <c r="DY663" s="526"/>
      <c r="DZ663" s="527">
        <f t="shared" si="372"/>
        <v>1</v>
      </c>
      <c r="EH663" s="736" t="s">
        <v>6479</v>
      </c>
      <c r="EI663" s="105">
        <v>0</v>
      </c>
      <c r="EJ663" s="536">
        <f t="shared" si="383"/>
        <v>0</v>
      </c>
      <c r="EK663" s="514"/>
      <c r="EL663" s="511">
        <f t="shared" si="384"/>
        <v>0</v>
      </c>
    </row>
    <row r="664" spans="51:142">
      <c r="AY664" s="750" t="s">
        <v>3027</v>
      </c>
      <c r="AZ664" s="56" t="s">
        <v>1726</v>
      </c>
      <c r="BA664" s="70" t="str">
        <f t="shared" si="382"/>
        <v>ДП Добір-ЛАДА.Л5/1.фальц..</v>
      </c>
      <c r="BW664" s="108" t="s">
        <v>599</v>
      </c>
      <c r="BX664" s="248" t="s">
        <v>460</v>
      </c>
      <c r="BY664" s="139" t="str">
        <f t="shared" si="378"/>
        <v>ДП ЛАЙН.3.Трипл. чер</v>
      </c>
      <c r="CA664" s="146" t="s">
        <v>3304</v>
      </c>
      <c r="CB664" s="137" t="s">
        <v>684</v>
      </c>
      <c r="CC664" s="138" t="str">
        <f>CONCATENATE(CA664,".",CB664)</f>
        <v>ДП Лінда.купе..робоча..Ручка-Замок</v>
      </c>
      <c r="DD664" s="250" t="s">
        <v>1100</v>
      </c>
      <c r="DE664" s="166">
        <v>6950</v>
      </c>
      <c r="DF664" s="528">
        <f t="shared" si="355"/>
        <v>6950</v>
      </c>
      <c r="DG664" s="529" t="s">
        <v>6466</v>
      </c>
      <c r="DH664" s="530">
        <f t="shared" ca="1" si="385"/>
        <v>6950</v>
      </c>
      <c r="DP664" s="538"/>
      <c r="DQ664" s="539"/>
      <c r="DR664" s="650"/>
      <c r="DS664" s="651"/>
      <c r="DT664" s="652"/>
      <c r="DV664" s="165" t="s">
        <v>1139</v>
      </c>
      <c r="DW664" s="166">
        <v>0</v>
      </c>
      <c r="DX664" s="522">
        <f t="shared" si="371"/>
        <v>0</v>
      </c>
      <c r="DY664" s="523"/>
      <c r="DZ664" s="524">
        <f t="shared" si="372"/>
        <v>0</v>
      </c>
      <c r="EH664" s="736" t="s">
        <v>6480</v>
      </c>
      <c r="EI664" s="105">
        <v>0</v>
      </c>
      <c r="EJ664" s="536">
        <f>ROUND(((EI664-(EI664/6))/$DD$3)*$DE$3,2)</f>
        <v>0</v>
      </c>
      <c r="EK664" s="514"/>
      <c r="EL664" s="511">
        <f>IF(EK664="",EJ664,
IF(AND($EI$10&gt;=VLOOKUP(EK664,$EH$5:$EL$9,2,0),$EI$10&lt;=VLOOKUP(EK664,$EH$5:$EL$9,3,0)),
(EJ664*(1-VLOOKUP(EK664,$EH$5:$EL$9,4,0))),
EJ664))</f>
        <v>0</v>
      </c>
    </row>
    <row r="665" spans="51:142">
      <c r="AY665" s="750" t="s">
        <v>3028</v>
      </c>
      <c r="AZ665" s="56" t="s">
        <v>1726</v>
      </c>
      <c r="BA665" s="70" t="str">
        <f t="shared" si="382"/>
        <v>ДП Добір-ЛАДА.Л6/0.фальц..</v>
      </c>
      <c r="BW665" s="162" t="s">
        <v>600</v>
      </c>
      <c r="BX665" s="786" t="s">
        <v>4220</v>
      </c>
      <c r="BY665" s="135" t="str">
        <f t="shared" si="378"/>
        <v>ДП ЛАЙН.4.Малюнок</v>
      </c>
      <c r="CA665" s="432"/>
      <c r="CB665" s="222"/>
      <c r="CC665" s="223"/>
      <c r="DD665" s="250" t="s">
        <v>1101</v>
      </c>
      <c r="DE665" s="166">
        <v>6640.0000000000009</v>
      </c>
      <c r="DF665" s="528">
        <f t="shared" si="355"/>
        <v>6640</v>
      </c>
      <c r="DG665" s="529" t="s">
        <v>6466</v>
      </c>
      <c r="DH665" s="530">
        <f t="shared" ca="1" si="385"/>
        <v>6640</v>
      </c>
      <c r="DP665" s="736" t="s">
        <v>4186</v>
      </c>
      <c r="DQ665" s="105">
        <v>0</v>
      </c>
      <c r="DR665" s="403">
        <f t="shared" ref="DR665:DR679" si="386">ROUND(((DQ665-(DQ665/6))/$DD$3)*$DE$3,2)</f>
        <v>0</v>
      </c>
      <c r="DS665" s="514"/>
      <c r="DT665" s="511">
        <f t="shared" ref="DT665:DT683" si="387">IF(DS665="",DR665,
IF(AND($DQ$10&gt;=VLOOKUP(DS665,$DP$5:$DT$9,2,0),$DQ$10&lt;=VLOOKUP(DS665,$DP$5:$DT$9,3,0)),
(DR665*(1-VLOOKUP(DS665,$DP$5:$DT$9,4,0))),
DR665))</f>
        <v>0</v>
      </c>
      <c r="DV665" s="108" t="s">
        <v>1143</v>
      </c>
      <c r="DW665" s="164">
        <v>560</v>
      </c>
      <c r="DX665" s="531">
        <f t="shared" si="371"/>
        <v>560</v>
      </c>
      <c r="DY665" s="526"/>
      <c r="DZ665" s="527">
        <f t="shared" si="372"/>
        <v>560</v>
      </c>
      <c r="EH665" s="736" t="s">
        <v>6481</v>
      </c>
      <c r="EI665" s="105">
        <v>0</v>
      </c>
      <c r="EJ665" s="536">
        <f t="shared" si="383"/>
        <v>0</v>
      </c>
      <c r="EK665" s="514"/>
      <c r="EL665" s="511">
        <f t="shared" si="384"/>
        <v>0</v>
      </c>
    </row>
    <row r="666" spans="51:142">
      <c r="AY666" s="750" t="s">
        <v>3029</v>
      </c>
      <c r="AZ666" s="56" t="s">
        <v>1726</v>
      </c>
      <c r="BA666" s="70" t="str">
        <f t="shared" si="382"/>
        <v>ДП Добір-ЛАДА.Л6/1.фальц..</v>
      </c>
      <c r="BW666" s="165" t="s">
        <v>600</v>
      </c>
      <c r="BX666" s="770" t="s">
        <v>3851</v>
      </c>
      <c r="BY666" s="138" t="str">
        <f t="shared" si="378"/>
        <v>ДП ЛАЙН.4.Графіт</v>
      </c>
      <c r="CA666" s="146" t="s">
        <v>3305</v>
      </c>
      <c r="CB666" s="137" t="s">
        <v>4106</v>
      </c>
      <c r="CC666" s="138" t="str">
        <f>CONCATENATE(CA666,".",CB666)</f>
        <v>ДП Тіана.фальц..робоча..(ні)</v>
      </c>
      <c r="DD666" s="250" t="s">
        <v>1102</v>
      </c>
      <c r="DE666" s="166">
        <v>6640.0000000000009</v>
      </c>
      <c r="DF666" s="528">
        <f t="shared" si="355"/>
        <v>6640</v>
      </c>
      <c r="DG666" s="529" t="s">
        <v>6466</v>
      </c>
      <c r="DH666" s="530">
        <f t="shared" ca="1" si="385"/>
        <v>6640</v>
      </c>
      <c r="DP666" s="162" t="s">
        <v>920</v>
      </c>
      <c r="DQ666" s="163">
        <v>0</v>
      </c>
      <c r="DR666" s="528">
        <f t="shared" si="386"/>
        <v>0</v>
      </c>
      <c r="DS666" s="529"/>
      <c r="DT666" s="530">
        <f t="shared" si="387"/>
        <v>0</v>
      </c>
      <c r="DV666" s="647"/>
      <c r="DW666" s="648"/>
      <c r="DX666" s="654"/>
      <c r="DY666" s="655"/>
      <c r="DZ666" s="656"/>
      <c r="EH666" s="256"/>
      <c r="EI666" s="257"/>
      <c r="EJ666" s="517"/>
      <c r="EK666" s="532"/>
      <c r="EL666" s="259"/>
    </row>
    <row r="667" spans="51:142">
      <c r="AY667" s="227"/>
      <c r="AZ667" s="222"/>
      <c r="BA667" s="223"/>
      <c r="BW667" s="165" t="s">
        <v>600</v>
      </c>
      <c r="BX667" s="247" t="s">
        <v>832</v>
      </c>
      <c r="BY667" s="138" t="str">
        <f t="shared" si="378"/>
        <v>ДП ЛАЙН.4.Бронза</v>
      </c>
      <c r="CA667" s="146" t="s">
        <v>3305</v>
      </c>
      <c r="CB667" s="21"/>
      <c r="CC667" s="21"/>
      <c r="DD667" s="250" t="s">
        <v>1103</v>
      </c>
      <c r="DE667" s="166">
        <v>6660</v>
      </c>
      <c r="DF667" s="528">
        <f t="shared" si="355"/>
        <v>6660</v>
      </c>
      <c r="DG667" s="529" t="s">
        <v>6466</v>
      </c>
      <c r="DH667" s="530">
        <f t="shared" ca="1" si="385"/>
        <v>6660</v>
      </c>
      <c r="DP667" s="738" t="s">
        <v>4022</v>
      </c>
      <c r="DQ667" s="166">
        <v>550</v>
      </c>
      <c r="DR667" s="522">
        <f t="shared" si="386"/>
        <v>550</v>
      </c>
      <c r="DS667" s="523"/>
      <c r="DT667" s="524">
        <f t="shared" si="387"/>
        <v>550</v>
      </c>
      <c r="DV667" s="736" t="s">
        <v>4167</v>
      </c>
      <c r="DW667" s="105">
        <v>0</v>
      </c>
      <c r="DX667" s="403">
        <f t="shared" ref="DX667:DX697" si="388">ROUND(((DW667-(DW667/6))/$DD$3)*$DE$3,2)</f>
        <v>0</v>
      </c>
      <c r="DY667" s="514"/>
      <c r="DZ667" s="511">
        <f t="shared" ref="DZ667:DZ697" si="389">IF(DY667="",DX667,
IF(AND($DW$10&gt;=VLOOKUP(DY667,$DV$5:$DZ$9,2,0),$DW$10&lt;=VLOOKUP(DY667,$DV$5:$DZ$9,3,0)),
(DX667*(1-VLOOKUP(DY667,$DV$5:$DZ$9,4,0))),
DX667))</f>
        <v>0</v>
      </c>
      <c r="EH667" s="736" t="s">
        <v>6492</v>
      </c>
      <c r="EI667" s="105">
        <v>0</v>
      </c>
      <c r="EJ667" s="536">
        <f t="shared" ref="EJ667:EJ674" si="390">ROUND(((EI667-(EI667/6))/$DD$3)*$DE$3,2)</f>
        <v>0</v>
      </c>
      <c r="EK667" s="514"/>
      <c r="EL667" s="511">
        <f t="shared" ref="EL667:EL674" si="391">IF(EK667="",EJ667,
IF(AND($EI$10&gt;=VLOOKUP(EK667,$EH$5:$EL$9,2,0),$EI$10&lt;=VLOOKUP(EK667,$EH$5:$EL$9,3,0)),
(EJ667*(1-VLOOKUP(EK667,$EH$5:$EL$9,4,0))),
EJ667))</f>
        <v>0</v>
      </c>
    </row>
    <row r="668" spans="51:142">
      <c r="AY668" s="234"/>
      <c r="AZ668" s="137"/>
      <c r="BA668" s="138"/>
      <c r="BW668" s="165" t="s">
        <v>600</v>
      </c>
      <c r="BX668" s="247" t="s">
        <v>461</v>
      </c>
      <c r="BY668" s="138" t="str">
        <f t="shared" si="378"/>
        <v>ДП ЛАЙН.4.Трипл. мат</v>
      </c>
      <c r="CA668" s="146" t="s">
        <v>3305</v>
      </c>
      <c r="CB668" s="783" t="s">
        <v>5754</v>
      </c>
      <c r="CC668" s="138" t="str">
        <f t="shared" ref="CC668:CC673" si="392">CONCATENATE(CA668,".",CB668)</f>
        <v>ДП Тіана.фальц..робоча..Stand цл Лів +3завіс</v>
      </c>
      <c r="DD668" s="250" t="s">
        <v>1104</v>
      </c>
      <c r="DE668" s="166">
        <v>6660</v>
      </c>
      <c r="DF668" s="528">
        <f t="shared" si="355"/>
        <v>6660</v>
      </c>
      <c r="DG668" s="529" t="s">
        <v>6466</v>
      </c>
      <c r="DH668" s="530">
        <f t="shared" ca="1" si="385"/>
        <v>6660</v>
      </c>
      <c r="DP668" s="108" t="s">
        <v>43</v>
      </c>
      <c r="DQ668" s="164">
        <v>550</v>
      </c>
      <c r="DR668" s="531">
        <f t="shared" si="386"/>
        <v>550</v>
      </c>
      <c r="DS668" s="526"/>
      <c r="DT668" s="527">
        <f t="shared" si="387"/>
        <v>550</v>
      </c>
      <c r="DV668" s="737" t="s">
        <v>5881</v>
      </c>
      <c r="DW668" s="163">
        <v>0</v>
      </c>
      <c r="DX668" s="528">
        <f t="shared" si="388"/>
        <v>0</v>
      </c>
      <c r="DY668" s="529"/>
      <c r="DZ668" s="530">
        <f t="shared" si="389"/>
        <v>0</v>
      </c>
      <c r="EH668" s="736" t="s">
        <v>6493</v>
      </c>
      <c r="EI668" s="105">
        <v>0</v>
      </c>
      <c r="EJ668" s="536">
        <f t="shared" si="390"/>
        <v>0</v>
      </c>
      <c r="EK668" s="514"/>
      <c r="EL668" s="511">
        <f t="shared" si="391"/>
        <v>0</v>
      </c>
    </row>
    <row r="669" spans="51:142">
      <c r="AY669" s="557"/>
      <c r="AZ669" s="558"/>
      <c r="BA669" s="559"/>
      <c r="BW669" s="108" t="s">
        <v>600</v>
      </c>
      <c r="BX669" s="248" t="s">
        <v>460</v>
      </c>
      <c r="BY669" s="139" t="str">
        <f t="shared" si="378"/>
        <v>ДП ЛАЙН.4.Трипл. чер</v>
      </c>
      <c r="CA669" s="146" t="s">
        <v>3305</v>
      </c>
      <c r="CB669" s="783" t="s">
        <v>5755</v>
      </c>
      <c r="CC669" s="138" t="str">
        <f t="shared" si="392"/>
        <v>ДП Тіана.фальц..робоча..Stand цл Пр +3завіс</v>
      </c>
      <c r="DD669" s="250" t="s">
        <v>1105</v>
      </c>
      <c r="DE669" s="166">
        <v>6780</v>
      </c>
      <c r="DF669" s="528">
        <f t="shared" si="355"/>
        <v>6780</v>
      </c>
      <c r="DG669" s="529" t="s">
        <v>6466</v>
      </c>
      <c r="DH669" s="530">
        <f t="shared" ca="1" si="385"/>
        <v>6780</v>
      </c>
      <c r="DP669" s="165" t="s">
        <v>50</v>
      </c>
      <c r="DQ669" s="166">
        <v>0</v>
      </c>
      <c r="DR669" s="522">
        <f t="shared" si="386"/>
        <v>0</v>
      </c>
      <c r="DS669" s="523"/>
      <c r="DT669" s="524">
        <f t="shared" si="387"/>
        <v>0</v>
      </c>
      <c r="DV669" s="737" t="s">
        <v>5880</v>
      </c>
      <c r="DW669" s="166">
        <v>0</v>
      </c>
      <c r="DX669" s="522">
        <f>ROUND(((DW669-(DW669/6))/$DD$3)*$DE$3,2)</f>
        <v>0</v>
      </c>
      <c r="DY669" s="523"/>
      <c r="DZ669" s="524">
        <f>IF(DY669="",DX669,
IF(AND($DW$10&gt;=VLOOKUP(DY669,$DV$5:$DZ$9,2,0),$DW$10&lt;=VLOOKUP(DY669,$DV$5:$DZ$9,3,0)),
(DX669*(1-VLOOKUP(DY669,$DV$5:$DZ$9,4,0))),
DX669))</f>
        <v>0</v>
      </c>
      <c r="EH669" s="736" t="s">
        <v>6494</v>
      </c>
      <c r="EI669" s="105">
        <v>0</v>
      </c>
      <c r="EJ669" s="536">
        <f>ROUND(((EI669-(EI669/6))/$DD$3)*$DE$3,2)</f>
        <v>0</v>
      </c>
      <c r="EK669" s="514"/>
      <c r="EL669" s="511">
        <f>IF(EK669="",EJ669,
IF(AND($EI$10&gt;=VLOOKUP(EK669,$EH$5:$EL$9,2,0),$EI$10&lt;=VLOOKUP(EK669,$EH$5:$EL$9,3,0)),
(EJ669*(1-VLOOKUP(EK669,$EH$5:$EL$9,4,0))),
EJ669))</f>
        <v>0</v>
      </c>
    </row>
    <row r="670" spans="51:142">
      <c r="AY670" s="55"/>
      <c r="AZ670" s="56"/>
      <c r="BA670" s="70"/>
      <c r="BW670" s="162" t="s">
        <v>601</v>
      </c>
      <c r="BX670" s="786" t="s">
        <v>4220</v>
      </c>
      <c r="BY670" s="135" t="str">
        <f t="shared" si="378"/>
        <v>ДП ЛАЙН.5.Малюнок</v>
      </c>
      <c r="CA670" s="146" t="s">
        <v>3305</v>
      </c>
      <c r="CB670" s="783" t="s">
        <v>5756</v>
      </c>
      <c r="CC670" s="138" t="str">
        <f t="shared" si="392"/>
        <v>ДП Тіана.фальц..робоча..Stand кл Лів +3завіс</v>
      </c>
      <c r="DD670" s="249" t="s">
        <v>1106</v>
      </c>
      <c r="DE670" s="164">
        <v>6780</v>
      </c>
      <c r="DF670" s="528">
        <f t="shared" si="355"/>
        <v>6780</v>
      </c>
      <c r="DG670" s="529" t="s">
        <v>6466</v>
      </c>
      <c r="DH670" s="530">
        <f t="shared" ca="1" si="385"/>
        <v>6780</v>
      </c>
      <c r="DP670" s="738" t="s">
        <v>4023</v>
      </c>
      <c r="DQ670" s="166">
        <v>550</v>
      </c>
      <c r="DR670" s="522">
        <f t="shared" si="386"/>
        <v>550</v>
      </c>
      <c r="DS670" s="523"/>
      <c r="DT670" s="524">
        <f t="shared" si="387"/>
        <v>550</v>
      </c>
      <c r="DV670" s="738" t="s">
        <v>5882</v>
      </c>
      <c r="DW670" s="166">
        <v>0</v>
      </c>
      <c r="DX670" s="522">
        <f t="shared" si="388"/>
        <v>0</v>
      </c>
      <c r="DY670" s="523"/>
      <c r="DZ670" s="524">
        <f t="shared" si="389"/>
        <v>0</v>
      </c>
      <c r="EH670" s="736" t="s">
        <v>6495</v>
      </c>
      <c r="EI670" s="105">
        <v>0</v>
      </c>
      <c r="EJ670" s="536">
        <f>ROUND(((EI670-(EI670/6))/$DD$3)*$DE$3,2)</f>
        <v>0</v>
      </c>
      <c r="EK670" s="514"/>
      <c r="EL670" s="511">
        <f>IF(EK670="",EJ670,
IF(AND($EI$10&gt;=VLOOKUP(EK670,$EH$5:$EL$9,2,0),$EI$10&lt;=VLOOKUP(EK670,$EH$5:$EL$9,3,0)),
(EJ670*(1-VLOOKUP(EK670,$EH$5:$EL$9,4,0))),
EJ670))</f>
        <v>0</v>
      </c>
    </row>
    <row r="671" spans="51:142">
      <c r="AY671" s="227"/>
      <c r="AZ671" s="222"/>
      <c r="BA671" s="223"/>
      <c r="BW671" s="165" t="s">
        <v>601</v>
      </c>
      <c r="BX671" s="770" t="s">
        <v>3851</v>
      </c>
      <c r="BY671" s="138" t="str">
        <f t="shared" si="378"/>
        <v>ДП ЛАЙН.5.Графіт</v>
      </c>
      <c r="CA671" s="146" t="s">
        <v>3305</v>
      </c>
      <c r="CB671" s="783" t="s">
        <v>5757</v>
      </c>
      <c r="CC671" s="138" t="str">
        <f t="shared" si="392"/>
        <v>ДП Тіана.фальц..робоча..Stand кл Пр +3завіс</v>
      </c>
      <c r="DD671" s="250" t="s">
        <v>1974</v>
      </c>
      <c r="DE671" s="166">
        <v>7570</v>
      </c>
      <c r="DF671" s="528">
        <f t="shared" si="355"/>
        <v>7570</v>
      </c>
      <c r="DG671" s="529" t="s">
        <v>6466</v>
      </c>
      <c r="DH671" s="530">
        <f t="shared" ca="1" si="385"/>
        <v>7570</v>
      </c>
      <c r="DP671" s="108" t="s">
        <v>44</v>
      </c>
      <c r="DQ671" s="164">
        <v>550</v>
      </c>
      <c r="DR671" s="531">
        <f t="shared" si="386"/>
        <v>550</v>
      </c>
      <c r="DS671" s="526"/>
      <c r="DT671" s="527">
        <f t="shared" si="387"/>
        <v>550</v>
      </c>
      <c r="DV671" s="738" t="s">
        <v>5883</v>
      </c>
      <c r="DW671" s="166">
        <v>0</v>
      </c>
      <c r="DX671" s="522">
        <f>ROUND(((DW671-(DW671/6))/$DD$3)*$DE$3,2)</f>
        <v>0</v>
      </c>
      <c r="DY671" s="523"/>
      <c r="DZ671" s="524">
        <f>IF(DY671="",DX671,
IF(AND($DW$10&gt;=VLOOKUP(DY671,$DV$5:$DZ$9,2,0),$DW$10&lt;=VLOOKUP(DY671,$DV$5:$DZ$9,3,0)),
(DX671*(1-VLOOKUP(DY671,$DV$5:$DZ$9,4,0))),
DX671))</f>
        <v>0</v>
      </c>
      <c r="EH671" s="736" t="s">
        <v>6496</v>
      </c>
      <c r="EI671" s="105">
        <v>0</v>
      </c>
      <c r="EJ671" s="536">
        <f t="shared" si="390"/>
        <v>0</v>
      </c>
      <c r="EK671" s="514"/>
      <c r="EL671" s="511">
        <f t="shared" si="391"/>
        <v>0</v>
      </c>
    </row>
    <row r="672" spans="51:142">
      <c r="AY672" s="58" t="s">
        <v>902</v>
      </c>
      <c r="AZ672" s="56" t="s">
        <v>95</v>
      </c>
      <c r="BA672" s="70" t="str">
        <f>CONCATENATE(AY672,".",AZ672)</f>
        <v>КД Standard-MDF.1.стандарт</v>
      </c>
      <c r="BW672" s="165" t="s">
        <v>601</v>
      </c>
      <c r="BX672" s="247" t="s">
        <v>832</v>
      </c>
      <c r="BY672" s="138" t="str">
        <f t="shared" si="378"/>
        <v>ДП ЛАЙН.5.Бронза</v>
      </c>
      <c r="CA672" s="146" t="s">
        <v>3305</v>
      </c>
      <c r="CB672" s="783" t="s">
        <v>5758</v>
      </c>
      <c r="CC672" s="138" t="str">
        <f t="shared" si="392"/>
        <v>ДП Тіана.фальц..робоча..Stand ст Лів +3завіс</v>
      </c>
      <c r="DD672" s="250" t="s">
        <v>1975</v>
      </c>
      <c r="DE672" s="166">
        <v>7570</v>
      </c>
      <c r="DF672" s="528">
        <f t="shared" si="355"/>
        <v>7570</v>
      </c>
      <c r="DG672" s="529" t="s">
        <v>6466</v>
      </c>
      <c r="DH672" s="530">
        <f t="shared" ca="1" si="385"/>
        <v>7570</v>
      </c>
      <c r="DP672" s="165" t="s">
        <v>51</v>
      </c>
      <c r="DQ672" s="166">
        <v>0</v>
      </c>
      <c r="DR672" s="522">
        <f t="shared" si="386"/>
        <v>0</v>
      </c>
      <c r="DS672" s="523"/>
      <c r="DT672" s="524">
        <f t="shared" si="387"/>
        <v>0</v>
      </c>
      <c r="DV672" s="738" t="s">
        <v>5884</v>
      </c>
      <c r="DW672" s="166">
        <v>0</v>
      </c>
      <c r="DX672" s="522">
        <f t="shared" si="388"/>
        <v>0</v>
      </c>
      <c r="DY672" s="523"/>
      <c r="DZ672" s="524">
        <f t="shared" si="389"/>
        <v>0</v>
      </c>
      <c r="EH672" s="736" t="s">
        <v>6497</v>
      </c>
      <c r="EI672" s="105">
        <v>0</v>
      </c>
      <c r="EJ672" s="536">
        <f t="shared" si="390"/>
        <v>0</v>
      </c>
      <c r="EK672" s="514"/>
      <c r="EL672" s="511">
        <f t="shared" si="391"/>
        <v>0</v>
      </c>
    </row>
    <row r="673" spans="51:142">
      <c r="AY673" s="227"/>
      <c r="AZ673" s="222"/>
      <c r="BA673" s="223"/>
      <c r="BW673" s="165" t="s">
        <v>601</v>
      </c>
      <c r="BX673" s="247" t="s">
        <v>461</v>
      </c>
      <c r="BY673" s="138" t="str">
        <f t="shared" si="378"/>
        <v>ДП ЛАЙН.5.Трипл. мат</v>
      </c>
      <c r="CA673" s="146" t="s">
        <v>3305</v>
      </c>
      <c r="CB673" s="783" t="s">
        <v>5759</v>
      </c>
      <c r="CC673" s="138" t="str">
        <f t="shared" si="392"/>
        <v>ДП Тіана.фальц..робоча..Stand ст Пр +3завіс</v>
      </c>
      <c r="DD673" s="250" t="s">
        <v>1976</v>
      </c>
      <c r="DE673" s="166">
        <v>7930</v>
      </c>
      <c r="DF673" s="528">
        <f t="shared" si="355"/>
        <v>7930</v>
      </c>
      <c r="DG673" s="529" t="s">
        <v>6466</v>
      </c>
      <c r="DH673" s="530">
        <f t="shared" ca="1" si="385"/>
        <v>7930</v>
      </c>
      <c r="DP673" s="738" t="s">
        <v>4024</v>
      </c>
      <c r="DQ673" s="166">
        <v>550</v>
      </c>
      <c r="DR673" s="522">
        <f t="shared" si="386"/>
        <v>550</v>
      </c>
      <c r="DS673" s="523"/>
      <c r="DT673" s="524">
        <f t="shared" si="387"/>
        <v>550</v>
      </c>
      <c r="DV673" s="738" t="s">
        <v>5885</v>
      </c>
      <c r="DW673" s="166">
        <v>0</v>
      </c>
      <c r="DX673" s="522">
        <f>ROUND(((DW673-(DW673/6))/$DD$3)*$DE$3,2)</f>
        <v>0</v>
      </c>
      <c r="DY673" s="523"/>
      <c r="DZ673" s="524">
        <f>IF(DY673="",DX673,
IF(AND($DW$10&gt;=VLOOKUP(DY673,$DV$5:$DZ$9,2,0),$DW$10&lt;=VLOOKUP(DY673,$DV$5:$DZ$9,3,0)),
(DX673*(1-VLOOKUP(DY673,$DV$5:$DZ$9,4,0))),
DX673))</f>
        <v>0</v>
      </c>
      <c r="EH673" s="736" t="s">
        <v>6498</v>
      </c>
      <c r="EI673" s="105">
        <v>0</v>
      </c>
      <c r="EJ673" s="536">
        <f>ROUND(((EI673-(EI673/6))/$DD$3)*$DE$3,2)</f>
        <v>0</v>
      </c>
      <c r="EK673" s="514"/>
      <c r="EL673" s="511">
        <f>IF(EK673="",EJ673,
IF(AND($EI$10&gt;=VLOOKUP(EK673,$EH$5:$EL$9,2,0),$EI$10&lt;=VLOOKUP(EK673,$EH$5:$EL$9,3,0)),
(EJ673*(1-VLOOKUP(EK673,$EH$5:$EL$9,4,0))),
EJ673))</f>
        <v>0</v>
      </c>
    </row>
    <row r="674" spans="51:142">
      <c r="AY674" s="58" t="s">
        <v>295</v>
      </c>
      <c r="AZ674" s="56" t="s">
        <v>95</v>
      </c>
      <c r="BA674" s="70" t="str">
        <f>CONCATENATE(AY674,".",AZ674)</f>
        <v>КД Standard.1.стандарт</v>
      </c>
      <c r="BW674" s="108" t="s">
        <v>601</v>
      </c>
      <c r="BX674" s="248" t="s">
        <v>460</v>
      </c>
      <c r="BY674" s="139" t="str">
        <f t="shared" si="378"/>
        <v>ДП ЛАЙН.5.Трипл. чер</v>
      </c>
      <c r="CA674" s="146" t="s">
        <v>3305</v>
      </c>
      <c r="CC674" s="138"/>
      <c r="DD674" s="250" t="s">
        <v>1977</v>
      </c>
      <c r="DE674" s="166">
        <v>7930</v>
      </c>
      <c r="DF674" s="528">
        <f t="shared" si="355"/>
        <v>7930</v>
      </c>
      <c r="DG674" s="529" t="s">
        <v>6466</v>
      </c>
      <c r="DH674" s="530">
        <f t="shared" ca="1" si="385"/>
        <v>7930</v>
      </c>
      <c r="DP674" s="108" t="s">
        <v>45</v>
      </c>
      <c r="DQ674" s="164">
        <v>550</v>
      </c>
      <c r="DR674" s="531">
        <f t="shared" si="386"/>
        <v>550</v>
      </c>
      <c r="DS674" s="526"/>
      <c r="DT674" s="527">
        <f t="shared" si="387"/>
        <v>550</v>
      </c>
      <c r="DV674" s="738" t="s">
        <v>4689</v>
      </c>
      <c r="DW674" s="166">
        <v>550</v>
      </c>
      <c r="DX674" s="522">
        <f t="shared" si="388"/>
        <v>550</v>
      </c>
      <c r="DY674" s="523"/>
      <c r="DZ674" s="524">
        <f t="shared" si="389"/>
        <v>550</v>
      </c>
      <c r="EH674" s="736" t="s">
        <v>6499</v>
      </c>
      <c r="EI674" s="105">
        <v>0</v>
      </c>
      <c r="EJ674" s="536">
        <f t="shared" si="390"/>
        <v>0</v>
      </c>
      <c r="EK674" s="514"/>
      <c r="EL674" s="511">
        <f t="shared" si="391"/>
        <v>0</v>
      </c>
    </row>
    <row r="675" spans="51:142">
      <c r="AY675" s="227"/>
      <c r="AZ675" s="222"/>
      <c r="BA675" s="223"/>
      <c r="BW675" s="162" t="s">
        <v>602</v>
      </c>
      <c r="BX675" s="786" t="s">
        <v>4220</v>
      </c>
      <c r="BY675" s="135" t="str">
        <f t="shared" si="378"/>
        <v>ДП ЛАЙН.6.Малюнок</v>
      </c>
      <c r="CA675" s="146" t="s">
        <v>3305</v>
      </c>
      <c r="CB675" s="137" t="s">
        <v>4304</v>
      </c>
      <c r="CC675" s="138" t="str">
        <f>CONCATENATE(CA675,".",CB675)</f>
        <v>ДП Тіана.фальц..робоча..Soft цл +3завіс</v>
      </c>
      <c r="DD675" s="250" t="s">
        <v>1978</v>
      </c>
      <c r="DE675" s="166">
        <v>7570</v>
      </c>
      <c r="DF675" s="528">
        <f t="shared" ref="DF675:DF710" si="393">ROUND(((DE675-(DE675/6))/$DD$3)*$DE$3,2)</f>
        <v>7570</v>
      </c>
      <c r="DG675" s="529" t="s">
        <v>6466</v>
      </c>
      <c r="DH675" s="530">
        <f t="shared" ca="1" si="385"/>
        <v>7570</v>
      </c>
      <c r="DP675" s="738" t="s">
        <v>4227</v>
      </c>
      <c r="DQ675" s="166">
        <v>0</v>
      </c>
      <c r="DR675" s="522">
        <f t="shared" si="386"/>
        <v>0</v>
      </c>
      <c r="DS675" s="523"/>
      <c r="DT675" s="524">
        <f t="shared" si="387"/>
        <v>0</v>
      </c>
      <c r="DV675" s="738" t="s">
        <v>4690</v>
      </c>
      <c r="DW675" s="166">
        <v>550</v>
      </c>
      <c r="DX675" s="522">
        <f t="shared" si="388"/>
        <v>550</v>
      </c>
      <c r="DY675" s="523"/>
      <c r="DZ675" s="524">
        <f t="shared" si="389"/>
        <v>550</v>
      </c>
      <c r="EH675" s="256"/>
      <c r="EI675" s="257"/>
      <c r="EJ675" s="517"/>
      <c r="EK675" s="532"/>
      <c r="EL675" s="259"/>
    </row>
    <row r="676" spans="51:142">
      <c r="AY676" s="58" t="s">
        <v>296</v>
      </c>
      <c r="AZ676" s="56" t="s">
        <v>95</v>
      </c>
      <c r="BA676" s="70" t="str">
        <f t="shared" ref="BA676:BA732" si="394">CONCATENATE(AY676,".",AZ676)</f>
        <v>КД Verto-FIT.A.стандарт</v>
      </c>
      <c r="BW676" s="165" t="s">
        <v>602</v>
      </c>
      <c r="BX676" s="770" t="s">
        <v>3851</v>
      </c>
      <c r="BY676" s="138" t="str">
        <f t="shared" si="378"/>
        <v>ДП ЛАЙН.6.Графіт</v>
      </c>
      <c r="CA676" s="146" t="s">
        <v>3305</v>
      </c>
      <c r="CB676" s="137" t="s">
        <v>4307</v>
      </c>
      <c r="CC676" s="138" t="str">
        <f>CONCATENATE(CA676,".",CB676)</f>
        <v>ДП Тіана.фальц..робоча..Soft ст +3завіс</v>
      </c>
      <c r="DD676" s="250" t="s">
        <v>1979</v>
      </c>
      <c r="DE676" s="166">
        <v>7570</v>
      </c>
      <c r="DF676" s="528">
        <f t="shared" si="393"/>
        <v>7570</v>
      </c>
      <c r="DG676" s="529" t="s">
        <v>6466</v>
      </c>
      <c r="DH676" s="530">
        <f t="shared" ca="1" si="385"/>
        <v>7570</v>
      </c>
      <c r="DP676" s="738" t="s">
        <v>4025</v>
      </c>
      <c r="DQ676" s="166">
        <v>550</v>
      </c>
      <c r="DR676" s="522">
        <f t="shared" si="386"/>
        <v>550</v>
      </c>
      <c r="DS676" s="523"/>
      <c r="DT676" s="524">
        <f t="shared" si="387"/>
        <v>550</v>
      </c>
      <c r="DV676" s="738" t="s">
        <v>4691</v>
      </c>
      <c r="DW676" s="166">
        <v>800</v>
      </c>
      <c r="DX676" s="522">
        <f>ROUND(((DW676-(DW676/6))/$DD$3)*$DE$3,2)</f>
        <v>800</v>
      </c>
      <c r="DY676" s="523"/>
      <c r="DZ676" s="524">
        <f>IF(DY676="",DX676,
IF(AND($DW$10&gt;=VLOOKUP(DY676,$DV$5:$DZ$9,2,0),$DW$10&lt;=VLOOKUP(DY676,$DV$5:$DZ$9,3,0)),
(DX676*(1-VLOOKUP(DY676,$DV$5:$DZ$9,4,0))),
DX676))</f>
        <v>800</v>
      </c>
      <c r="EH676" s="162" t="s">
        <v>1692</v>
      </c>
      <c r="EI676" s="731">
        <v>680</v>
      </c>
      <c r="EJ676" s="537">
        <f t="shared" ref="EJ676:EJ693" si="395">ROUND(((EI676-(EI676/6))/$DD$3)*$DE$3,2)</f>
        <v>680</v>
      </c>
      <c r="EK676" s="529"/>
      <c r="EL676" s="530">
        <f t="shared" ref="EL676:EL693" si="396">IF(EK676="",EJ676,
IF(AND($EI$10&gt;=VLOOKUP(EK676,$EH$5:$EL$9,2,0),$EI$10&lt;=VLOOKUP(EK676,$EH$5:$EL$9,3,0)),
(EJ676*(1-VLOOKUP(EK676,$EH$5:$EL$9,4,0))),
EJ676))</f>
        <v>680</v>
      </c>
    </row>
    <row r="677" spans="51:142">
      <c r="AY677" s="58" t="s">
        <v>296</v>
      </c>
      <c r="AZ677" s="56" t="s">
        <v>4887</v>
      </c>
      <c r="BA677" s="70" t="str">
        <f t="shared" si="394"/>
        <v>КД Verto-FIT.A.тунель</v>
      </c>
      <c r="BW677" s="165" t="s">
        <v>602</v>
      </c>
      <c r="BX677" s="247" t="s">
        <v>832</v>
      </c>
      <c r="BY677" s="138" t="str">
        <f t="shared" si="378"/>
        <v>ДП ЛАЙН.6.Бронза</v>
      </c>
      <c r="CA677" s="146" t="s">
        <v>3305</v>
      </c>
      <c r="CB677" s="21"/>
      <c r="CC677" s="21"/>
      <c r="DD677" s="250" t="s">
        <v>1980</v>
      </c>
      <c r="DE677" s="166">
        <v>7590</v>
      </c>
      <c r="DF677" s="528">
        <f t="shared" si="393"/>
        <v>7590</v>
      </c>
      <c r="DG677" s="529" t="s">
        <v>6466</v>
      </c>
      <c r="DH677" s="530">
        <f t="shared" ca="1" si="385"/>
        <v>7590</v>
      </c>
      <c r="DP677" s="108" t="s">
        <v>884</v>
      </c>
      <c r="DQ677" s="164">
        <v>550</v>
      </c>
      <c r="DR677" s="531">
        <f t="shared" si="386"/>
        <v>550</v>
      </c>
      <c r="DS677" s="526"/>
      <c r="DT677" s="527">
        <f t="shared" si="387"/>
        <v>550</v>
      </c>
      <c r="DV677" s="739" t="s">
        <v>4692</v>
      </c>
      <c r="DW677" s="164">
        <v>800</v>
      </c>
      <c r="DX677" s="525">
        <f>ROUND(((DW677-(DW677/6))/$DD$3)*$DE$3,2)</f>
        <v>800</v>
      </c>
      <c r="DY677" s="526"/>
      <c r="DZ677" s="527">
        <f>IF(DY677="",DX677,
IF(AND($DW$10&gt;=VLOOKUP(DY677,$DV$5:$DZ$9,2,0),$DW$10&lt;=VLOOKUP(DY677,$DV$5:$DZ$9,3,0)),
(DX677*(1-VLOOKUP(DY677,$DV$5:$DZ$9,4,0))),
DX677))</f>
        <v>800</v>
      </c>
      <c r="EH677" s="165" t="s">
        <v>1693</v>
      </c>
      <c r="EI677" s="731">
        <v>680</v>
      </c>
      <c r="EJ677" s="522">
        <f t="shared" si="395"/>
        <v>680</v>
      </c>
      <c r="EK677" s="523"/>
      <c r="EL677" s="524">
        <f t="shared" si="396"/>
        <v>680</v>
      </c>
    </row>
    <row r="678" spans="51:142">
      <c r="AY678" s="58" t="s">
        <v>297</v>
      </c>
      <c r="AZ678" s="56" t="s">
        <v>95</v>
      </c>
      <c r="BA678" s="70" t="str">
        <f t="shared" si="394"/>
        <v>КД Verto-FIT.B.стандарт</v>
      </c>
      <c r="BW678" s="165" t="s">
        <v>602</v>
      </c>
      <c r="BX678" s="247" t="s">
        <v>461</v>
      </c>
      <c r="BY678" s="138" t="str">
        <f t="shared" si="378"/>
        <v>ДП ЛАЙН.6.Трипл. мат</v>
      </c>
      <c r="CA678" s="146" t="s">
        <v>3305</v>
      </c>
      <c r="CB678" s="137" t="s">
        <v>4316</v>
      </c>
      <c r="CC678" s="138" t="str">
        <f>CONCATENATE(CA678,".",CB678)</f>
        <v>ДП Тіана.фальц..робоча..Magnet цл +3завіс</v>
      </c>
      <c r="DD678" s="250" t="s">
        <v>1981</v>
      </c>
      <c r="DE678" s="166">
        <v>7590</v>
      </c>
      <c r="DF678" s="528">
        <f t="shared" si="393"/>
        <v>7590</v>
      </c>
      <c r="DG678" s="529" t="s">
        <v>6466</v>
      </c>
      <c r="DH678" s="530">
        <f t="shared" ca="1" si="385"/>
        <v>7590</v>
      </c>
      <c r="DP678" s="738" t="s">
        <v>4228</v>
      </c>
      <c r="DQ678" s="166">
        <v>0</v>
      </c>
      <c r="DR678" s="522">
        <f t="shared" si="386"/>
        <v>0</v>
      </c>
      <c r="DS678" s="523"/>
      <c r="DT678" s="524">
        <f t="shared" si="387"/>
        <v>0</v>
      </c>
      <c r="DV678" s="738" t="s">
        <v>6369</v>
      </c>
      <c r="DW678" s="166">
        <v>1</v>
      </c>
      <c r="DX678" s="522">
        <f t="shared" si="388"/>
        <v>1</v>
      </c>
      <c r="DY678" s="523"/>
      <c r="DZ678" s="524">
        <f t="shared" si="389"/>
        <v>1</v>
      </c>
      <c r="EH678" s="165" t="s">
        <v>1694</v>
      </c>
      <c r="EI678" s="731">
        <v>680</v>
      </c>
      <c r="EJ678" s="522">
        <f t="shared" si="395"/>
        <v>680</v>
      </c>
      <c r="EK678" s="523"/>
      <c r="EL678" s="524">
        <f t="shared" si="396"/>
        <v>680</v>
      </c>
    </row>
    <row r="679" spans="51:142">
      <c r="AY679" s="58" t="s">
        <v>297</v>
      </c>
      <c r="AZ679" s="56" t="s">
        <v>4887</v>
      </c>
      <c r="BA679" s="70" t="str">
        <f t="shared" si="394"/>
        <v>КД Verto-FIT.B.тунель</v>
      </c>
      <c r="BW679" s="108" t="s">
        <v>602</v>
      </c>
      <c r="BX679" s="248" t="s">
        <v>460</v>
      </c>
      <c r="BY679" s="139" t="str">
        <f t="shared" si="378"/>
        <v>ДП ЛАЙН.6.Трипл. чер</v>
      </c>
      <c r="CA679" s="147" t="s">
        <v>3305</v>
      </c>
      <c r="CB679" s="62" t="s">
        <v>4319</v>
      </c>
      <c r="CC679" s="139" t="str">
        <f>CONCATENATE(CA679,".",CB679)</f>
        <v>ДП Тіана.фальц..робоча..Magnet ст +3завіс</v>
      </c>
      <c r="DD679" s="250" t="s">
        <v>1982</v>
      </c>
      <c r="DE679" s="166">
        <v>7720</v>
      </c>
      <c r="DF679" s="528">
        <f t="shared" si="393"/>
        <v>7720</v>
      </c>
      <c r="DG679" s="529" t="s">
        <v>6466</v>
      </c>
      <c r="DH679" s="530">
        <f t="shared" ca="1" si="385"/>
        <v>7720</v>
      </c>
      <c r="DP679" s="738" t="s">
        <v>4026</v>
      </c>
      <c r="DQ679" s="166">
        <v>550</v>
      </c>
      <c r="DR679" s="522">
        <f t="shared" si="386"/>
        <v>550</v>
      </c>
      <c r="DS679" s="523"/>
      <c r="DT679" s="524">
        <f t="shared" si="387"/>
        <v>550</v>
      </c>
      <c r="DV679" s="739" t="s">
        <v>6370</v>
      </c>
      <c r="DW679" s="164">
        <v>1</v>
      </c>
      <c r="DX679" s="525">
        <f t="shared" si="388"/>
        <v>1</v>
      </c>
      <c r="DY679" s="526"/>
      <c r="DZ679" s="527">
        <f t="shared" si="389"/>
        <v>1</v>
      </c>
      <c r="EH679" s="165" t="s">
        <v>1695</v>
      </c>
      <c r="EI679" s="731">
        <v>680</v>
      </c>
      <c r="EJ679" s="522">
        <f t="shared" si="395"/>
        <v>680</v>
      </c>
      <c r="EK679" s="523"/>
      <c r="EL679" s="524">
        <f t="shared" si="396"/>
        <v>680</v>
      </c>
    </row>
    <row r="680" spans="51:142">
      <c r="AY680" s="58" t="s">
        <v>1180</v>
      </c>
      <c r="AZ680" s="56" t="s">
        <v>95</v>
      </c>
      <c r="BA680" s="70" t="str">
        <f>CONCATENATE(AY680,".",AZ680)</f>
        <v>КД Verto-FIT.B+.стандарт</v>
      </c>
      <c r="BW680" s="162" t="s">
        <v>660</v>
      </c>
      <c r="BX680" s="786" t="s">
        <v>4220</v>
      </c>
      <c r="BY680" s="135" t="str">
        <f t="shared" si="378"/>
        <v>ДП ЛАЙН.7.Малюнок</v>
      </c>
      <c r="CA680" s="145" t="s">
        <v>3306</v>
      </c>
      <c r="CB680" s="134" t="s">
        <v>4106</v>
      </c>
      <c r="CC680" s="135" t="str">
        <f>CONCATENATE(CA680,".",CB680)</f>
        <v>ДП Тіана.фальц..неробоча..(ні)</v>
      </c>
      <c r="DD680" s="249" t="s">
        <v>1983</v>
      </c>
      <c r="DE680" s="164">
        <v>7720</v>
      </c>
      <c r="DF680" s="528">
        <f t="shared" si="393"/>
        <v>7720</v>
      </c>
      <c r="DG680" s="529" t="s">
        <v>6466</v>
      </c>
      <c r="DH680" s="530">
        <f t="shared" ca="1" si="385"/>
        <v>7720</v>
      </c>
      <c r="DP680" s="108" t="s">
        <v>815</v>
      </c>
      <c r="DQ680" s="164">
        <v>550</v>
      </c>
      <c r="DR680" s="531">
        <f>ROUND(((DQ680-(DQ680/6))/$DD$3)*$DE$3,2)</f>
        <v>550</v>
      </c>
      <c r="DS680" s="526"/>
      <c r="DT680" s="527">
        <f t="shared" si="387"/>
        <v>550</v>
      </c>
      <c r="DV680" s="737" t="s">
        <v>4693</v>
      </c>
      <c r="DW680" s="163">
        <v>0</v>
      </c>
      <c r="DX680" s="528">
        <f t="shared" si="388"/>
        <v>0</v>
      </c>
      <c r="DY680" s="529"/>
      <c r="DZ680" s="530">
        <f t="shared" si="389"/>
        <v>0</v>
      </c>
      <c r="EH680" s="165" t="s">
        <v>2590</v>
      </c>
      <c r="EI680" s="731">
        <v>720</v>
      </c>
      <c r="EJ680" s="522">
        <f t="shared" si="395"/>
        <v>720</v>
      </c>
      <c r="EK680" s="523"/>
      <c r="EL680" s="524">
        <f t="shared" si="396"/>
        <v>720</v>
      </c>
    </row>
    <row r="681" spans="51:142">
      <c r="AY681" s="58" t="s">
        <v>1180</v>
      </c>
      <c r="AZ681" s="56" t="s">
        <v>4887</v>
      </c>
      <c r="BA681" s="70" t="str">
        <f>CONCATENATE(AY681,".",AZ681)</f>
        <v>КД Verto-FIT.B+.тунель</v>
      </c>
      <c r="BW681" s="165" t="s">
        <v>660</v>
      </c>
      <c r="BX681" s="770" t="s">
        <v>3851</v>
      </c>
      <c r="BY681" s="138" t="str">
        <f t="shared" si="378"/>
        <v>ДП ЛАЙН.7.Графіт</v>
      </c>
      <c r="CA681" s="146" t="s">
        <v>3306</v>
      </c>
      <c r="CB681" s="21"/>
      <c r="CC681" s="21"/>
      <c r="DD681" s="250" t="s">
        <v>1096</v>
      </c>
      <c r="DE681" s="166">
        <v>7790</v>
      </c>
      <c r="DF681" s="528">
        <f t="shared" si="393"/>
        <v>7790</v>
      </c>
      <c r="DG681" s="529" t="s">
        <v>6466</v>
      </c>
      <c r="DH681" s="530">
        <f t="shared" ca="1" si="385"/>
        <v>7790</v>
      </c>
      <c r="DP681" s="738" t="s">
        <v>4229</v>
      </c>
      <c r="DQ681" s="166">
        <v>0</v>
      </c>
      <c r="DR681" s="522">
        <f>ROUND(((DQ681-(DQ681/6))/$DD$3)*$DE$3,2)</f>
        <v>0</v>
      </c>
      <c r="DS681" s="523"/>
      <c r="DT681" s="524">
        <f t="shared" si="387"/>
        <v>0</v>
      </c>
      <c r="DV681" s="738" t="s">
        <v>4694</v>
      </c>
      <c r="DW681" s="166">
        <v>0</v>
      </c>
      <c r="DX681" s="522">
        <f t="shared" si="388"/>
        <v>0</v>
      </c>
      <c r="DY681" s="523"/>
      <c r="DZ681" s="524">
        <f t="shared" si="389"/>
        <v>0</v>
      </c>
      <c r="EH681" s="165" t="s">
        <v>2650</v>
      </c>
      <c r="EI681" s="731">
        <v>720</v>
      </c>
      <c r="EJ681" s="522">
        <f t="shared" si="395"/>
        <v>720</v>
      </c>
      <c r="EK681" s="523"/>
      <c r="EL681" s="524">
        <f t="shared" si="396"/>
        <v>720</v>
      </c>
    </row>
    <row r="682" spans="51:142">
      <c r="AY682" s="58" t="s">
        <v>298</v>
      </c>
      <c r="AZ682" s="56" t="s">
        <v>95</v>
      </c>
      <c r="BA682" s="70" t="str">
        <f t="shared" si="394"/>
        <v>КД Verto-FIT.C.стандарт</v>
      </c>
      <c r="BW682" s="165" t="s">
        <v>660</v>
      </c>
      <c r="BX682" s="247" t="s">
        <v>832</v>
      </c>
      <c r="BY682" s="138" t="str">
        <f t="shared" si="378"/>
        <v>ДП ЛАЙН.7.Бронза</v>
      </c>
      <c r="CA682" s="146" t="s">
        <v>3306</v>
      </c>
      <c r="CB682" s="783" t="s">
        <v>4325</v>
      </c>
      <c r="CC682" s="138" t="str">
        <f>CONCATENATE(CA682,".",CB682)</f>
        <v>ДП Тіана.фальц..неробоча..Пл Stand +3завіс</v>
      </c>
      <c r="DD682" s="250" t="s">
        <v>1095</v>
      </c>
      <c r="DE682" s="166">
        <v>7790</v>
      </c>
      <c r="DF682" s="528">
        <f t="shared" si="393"/>
        <v>7790</v>
      </c>
      <c r="DG682" s="529" t="s">
        <v>6466</v>
      </c>
      <c r="DH682" s="530">
        <f t="shared" ca="1" si="385"/>
        <v>7790</v>
      </c>
      <c r="DP682" s="738" t="s">
        <v>4027</v>
      </c>
      <c r="DQ682" s="166">
        <v>550</v>
      </c>
      <c r="DR682" s="522">
        <f>ROUND(((DQ682-(DQ682/6))/$DD$3)*$DE$3,2)</f>
        <v>550</v>
      </c>
      <c r="DS682" s="523"/>
      <c r="DT682" s="524">
        <f t="shared" si="387"/>
        <v>550</v>
      </c>
      <c r="DV682" s="739" t="s">
        <v>4695</v>
      </c>
      <c r="DW682" s="164">
        <v>0</v>
      </c>
      <c r="DX682" s="531">
        <f t="shared" ref="DX682:DX688" si="397">ROUND(((DW682-(DW682/6))/$DD$3)*$DE$3,2)</f>
        <v>0</v>
      </c>
      <c r="DY682" s="526"/>
      <c r="DZ682" s="527">
        <f t="shared" ref="DZ682:DZ688" si="398">IF(DY682="",DX682,
IF(AND($DW$10&gt;=VLOOKUP(DY682,$DV$5:$DZ$9,2,0),$DW$10&lt;=VLOOKUP(DY682,$DV$5:$DZ$9,3,0)),
(DX682*(1-VLOOKUP(DY682,$DV$5:$DZ$9,4,0))),
DX682))</f>
        <v>0</v>
      </c>
      <c r="EH682" s="165" t="s">
        <v>116</v>
      </c>
      <c r="EI682" s="731">
        <v>720</v>
      </c>
      <c r="EJ682" s="522">
        <f t="shared" si="395"/>
        <v>720</v>
      </c>
      <c r="EK682" s="523"/>
      <c r="EL682" s="524">
        <f t="shared" si="396"/>
        <v>720</v>
      </c>
    </row>
    <row r="683" spans="51:142">
      <c r="AY683" s="58" t="s">
        <v>298</v>
      </c>
      <c r="AZ683" s="56" t="s">
        <v>4887</v>
      </c>
      <c r="BA683" s="70" t="str">
        <f t="shared" si="394"/>
        <v>КД Verto-FIT.C.тунель</v>
      </c>
      <c r="BW683" s="165" t="s">
        <v>660</v>
      </c>
      <c r="BX683" s="247" t="s">
        <v>461</v>
      </c>
      <c r="BY683" s="138" t="str">
        <f t="shared" si="378"/>
        <v>ДП ЛАЙН.7.Трипл. мат</v>
      </c>
      <c r="CA683" s="146" t="s">
        <v>3306</v>
      </c>
      <c r="CB683" s="783" t="s">
        <v>4333</v>
      </c>
      <c r="CC683" s="138" t="str">
        <f>CONCATENATE(CA683,".",CB683)</f>
        <v>ДП Тіана.фальц..неробоча..Пл Soft +3завіс</v>
      </c>
      <c r="DD683" s="250" t="s">
        <v>1094</v>
      </c>
      <c r="DE683" s="166">
        <v>8150</v>
      </c>
      <c r="DF683" s="528">
        <f t="shared" si="393"/>
        <v>8150</v>
      </c>
      <c r="DG683" s="529" t="s">
        <v>6466</v>
      </c>
      <c r="DH683" s="530">
        <f t="shared" ca="1" si="385"/>
        <v>8150</v>
      </c>
      <c r="DP683" s="108" t="s">
        <v>816</v>
      </c>
      <c r="DQ683" s="164">
        <v>550</v>
      </c>
      <c r="DR683" s="531">
        <f>ROUND(((DQ683-(DQ683/6))/$DD$3)*$DE$3,2)</f>
        <v>550</v>
      </c>
      <c r="DS683" s="526"/>
      <c r="DT683" s="527">
        <f t="shared" si="387"/>
        <v>550</v>
      </c>
      <c r="DV683" s="738" t="s">
        <v>4696</v>
      </c>
      <c r="DW683" s="166">
        <v>800</v>
      </c>
      <c r="DX683" s="522">
        <f t="shared" si="397"/>
        <v>800</v>
      </c>
      <c r="DY683" s="523"/>
      <c r="DZ683" s="524">
        <f t="shared" si="398"/>
        <v>800</v>
      </c>
      <c r="EH683" s="165" t="s">
        <v>117</v>
      </c>
      <c r="EI683" s="731">
        <v>720</v>
      </c>
      <c r="EJ683" s="522">
        <f t="shared" si="395"/>
        <v>720</v>
      </c>
      <c r="EK683" s="523"/>
      <c r="EL683" s="524">
        <f t="shared" si="396"/>
        <v>720</v>
      </c>
    </row>
    <row r="684" spans="51:142">
      <c r="AY684" s="58" t="s">
        <v>299</v>
      </c>
      <c r="AZ684" s="56" t="s">
        <v>95</v>
      </c>
      <c r="BA684" s="70" t="str">
        <f t="shared" si="394"/>
        <v>КД Verto-FIT.D.стандарт</v>
      </c>
      <c r="BW684" s="108" t="s">
        <v>660</v>
      </c>
      <c r="BX684" s="248" t="s">
        <v>460</v>
      </c>
      <c r="BY684" s="139" t="str">
        <f t="shared" si="378"/>
        <v>ДП ЛАЙН.7.Трипл. чер</v>
      </c>
      <c r="CA684" s="147" t="s">
        <v>3306</v>
      </c>
      <c r="CB684" s="152" t="s">
        <v>4336</v>
      </c>
      <c r="CC684" s="139" t="str">
        <f>CONCATENATE(CA684,".",CB684)</f>
        <v>ДП Тіана.фальц..неробоча..Пл Magnet +3завіс</v>
      </c>
      <c r="DD684" s="250" t="s">
        <v>1093</v>
      </c>
      <c r="DE684" s="166">
        <v>8150</v>
      </c>
      <c r="DF684" s="528">
        <f t="shared" si="393"/>
        <v>8150</v>
      </c>
      <c r="DG684" s="529" t="s">
        <v>6466</v>
      </c>
      <c r="DH684" s="530">
        <f t="shared" ca="1" si="385"/>
        <v>8150</v>
      </c>
      <c r="DP684" s="538"/>
      <c r="DQ684" s="539"/>
      <c r="DR684" s="650"/>
      <c r="DS684" s="651"/>
      <c r="DT684" s="652"/>
      <c r="DV684" s="738" t="s">
        <v>4697</v>
      </c>
      <c r="DW684" s="166">
        <v>800</v>
      </c>
      <c r="DX684" s="522">
        <f t="shared" si="397"/>
        <v>800</v>
      </c>
      <c r="DY684" s="523"/>
      <c r="DZ684" s="524">
        <f t="shared" si="398"/>
        <v>800</v>
      </c>
      <c r="EH684" s="165" t="s">
        <v>2724</v>
      </c>
      <c r="EI684" s="731">
        <v>720</v>
      </c>
      <c r="EJ684" s="522">
        <f t="shared" si="395"/>
        <v>720</v>
      </c>
      <c r="EK684" s="523"/>
      <c r="EL684" s="524">
        <f t="shared" si="396"/>
        <v>720</v>
      </c>
    </row>
    <row r="685" spans="51:142">
      <c r="AY685" s="58" t="s">
        <v>299</v>
      </c>
      <c r="AZ685" s="56" t="s">
        <v>4887</v>
      </c>
      <c r="BA685" s="70" t="str">
        <f t="shared" si="394"/>
        <v>КД Verto-FIT.D.тунель</v>
      </c>
      <c r="BW685" s="432"/>
      <c r="BX685" s="432"/>
      <c r="BY685" s="432"/>
      <c r="CA685" s="146" t="s">
        <v>3307</v>
      </c>
      <c r="CB685" s="137" t="s">
        <v>4106</v>
      </c>
      <c r="CC685" s="239" t="str">
        <f>CONCATENATE(CA685,".",CB685)</f>
        <v>ДП Тіана.б/з фальц..робоча..(ні)</v>
      </c>
      <c r="DD685" s="250" t="s">
        <v>1092</v>
      </c>
      <c r="DE685" s="166">
        <v>7790</v>
      </c>
      <c r="DF685" s="528">
        <f t="shared" si="393"/>
        <v>7790</v>
      </c>
      <c r="DG685" s="529" t="s">
        <v>6466</v>
      </c>
      <c r="DH685" s="530">
        <f t="shared" ca="1" si="385"/>
        <v>7790</v>
      </c>
      <c r="DP685" s="737" t="s">
        <v>2941</v>
      </c>
      <c r="DQ685" s="163">
        <v>0</v>
      </c>
      <c r="DR685" s="528">
        <f>ROUND(((DQ685-(DQ685/6))/$DD$3)*$DE$3,2)</f>
        <v>0</v>
      </c>
      <c r="DS685" s="529"/>
      <c r="DT685" s="530">
        <f t="shared" ref="DT685:DT699" si="399">IF(DS685="",DR685,
IF(AND($DQ$10&gt;=VLOOKUP(DS685,$DP$5:$DT$9,2,0),$DQ$10&lt;=VLOOKUP(DS685,$DP$5:$DT$9,3,0)),
(DR685*(1-VLOOKUP(DS685,$DP$5:$DT$9,4,0))),
DR685))</f>
        <v>0</v>
      </c>
      <c r="DV685" s="738" t="s">
        <v>4698</v>
      </c>
      <c r="DW685" s="166">
        <v>800</v>
      </c>
      <c r="DX685" s="522">
        <f t="shared" si="397"/>
        <v>800</v>
      </c>
      <c r="DY685" s="523"/>
      <c r="DZ685" s="524">
        <f t="shared" si="398"/>
        <v>800</v>
      </c>
      <c r="EH685" s="165" t="s">
        <v>1142</v>
      </c>
      <c r="EI685" s="731">
        <v>720</v>
      </c>
      <c r="EJ685" s="522">
        <f t="shared" si="395"/>
        <v>720</v>
      </c>
      <c r="EK685" s="523"/>
      <c r="EL685" s="524">
        <f t="shared" si="396"/>
        <v>720</v>
      </c>
    </row>
    <row r="686" spans="51:142">
      <c r="AY686" s="58" t="s">
        <v>300</v>
      </c>
      <c r="AZ686" s="56" t="s">
        <v>95</v>
      </c>
      <c r="BA686" s="70" t="str">
        <f t="shared" si="394"/>
        <v>КД Verto-FIT.E.стандарт</v>
      </c>
      <c r="BW686" s="738" t="s">
        <v>2959</v>
      </c>
      <c r="BX686" s="247" t="s">
        <v>458</v>
      </c>
      <c r="BY686" s="138" t="str">
        <f t="shared" ref="BY686:BY720" si="400">CONCATENATE(BW686,".",BX686)</f>
        <v>ДП Елегант.1.Сатин</v>
      </c>
      <c r="CA686" s="146" t="s">
        <v>3307</v>
      </c>
      <c r="CB686" s="97"/>
      <c r="CC686" s="97"/>
      <c r="DD686" s="250" t="s">
        <v>1091</v>
      </c>
      <c r="DE686" s="166">
        <v>7790</v>
      </c>
      <c r="DF686" s="528">
        <f t="shared" si="393"/>
        <v>7790</v>
      </c>
      <c r="DG686" s="529" t="s">
        <v>6466</v>
      </c>
      <c r="DH686" s="530">
        <f t="shared" ca="1" si="385"/>
        <v>7790</v>
      </c>
      <c r="DP686" s="738" t="s">
        <v>4028</v>
      </c>
      <c r="DQ686" s="166">
        <v>730</v>
      </c>
      <c r="DR686" s="522">
        <f>ROUND(((DQ686-(DQ686/6))/$DD$3)*$DE$3,2)</f>
        <v>730</v>
      </c>
      <c r="DS686" s="523"/>
      <c r="DT686" s="524">
        <f t="shared" si="399"/>
        <v>730</v>
      </c>
      <c r="DV686" s="738" t="s">
        <v>4699</v>
      </c>
      <c r="DW686" s="166">
        <v>800</v>
      </c>
      <c r="DX686" s="522">
        <f t="shared" si="397"/>
        <v>800</v>
      </c>
      <c r="DY686" s="523"/>
      <c r="DZ686" s="524">
        <f t="shared" si="398"/>
        <v>800</v>
      </c>
      <c r="EH686" s="165" t="s">
        <v>2755</v>
      </c>
      <c r="EI686" s="731">
        <v>720</v>
      </c>
      <c r="EJ686" s="522">
        <f t="shared" si="395"/>
        <v>720</v>
      </c>
      <c r="EK686" s="523"/>
      <c r="EL686" s="524">
        <f t="shared" si="396"/>
        <v>720</v>
      </c>
    </row>
    <row r="687" spans="51:142">
      <c r="AY687" s="58" t="s">
        <v>300</v>
      </c>
      <c r="AZ687" s="56" t="s">
        <v>4887</v>
      </c>
      <c r="BA687" s="70" t="str">
        <f t="shared" si="394"/>
        <v>КД Verto-FIT.E.тунель</v>
      </c>
      <c r="BW687" s="738" t="s">
        <v>2959</v>
      </c>
      <c r="BX687" s="770" t="s">
        <v>3851</v>
      </c>
      <c r="BY687" s="138" t="str">
        <f t="shared" si="400"/>
        <v>ДП Елегант.1.Графіт</v>
      </c>
      <c r="CA687" s="146" t="s">
        <v>3307</v>
      </c>
      <c r="CB687" s="478" t="s">
        <v>4337</v>
      </c>
      <c r="CC687" s="239" t="str">
        <f>CONCATENATE(CA687,".",CB687)</f>
        <v>ДП Тіана.б/з фальц..робоча..Magnet цл б/з завіс.</v>
      </c>
      <c r="DD687" s="250" t="s">
        <v>1090</v>
      </c>
      <c r="DE687" s="166">
        <v>7890</v>
      </c>
      <c r="DF687" s="528">
        <f t="shared" si="393"/>
        <v>7890</v>
      </c>
      <c r="DG687" s="529" t="s">
        <v>6466</v>
      </c>
      <c r="DH687" s="530">
        <f t="shared" ca="1" si="385"/>
        <v>7890</v>
      </c>
      <c r="DP687" s="738" t="s">
        <v>2942</v>
      </c>
      <c r="DQ687" s="166">
        <v>730</v>
      </c>
      <c r="DR687" s="522">
        <f t="shared" ref="DR687:DR699" si="401">ROUND(((DQ687-(DQ687/6))/$DD$3)*$DE$3,2)</f>
        <v>730</v>
      </c>
      <c r="DS687" s="523"/>
      <c r="DT687" s="524">
        <f t="shared" si="399"/>
        <v>730</v>
      </c>
      <c r="DV687" s="738" t="s">
        <v>4700</v>
      </c>
      <c r="DW687" s="166">
        <v>800</v>
      </c>
      <c r="DX687" s="522">
        <f t="shared" si="397"/>
        <v>800</v>
      </c>
      <c r="DY687" s="523"/>
      <c r="DZ687" s="524">
        <f t="shared" si="398"/>
        <v>800</v>
      </c>
      <c r="EH687" s="738" t="s">
        <v>2898</v>
      </c>
      <c r="EI687" s="731">
        <v>720</v>
      </c>
      <c r="EJ687" s="522">
        <f t="shared" si="395"/>
        <v>720</v>
      </c>
      <c r="EK687" s="523"/>
      <c r="EL687" s="524">
        <f t="shared" si="396"/>
        <v>720</v>
      </c>
    </row>
    <row r="688" spans="51:142">
      <c r="AY688" s="58" t="s">
        <v>301</v>
      </c>
      <c r="AZ688" s="56" t="s">
        <v>95</v>
      </c>
      <c r="BA688" s="70" t="str">
        <f t="shared" si="394"/>
        <v>КД Verto-FIT.F.стандарт</v>
      </c>
      <c r="BW688" s="738" t="s">
        <v>2959</v>
      </c>
      <c r="BX688" s="247" t="s">
        <v>832</v>
      </c>
      <c r="BY688" s="138" t="str">
        <f t="shared" si="400"/>
        <v>ДП Елегант.1.Бронза</v>
      </c>
      <c r="CA688" s="146" t="s">
        <v>3307</v>
      </c>
      <c r="CB688" s="478" t="s">
        <v>4339</v>
      </c>
      <c r="CC688" s="239" t="str">
        <f>CONCATENATE(CA688,".",CB688)</f>
        <v>ДП Тіана.б/з фальц..робоча..Magnet ст б/з завіс.</v>
      </c>
      <c r="DD688" s="250" t="s">
        <v>1089</v>
      </c>
      <c r="DE688" s="166">
        <v>7890</v>
      </c>
      <c r="DF688" s="528">
        <f t="shared" si="393"/>
        <v>7890</v>
      </c>
      <c r="DG688" s="529" t="s">
        <v>6466</v>
      </c>
      <c r="DH688" s="530">
        <f t="shared" ca="1" si="385"/>
        <v>7890</v>
      </c>
      <c r="DP688" s="738" t="s">
        <v>2943</v>
      </c>
      <c r="DQ688" s="166">
        <v>1120</v>
      </c>
      <c r="DR688" s="522">
        <f t="shared" si="401"/>
        <v>1120</v>
      </c>
      <c r="DS688" s="523"/>
      <c r="DT688" s="524">
        <f t="shared" si="399"/>
        <v>1120</v>
      </c>
      <c r="DV688" s="739" t="s">
        <v>4701</v>
      </c>
      <c r="DW688" s="166">
        <v>800</v>
      </c>
      <c r="DX688" s="525">
        <f t="shared" si="397"/>
        <v>800</v>
      </c>
      <c r="DY688" s="526"/>
      <c r="DZ688" s="527">
        <f t="shared" si="398"/>
        <v>800</v>
      </c>
      <c r="EH688" s="738" t="s">
        <v>2825</v>
      </c>
      <c r="EI688" s="731">
        <v>720</v>
      </c>
      <c r="EJ688" s="522">
        <f t="shared" si="395"/>
        <v>720</v>
      </c>
      <c r="EK688" s="523"/>
      <c r="EL688" s="524">
        <f t="shared" si="396"/>
        <v>720</v>
      </c>
    </row>
    <row r="689" spans="51:142">
      <c r="AY689" s="58" t="s">
        <v>301</v>
      </c>
      <c r="AZ689" s="56" t="s">
        <v>4887</v>
      </c>
      <c r="BA689" s="70" t="str">
        <f t="shared" si="394"/>
        <v>КД Verto-FIT.F.тунель</v>
      </c>
      <c r="BW689" s="738" t="s">
        <v>2959</v>
      </c>
      <c r="BX689" s="247" t="s">
        <v>461</v>
      </c>
      <c r="BY689" s="138" t="str">
        <f t="shared" si="400"/>
        <v>ДП Елегант.1.Трипл. мат</v>
      </c>
      <c r="CA689" s="146" t="s">
        <v>3307</v>
      </c>
      <c r="CB689" s="97"/>
      <c r="CC689" s="97"/>
      <c r="DD689" s="250" t="s">
        <v>1088</v>
      </c>
      <c r="DE689" s="166">
        <v>7920</v>
      </c>
      <c r="DF689" s="528">
        <f t="shared" si="393"/>
        <v>7920</v>
      </c>
      <c r="DG689" s="529" t="s">
        <v>6466</v>
      </c>
      <c r="DH689" s="530">
        <f t="shared" ca="1" si="385"/>
        <v>7920</v>
      </c>
      <c r="DP689" s="739" t="s">
        <v>2944</v>
      </c>
      <c r="DQ689" s="164">
        <v>1120</v>
      </c>
      <c r="DR689" s="525">
        <f t="shared" si="401"/>
        <v>1120</v>
      </c>
      <c r="DS689" s="526"/>
      <c r="DT689" s="527">
        <f t="shared" si="399"/>
        <v>1120</v>
      </c>
      <c r="DV689" s="739" t="s">
        <v>6371</v>
      </c>
      <c r="DW689" s="164">
        <v>0</v>
      </c>
      <c r="DX689" s="531">
        <f t="shared" si="388"/>
        <v>0</v>
      </c>
      <c r="DY689" s="526"/>
      <c r="DZ689" s="527">
        <f t="shared" si="389"/>
        <v>0</v>
      </c>
      <c r="EH689" s="165" t="s">
        <v>1156</v>
      </c>
      <c r="EI689" s="731">
        <v>720</v>
      </c>
      <c r="EJ689" s="522">
        <f t="shared" si="395"/>
        <v>720</v>
      </c>
      <c r="EK689" s="523"/>
      <c r="EL689" s="524">
        <f t="shared" si="396"/>
        <v>720</v>
      </c>
    </row>
    <row r="690" spans="51:142">
      <c r="AY690" s="58" t="s">
        <v>302</v>
      </c>
      <c r="AZ690" s="56" t="s">
        <v>95</v>
      </c>
      <c r="BA690" s="70" t="str">
        <f t="shared" si="394"/>
        <v>КД Verto-FIT.G.стандарт</v>
      </c>
      <c r="BW690" s="739" t="s">
        <v>2959</v>
      </c>
      <c r="BX690" s="248" t="s">
        <v>460</v>
      </c>
      <c r="BY690" s="139" t="str">
        <f t="shared" si="400"/>
        <v>ДП Елегант.1.Трипл. чер</v>
      </c>
      <c r="CA690" s="146" t="s">
        <v>3307</v>
      </c>
      <c r="CB690" s="478" t="s">
        <v>4343</v>
      </c>
      <c r="CC690" s="239" t="str">
        <f>CONCATENATE(CA690,".",CB690)</f>
        <v>ДП Тіана.б/з фальц..робоча..Magnet цл +2завіс 3D</v>
      </c>
      <c r="DD690" s="249" t="s">
        <v>1087</v>
      </c>
      <c r="DE690" s="164">
        <v>7920</v>
      </c>
      <c r="DF690" s="528">
        <f t="shared" si="393"/>
        <v>7920</v>
      </c>
      <c r="DG690" s="529" t="s">
        <v>6466</v>
      </c>
      <c r="DH690" s="530">
        <f t="shared" ca="1" si="385"/>
        <v>7920</v>
      </c>
      <c r="DP690" s="737" t="s">
        <v>2945</v>
      </c>
      <c r="DQ690" s="163">
        <v>0</v>
      </c>
      <c r="DR690" s="528">
        <f t="shared" si="401"/>
        <v>0</v>
      </c>
      <c r="DS690" s="529"/>
      <c r="DT690" s="530">
        <f t="shared" si="399"/>
        <v>0</v>
      </c>
      <c r="DV690" s="738" t="s">
        <v>6372</v>
      </c>
      <c r="DW690" s="166">
        <v>1</v>
      </c>
      <c r="DX690" s="522">
        <f t="shared" si="388"/>
        <v>1</v>
      </c>
      <c r="DY690" s="523"/>
      <c r="DZ690" s="524">
        <f t="shared" si="389"/>
        <v>1</v>
      </c>
      <c r="EH690" s="165" t="s">
        <v>1157</v>
      </c>
      <c r="EI690" s="731">
        <v>720</v>
      </c>
      <c r="EJ690" s="522">
        <f t="shared" si="395"/>
        <v>720</v>
      </c>
      <c r="EK690" s="523"/>
      <c r="EL690" s="524">
        <f t="shared" si="396"/>
        <v>720</v>
      </c>
    </row>
    <row r="691" spans="51:142">
      <c r="AY691" s="58" t="s">
        <v>302</v>
      </c>
      <c r="AZ691" s="56" t="s">
        <v>4887</v>
      </c>
      <c r="BA691" s="70" t="str">
        <f t="shared" si="394"/>
        <v>КД Verto-FIT.G.тунель</v>
      </c>
      <c r="BW691" s="737" t="s">
        <v>2960</v>
      </c>
      <c r="BX691" s="786" t="s">
        <v>4220</v>
      </c>
      <c r="BY691" s="135" t="str">
        <f t="shared" si="400"/>
        <v>ДП Елегант.2.Малюнок</v>
      </c>
      <c r="CA691" s="146" t="s">
        <v>3307</v>
      </c>
      <c r="CB691" s="478" t="s">
        <v>4347</v>
      </c>
      <c r="CC691" s="239" t="str">
        <f>CONCATENATE(CA691,".",CB691)</f>
        <v>ДП Тіана.б/з фальц..робоча..Magnet ст +2завіс 3D</v>
      </c>
      <c r="DD691" s="250" t="s">
        <v>1086</v>
      </c>
      <c r="DE691" s="166">
        <v>8390</v>
      </c>
      <c r="DF691" s="528">
        <f t="shared" si="393"/>
        <v>8390</v>
      </c>
      <c r="DG691" s="529" t="s">
        <v>6466</v>
      </c>
      <c r="DH691" s="530">
        <f t="shared" ca="1" si="385"/>
        <v>8390</v>
      </c>
      <c r="DP691" s="738" t="s">
        <v>4029</v>
      </c>
      <c r="DQ691" s="166">
        <v>960</v>
      </c>
      <c r="DR691" s="522">
        <f t="shared" si="401"/>
        <v>960</v>
      </c>
      <c r="DS691" s="523"/>
      <c r="DT691" s="524">
        <f t="shared" si="399"/>
        <v>960</v>
      </c>
      <c r="DV691" s="738" t="s">
        <v>6373</v>
      </c>
      <c r="DW691" s="166">
        <v>1</v>
      </c>
      <c r="DX691" s="522">
        <f t="shared" si="388"/>
        <v>1</v>
      </c>
      <c r="DY691" s="523"/>
      <c r="DZ691" s="524">
        <f t="shared" si="389"/>
        <v>1</v>
      </c>
      <c r="EH691" s="108" t="s">
        <v>70</v>
      </c>
      <c r="EI691" s="731">
        <v>720</v>
      </c>
      <c r="EJ691" s="531">
        <f t="shared" si="395"/>
        <v>720</v>
      </c>
      <c r="EK691" s="526"/>
      <c r="EL691" s="527">
        <f t="shared" si="396"/>
        <v>720</v>
      </c>
    </row>
    <row r="692" spans="51:142">
      <c r="AY692" s="58" t="s">
        <v>303</v>
      </c>
      <c r="AZ692" s="56" t="s">
        <v>95</v>
      </c>
      <c r="BA692" s="70" t="str">
        <f t="shared" si="394"/>
        <v>КД Verto-FIT.H.стандарт</v>
      </c>
      <c r="BW692" s="738" t="s">
        <v>2960</v>
      </c>
      <c r="BX692" s="770" t="s">
        <v>3851</v>
      </c>
      <c r="BY692" s="138" t="str">
        <f t="shared" si="400"/>
        <v>ДП Елегант.2.Графіт</v>
      </c>
      <c r="CA692" s="146" t="s">
        <v>3307</v>
      </c>
      <c r="CB692" s="97"/>
      <c r="CC692" s="97"/>
      <c r="DD692" s="250" t="s">
        <v>1085</v>
      </c>
      <c r="DE692" s="166">
        <v>8390</v>
      </c>
      <c r="DF692" s="528">
        <f t="shared" si="393"/>
        <v>8390</v>
      </c>
      <c r="DG692" s="529" t="s">
        <v>6466</v>
      </c>
      <c r="DH692" s="530">
        <f t="shared" ca="1" si="385"/>
        <v>8390</v>
      </c>
      <c r="DP692" s="738" t="s">
        <v>2946</v>
      </c>
      <c r="DQ692" s="166">
        <v>960</v>
      </c>
      <c r="DR692" s="522">
        <f t="shared" si="401"/>
        <v>960</v>
      </c>
      <c r="DS692" s="523"/>
      <c r="DT692" s="524">
        <f t="shared" si="399"/>
        <v>960</v>
      </c>
      <c r="DV692" s="738" t="s">
        <v>6374</v>
      </c>
      <c r="DW692" s="166">
        <v>1</v>
      </c>
      <c r="DX692" s="522">
        <f t="shared" si="388"/>
        <v>1</v>
      </c>
      <c r="DY692" s="523"/>
      <c r="DZ692" s="524">
        <f t="shared" si="389"/>
        <v>1</v>
      </c>
      <c r="EH692" s="738" t="s">
        <v>2953</v>
      </c>
      <c r="EI692" s="729">
        <v>680</v>
      </c>
      <c r="EJ692" s="522">
        <f t="shared" si="395"/>
        <v>680</v>
      </c>
      <c r="EK692" s="523"/>
      <c r="EL692" s="524">
        <f t="shared" si="396"/>
        <v>680</v>
      </c>
    </row>
    <row r="693" spans="51:142">
      <c r="AY693" s="58" t="s">
        <v>303</v>
      </c>
      <c r="AZ693" s="56" t="s">
        <v>4887</v>
      </c>
      <c r="BA693" s="70" t="str">
        <f t="shared" si="394"/>
        <v>КД Verto-FIT.H.тунель</v>
      </c>
      <c r="BW693" s="738" t="s">
        <v>2960</v>
      </c>
      <c r="BX693" s="247" t="s">
        <v>832</v>
      </c>
      <c r="BY693" s="138" t="str">
        <f t="shared" si="400"/>
        <v>ДП Елегант.2.Бронза</v>
      </c>
      <c r="CA693" s="146" t="s">
        <v>3307</v>
      </c>
      <c r="CB693" s="478" t="s">
        <v>4349</v>
      </c>
      <c r="CC693" s="239" t="str">
        <f>CONCATENATE(CA693,".",CB693)</f>
        <v>ДП Тіана.б/з фальц..робоча..Magnet цл +3завіс 3D</v>
      </c>
      <c r="DD693" s="250" t="s">
        <v>1084</v>
      </c>
      <c r="DE693" s="166">
        <v>8750</v>
      </c>
      <c r="DF693" s="528">
        <f t="shared" si="393"/>
        <v>8750</v>
      </c>
      <c r="DG693" s="529" t="s">
        <v>6466</v>
      </c>
      <c r="DH693" s="530">
        <f t="shared" ca="1" si="385"/>
        <v>8750</v>
      </c>
      <c r="DP693" s="738" t="s">
        <v>2947</v>
      </c>
      <c r="DQ693" s="166">
        <v>1350</v>
      </c>
      <c r="DR693" s="522">
        <f t="shared" si="401"/>
        <v>1350</v>
      </c>
      <c r="DS693" s="523"/>
      <c r="DT693" s="524">
        <f t="shared" si="399"/>
        <v>1350</v>
      </c>
      <c r="DV693" s="738" t="s">
        <v>6375</v>
      </c>
      <c r="DW693" s="166">
        <v>1</v>
      </c>
      <c r="DX693" s="522">
        <f t="shared" si="388"/>
        <v>1</v>
      </c>
      <c r="DY693" s="523"/>
      <c r="DZ693" s="524">
        <f t="shared" si="389"/>
        <v>1</v>
      </c>
      <c r="EH693" s="165" t="s">
        <v>55</v>
      </c>
      <c r="EI693" s="729">
        <v>680</v>
      </c>
      <c r="EJ693" s="522">
        <f t="shared" si="395"/>
        <v>680</v>
      </c>
      <c r="EK693" s="523"/>
      <c r="EL693" s="524">
        <f t="shared" si="396"/>
        <v>680</v>
      </c>
    </row>
    <row r="694" spans="51:142">
      <c r="AY694" s="58" t="s">
        <v>304</v>
      </c>
      <c r="AZ694" s="56" t="s">
        <v>95</v>
      </c>
      <c r="BA694" s="70" t="str">
        <f t="shared" si="394"/>
        <v>КД Verto-FIT.I.стандарт</v>
      </c>
      <c r="BW694" s="738" t="s">
        <v>2960</v>
      </c>
      <c r="BX694" s="247" t="s">
        <v>461</v>
      </c>
      <c r="BY694" s="138" t="str">
        <f t="shared" si="400"/>
        <v>ДП Елегант.2.Трипл. мат</v>
      </c>
      <c r="CA694" s="147" t="s">
        <v>3307</v>
      </c>
      <c r="CB694" s="590" t="s">
        <v>4350</v>
      </c>
      <c r="CC694" s="240" t="str">
        <f>CONCATENATE(CA694,".",CB694)</f>
        <v>ДП Тіана.б/з фальц..робоча..Magnet ст +3завіс 3D</v>
      </c>
      <c r="DD694" s="250" t="s">
        <v>1083</v>
      </c>
      <c r="DE694" s="166">
        <v>8750</v>
      </c>
      <c r="DF694" s="528">
        <f t="shared" si="393"/>
        <v>8750</v>
      </c>
      <c r="DG694" s="529" t="s">
        <v>6466</v>
      </c>
      <c r="DH694" s="530">
        <f t="shared" ca="1" si="385"/>
        <v>8750</v>
      </c>
      <c r="DP694" s="739" t="s">
        <v>2948</v>
      </c>
      <c r="DQ694" s="164">
        <v>1350</v>
      </c>
      <c r="DR694" s="525">
        <f t="shared" si="401"/>
        <v>1350</v>
      </c>
      <c r="DS694" s="526"/>
      <c r="DT694" s="527">
        <f t="shared" si="399"/>
        <v>1350</v>
      </c>
      <c r="DV694" s="738" t="s">
        <v>6376</v>
      </c>
      <c r="DW694" s="166">
        <v>1</v>
      </c>
      <c r="DX694" s="522">
        <f t="shared" si="388"/>
        <v>1</v>
      </c>
      <c r="DY694" s="523"/>
      <c r="DZ694" s="524">
        <f t="shared" si="389"/>
        <v>1</v>
      </c>
      <c r="EH694" s="108" t="s">
        <v>118</v>
      </c>
      <c r="EI694" s="164">
        <v>3300</v>
      </c>
      <c r="EJ694" s="531">
        <f>ROUND(((EI694-(EI694/6))/$DD$3)*$DE$3,2)</f>
        <v>3300</v>
      </c>
      <c r="EK694" s="526"/>
      <c r="EL694" s="527">
        <f>IF(EK694="",EJ694,
IF(AND($EI$10&gt;=VLOOKUP(EK694,$EH$5:$EL$9,2,0),$EI$10&lt;=VLOOKUP(EK694,$EH$5:$EL$9,3,0)),
(EJ694*(1-VLOOKUP(EK694,$EH$5:$EL$9,4,0))),
EJ694))</f>
        <v>3300</v>
      </c>
    </row>
    <row r="695" spans="51:142">
      <c r="AY695" s="58" t="s">
        <v>304</v>
      </c>
      <c r="AZ695" s="56" t="s">
        <v>4887</v>
      </c>
      <c r="BA695" s="70" t="str">
        <f t="shared" si="394"/>
        <v>КД Verto-FIT.I.тунель</v>
      </c>
      <c r="BW695" s="739" t="s">
        <v>2960</v>
      </c>
      <c r="BX695" s="248" t="s">
        <v>460</v>
      </c>
      <c r="BY695" s="139" t="str">
        <f t="shared" si="400"/>
        <v>ДП Елегант.2.Трипл. чер</v>
      </c>
      <c r="CA695" s="145" t="s">
        <v>3308</v>
      </c>
      <c r="CB695" s="134" t="s">
        <v>4106</v>
      </c>
      <c r="CC695" s="135" t="str">
        <f>CONCATENATE(CA695,".",CB695)</f>
        <v>ДП Тіана.купе..робоча..(ні)</v>
      </c>
      <c r="DD695" s="250" t="s">
        <v>1082</v>
      </c>
      <c r="DE695" s="166">
        <v>8390</v>
      </c>
      <c r="DF695" s="528">
        <f t="shared" si="393"/>
        <v>8390</v>
      </c>
      <c r="DG695" s="529" t="s">
        <v>6466</v>
      </c>
      <c r="DH695" s="530">
        <f t="shared" ca="1" si="385"/>
        <v>8390</v>
      </c>
      <c r="DP695" s="737" t="s">
        <v>2949</v>
      </c>
      <c r="DQ695" s="163">
        <v>0</v>
      </c>
      <c r="DR695" s="528">
        <f t="shared" si="401"/>
        <v>0</v>
      </c>
      <c r="DS695" s="529"/>
      <c r="DT695" s="530">
        <f t="shared" si="399"/>
        <v>0</v>
      </c>
      <c r="DV695" s="739" t="s">
        <v>6377</v>
      </c>
      <c r="DW695" s="166">
        <v>1</v>
      </c>
      <c r="DX695" s="525">
        <f t="shared" si="388"/>
        <v>1</v>
      </c>
      <c r="DY695" s="526"/>
      <c r="DZ695" s="527">
        <f t="shared" si="389"/>
        <v>1</v>
      </c>
      <c r="EH695" s="538"/>
      <c r="EI695" s="539"/>
      <c r="EJ695" s="540"/>
      <c r="EK695" s="539"/>
      <c r="EL695" s="539"/>
    </row>
    <row r="696" spans="51:142">
      <c r="AY696" s="227"/>
      <c r="AZ696" s="222"/>
      <c r="BA696" s="223"/>
      <c r="BW696" s="737" t="s">
        <v>2961</v>
      </c>
      <c r="BX696" s="786" t="s">
        <v>4220</v>
      </c>
      <c r="BY696" s="135" t="str">
        <f t="shared" si="400"/>
        <v>ДП Елегант.3.Малюнок</v>
      </c>
      <c r="CA696" s="146" t="s">
        <v>3308</v>
      </c>
      <c r="CB696" s="21"/>
      <c r="CC696" s="21"/>
      <c r="DD696" s="250" t="s">
        <v>1081</v>
      </c>
      <c r="DE696" s="166">
        <v>8390</v>
      </c>
      <c r="DF696" s="528">
        <f t="shared" si="393"/>
        <v>8390</v>
      </c>
      <c r="DG696" s="529" t="s">
        <v>6466</v>
      </c>
      <c r="DH696" s="530">
        <f t="shared" ca="1" si="385"/>
        <v>8390</v>
      </c>
      <c r="DP696" s="738" t="s">
        <v>4030</v>
      </c>
      <c r="DQ696" s="166">
        <v>1100</v>
      </c>
      <c r="DR696" s="522">
        <f t="shared" si="401"/>
        <v>1100</v>
      </c>
      <c r="DS696" s="523"/>
      <c r="DT696" s="524">
        <f t="shared" si="399"/>
        <v>1100</v>
      </c>
      <c r="DV696" s="165" t="s">
        <v>2737</v>
      </c>
      <c r="DW696" s="166">
        <v>0</v>
      </c>
      <c r="DX696" s="522">
        <f t="shared" si="388"/>
        <v>0</v>
      </c>
      <c r="DY696" s="523"/>
      <c r="DZ696" s="524">
        <f t="shared" si="389"/>
        <v>0</v>
      </c>
      <c r="EH696" s="60"/>
      <c r="EI696" s="103"/>
      <c r="EJ696" s="119"/>
      <c r="EK696" s="103"/>
      <c r="EL696" s="103"/>
    </row>
    <row r="697" spans="51:142">
      <c r="AY697" s="58" t="s">
        <v>353</v>
      </c>
      <c r="AZ697" s="56" t="s">
        <v>95</v>
      </c>
      <c r="BA697" s="70" t="str">
        <f t="shared" ref="BA697:BA706" si="402">CONCATENATE(AY697,".",AZ697)</f>
        <v>КД Verto-FIT Plus.A.стандарт</v>
      </c>
      <c r="BW697" s="738" t="s">
        <v>2961</v>
      </c>
      <c r="BX697" s="770" t="s">
        <v>3851</v>
      </c>
      <c r="BY697" s="138" t="str">
        <f t="shared" si="400"/>
        <v>ДП Елегант.3.Графіт</v>
      </c>
      <c r="CA697" s="146" t="s">
        <v>3308</v>
      </c>
      <c r="CB697" s="137" t="s">
        <v>462</v>
      </c>
      <c r="CC697" s="138" t="str">
        <f>CONCATENATE(CA697,".",CB697)</f>
        <v>ДП Тіана.купе..робоча..Ручка-Захват</v>
      </c>
      <c r="DD697" s="250" t="s">
        <v>1080</v>
      </c>
      <c r="DE697" s="166">
        <v>8460</v>
      </c>
      <c r="DF697" s="528">
        <f t="shared" si="393"/>
        <v>8460</v>
      </c>
      <c r="DG697" s="529" t="s">
        <v>6466</v>
      </c>
      <c r="DH697" s="530">
        <f t="shared" ca="1" si="385"/>
        <v>8460</v>
      </c>
      <c r="DP697" s="738" t="s">
        <v>2950</v>
      </c>
      <c r="DQ697" s="166">
        <v>1100</v>
      </c>
      <c r="DR697" s="522">
        <f t="shared" si="401"/>
        <v>1100</v>
      </c>
      <c r="DS697" s="523"/>
      <c r="DT697" s="524">
        <f t="shared" si="399"/>
        <v>1100</v>
      </c>
      <c r="DV697" s="108" t="s">
        <v>2738</v>
      </c>
      <c r="DW697" s="164">
        <v>560</v>
      </c>
      <c r="DX697" s="531">
        <f t="shared" si="388"/>
        <v>560</v>
      </c>
      <c r="DY697" s="526"/>
      <c r="DZ697" s="527">
        <f t="shared" si="389"/>
        <v>560</v>
      </c>
      <c r="EH697" s="60"/>
      <c r="EI697" s="103"/>
      <c r="EJ697" s="119"/>
      <c r="EK697" s="103"/>
      <c r="EL697" s="103"/>
    </row>
    <row r="698" spans="51:142">
      <c r="AY698" s="58" t="s">
        <v>354</v>
      </c>
      <c r="AZ698" s="56" t="s">
        <v>95</v>
      </c>
      <c r="BA698" s="70" t="str">
        <f t="shared" si="402"/>
        <v>КД Verto-FIT Plus.B.стандарт</v>
      </c>
      <c r="BW698" s="738" t="s">
        <v>2961</v>
      </c>
      <c r="BX698" s="247" t="s">
        <v>832</v>
      </c>
      <c r="BY698" s="138" t="str">
        <f t="shared" si="400"/>
        <v>ДП Елегант.3.Бронза</v>
      </c>
      <c r="CA698" s="146" t="s">
        <v>3308</v>
      </c>
      <c r="CB698" s="137" t="s">
        <v>684</v>
      </c>
      <c r="CC698" s="138" t="str">
        <f>CONCATENATE(CA698,".",CB698)</f>
        <v>ДП Тіана.купе..робоча..Ручка-Замок</v>
      </c>
      <c r="DD698" s="250" t="s">
        <v>1079</v>
      </c>
      <c r="DE698" s="166">
        <v>8460</v>
      </c>
      <c r="DF698" s="528">
        <f t="shared" si="393"/>
        <v>8460</v>
      </c>
      <c r="DG698" s="529" t="s">
        <v>6466</v>
      </c>
      <c r="DH698" s="530">
        <f t="shared" ca="1" si="385"/>
        <v>8460</v>
      </c>
      <c r="DP698" s="738" t="s">
        <v>2951</v>
      </c>
      <c r="DQ698" s="166">
        <v>1680</v>
      </c>
      <c r="DR698" s="522">
        <f t="shared" si="401"/>
        <v>1680</v>
      </c>
      <c r="DS698" s="523"/>
      <c r="DT698" s="524">
        <f t="shared" si="399"/>
        <v>1680</v>
      </c>
      <c r="DV698" s="647"/>
      <c r="DW698" s="648"/>
      <c r="DX698" s="654"/>
      <c r="DY698" s="655"/>
      <c r="DZ698" s="656"/>
      <c r="EH698" s="48"/>
      <c r="EI698" s="48"/>
      <c r="EJ698" s="120"/>
      <c r="EK698" s="48"/>
      <c r="EL698" s="48"/>
    </row>
    <row r="699" spans="51:142">
      <c r="AY699" s="58" t="s">
        <v>1181</v>
      </c>
      <c r="AZ699" s="56" t="s">
        <v>95</v>
      </c>
      <c r="BA699" s="70" t="str">
        <f>CONCATENATE(AY699,".",AZ699)</f>
        <v>КД Verto-FIT Plus.B+.стандарт</v>
      </c>
      <c r="BW699" s="738" t="s">
        <v>2961</v>
      </c>
      <c r="BX699" s="247" t="s">
        <v>461</v>
      </c>
      <c r="BY699" s="138" t="str">
        <f t="shared" si="400"/>
        <v>ДП Елегант.3.Трипл. мат</v>
      </c>
      <c r="CA699" s="432"/>
      <c r="CB699" s="222"/>
      <c r="CC699" s="223"/>
      <c r="DD699" s="250" t="s">
        <v>1078</v>
      </c>
      <c r="DE699" s="166">
        <v>8540</v>
      </c>
      <c r="DF699" s="528">
        <f t="shared" si="393"/>
        <v>8540</v>
      </c>
      <c r="DG699" s="529" t="s">
        <v>6466</v>
      </c>
      <c r="DH699" s="530">
        <f t="shared" ca="1" si="385"/>
        <v>8540</v>
      </c>
      <c r="DP699" s="739" t="s">
        <v>2952</v>
      </c>
      <c r="DQ699" s="164">
        <v>1680</v>
      </c>
      <c r="DR699" s="525">
        <f t="shared" si="401"/>
        <v>1680</v>
      </c>
      <c r="DS699" s="526"/>
      <c r="DT699" s="527">
        <f t="shared" si="399"/>
        <v>1680</v>
      </c>
      <c r="DV699" s="736" t="s">
        <v>4170</v>
      </c>
      <c r="DW699" s="105">
        <v>0</v>
      </c>
      <c r="DX699" s="403">
        <f t="shared" ref="DX699:DX729" si="403">ROUND(((DW699-(DW699/6))/$DD$3)*$DE$3,2)</f>
        <v>0</v>
      </c>
      <c r="DY699" s="514"/>
      <c r="DZ699" s="511">
        <f t="shared" ref="DZ699:DZ729" si="404">IF(DY699="",DX699,
IF(AND($DW$10&gt;=VLOOKUP(DY699,$DV$5:$DZ$9,2,0),$DW$10&lt;=VLOOKUP(DY699,$DV$5:$DZ$9,3,0)),
(DX699*(1-VLOOKUP(DY699,$DV$5:$DZ$9,4,0))),
DX699))</f>
        <v>0</v>
      </c>
      <c r="EH699" s="48"/>
      <c r="EI699" s="48"/>
      <c r="EJ699" s="120"/>
      <c r="EK699" s="48"/>
      <c r="EL699" s="48"/>
    </row>
    <row r="700" spans="51:142">
      <c r="AY700" s="58" t="s">
        <v>355</v>
      </c>
      <c r="AZ700" s="56" t="s">
        <v>95</v>
      </c>
      <c r="BA700" s="70" t="str">
        <f t="shared" si="402"/>
        <v>КД Verto-FIT Plus.C.стандарт</v>
      </c>
      <c r="BW700" s="739" t="s">
        <v>2961</v>
      </c>
      <c r="BX700" s="248" t="s">
        <v>460</v>
      </c>
      <c r="BY700" s="139" t="str">
        <f t="shared" si="400"/>
        <v>ДП Елегант.3.Трипл. чер</v>
      </c>
      <c r="CA700" s="146" t="s">
        <v>3309</v>
      </c>
      <c r="CB700" s="137" t="s">
        <v>4106</v>
      </c>
      <c r="CC700" s="138" t="str">
        <f>CONCATENATE(CA700,".",CB700)</f>
        <v>ДП Єва.фальц..робоча..(ні)</v>
      </c>
      <c r="DD700" s="249" t="s">
        <v>1077</v>
      </c>
      <c r="DE700" s="164">
        <v>8540</v>
      </c>
      <c r="DF700" s="528">
        <f t="shared" si="393"/>
        <v>8540</v>
      </c>
      <c r="DG700" s="529" t="s">
        <v>6466</v>
      </c>
      <c r="DH700" s="530">
        <f t="shared" ca="1" si="385"/>
        <v>8540</v>
      </c>
      <c r="DP700" s="538"/>
      <c r="DQ700" s="539"/>
      <c r="DR700" s="650"/>
      <c r="DS700" s="651"/>
      <c r="DT700" s="652"/>
      <c r="DV700" s="737" t="s">
        <v>5886</v>
      </c>
      <c r="DW700" s="163">
        <v>0</v>
      </c>
      <c r="DX700" s="528">
        <f t="shared" si="403"/>
        <v>0</v>
      </c>
      <c r="DY700" s="529"/>
      <c r="DZ700" s="530">
        <f t="shared" si="404"/>
        <v>0</v>
      </c>
      <c r="EH700" s="554"/>
      <c r="EI700" s="554"/>
      <c r="EJ700" s="653"/>
      <c r="EK700" s="554"/>
      <c r="EL700" s="554"/>
    </row>
    <row r="701" spans="51:142">
      <c r="AY701" s="58" t="s">
        <v>356</v>
      </c>
      <c r="AZ701" s="56" t="s">
        <v>95</v>
      </c>
      <c r="BA701" s="70" t="str">
        <f t="shared" si="402"/>
        <v>КД Verto-FIT Plus.D.стандарт</v>
      </c>
      <c r="BW701" s="737" t="s">
        <v>2962</v>
      </c>
      <c r="BX701" s="786" t="s">
        <v>4220</v>
      </c>
      <c r="BY701" s="135" t="str">
        <f t="shared" si="400"/>
        <v>ДП Елегант.4.Малюнок</v>
      </c>
      <c r="CA701" s="146" t="s">
        <v>3309</v>
      </c>
      <c r="CB701" s="21"/>
      <c r="CC701" s="21"/>
      <c r="DD701" s="740" t="s">
        <v>5243</v>
      </c>
      <c r="DE701" s="166">
        <v>8780</v>
      </c>
      <c r="DF701" s="528">
        <f t="shared" si="393"/>
        <v>8780</v>
      </c>
      <c r="DG701" s="529" t="s">
        <v>6466</v>
      </c>
      <c r="DH701" s="530">
        <f t="shared" ca="1" si="385"/>
        <v>8780</v>
      </c>
      <c r="DP701" s="162" t="s">
        <v>285</v>
      </c>
      <c r="DQ701" s="163">
        <v>0</v>
      </c>
      <c r="DR701" s="528">
        <f t="shared" ref="DR701:DR735" si="405">ROUND(((DQ701-(DQ701/6))/$DD$3)*$DE$3,2)</f>
        <v>0</v>
      </c>
      <c r="DS701" s="529"/>
      <c r="DT701" s="530">
        <f>IF(DS701="",DR701,
IF(AND($DQ$10&gt;=VLOOKUP(DS701,$DP$5:$DT$9,2,0),$DQ$10&lt;=VLOOKUP(DS701,$DP$5:$DT$9,3,0)),
(DR701*(1-VLOOKUP(DS701,$DP$5:$DT$9,4,0))),
DR701))</f>
        <v>0</v>
      </c>
      <c r="DV701" s="737" t="s">
        <v>5887</v>
      </c>
      <c r="DW701" s="166">
        <v>0</v>
      </c>
      <c r="DX701" s="522">
        <f>ROUND(((DW701-(DW701/6))/$DD$3)*$DE$3,2)</f>
        <v>0</v>
      </c>
      <c r="DY701" s="523"/>
      <c r="DZ701" s="524">
        <f>IF(DY701="",DX701,
IF(AND($DW$10&gt;=VLOOKUP(DY701,$DV$5:$DZ$9,2,0),$DW$10&lt;=VLOOKUP(DY701,$DV$5:$DZ$9,3,0)),
(DX701*(1-VLOOKUP(DY701,$DV$5:$DZ$9,4,0))),
DX701))</f>
        <v>0</v>
      </c>
    </row>
    <row r="702" spans="51:142">
      <c r="AY702" s="58" t="s">
        <v>357</v>
      </c>
      <c r="AZ702" s="56" t="s">
        <v>95</v>
      </c>
      <c r="BA702" s="70" t="str">
        <f t="shared" si="402"/>
        <v>КД Verto-FIT Plus.E.стандарт</v>
      </c>
      <c r="BW702" s="738" t="s">
        <v>2962</v>
      </c>
      <c r="BX702" s="770" t="s">
        <v>3851</v>
      </c>
      <c r="BY702" s="138" t="str">
        <f t="shared" si="400"/>
        <v>ДП Елегант.4.Графіт</v>
      </c>
      <c r="CA702" s="146" t="s">
        <v>3309</v>
      </c>
      <c r="CB702" s="783" t="s">
        <v>5754</v>
      </c>
      <c r="CC702" s="138" t="str">
        <f t="shared" ref="CC702:CC707" si="406">CONCATENATE(CA702,".",CB702)</f>
        <v>ДП Єва.фальц..робоча..Stand цл Лів +3завіс</v>
      </c>
      <c r="DD702" s="740" t="s">
        <v>5244</v>
      </c>
      <c r="DE702" s="166">
        <v>8780</v>
      </c>
      <c r="DF702" s="528">
        <f t="shared" si="393"/>
        <v>8780</v>
      </c>
      <c r="DG702" s="529" t="s">
        <v>6466</v>
      </c>
      <c r="DH702" s="530">
        <f t="shared" ca="1" si="385"/>
        <v>8780</v>
      </c>
      <c r="DP702" s="738" t="s">
        <v>4031</v>
      </c>
      <c r="DQ702" s="166">
        <v>780</v>
      </c>
      <c r="DR702" s="522">
        <f t="shared" si="405"/>
        <v>780</v>
      </c>
      <c r="DS702" s="523"/>
      <c r="DT702" s="524">
        <f t="shared" ref="DT702:DT735" si="407">IF(DS702="",DR702,
IF(AND($DQ$10&gt;=VLOOKUP(DS702,$DP$5:$DT$9,2,0),$DQ$10&lt;=VLOOKUP(DS702,$DP$5:$DT$9,3,0)),
(DR702*(1-VLOOKUP(DS702,$DP$5:$DT$9,4,0))),
DR702))</f>
        <v>780</v>
      </c>
      <c r="DV702" s="738" t="s">
        <v>5888</v>
      </c>
      <c r="DW702" s="166">
        <v>0</v>
      </c>
      <c r="DX702" s="522">
        <f t="shared" si="403"/>
        <v>0</v>
      </c>
      <c r="DY702" s="523"/>
      <c r="DZ702" s="524">
        <f t="shared" si="404"/>
        <v>0</v>
      </c>
    </row>
    <row r="703" spans="51:142">
      <c r="AY703" s="58" t="s">
        <v>358</v>
      </c>
      <c r="AZ703" s="56" t="s">
        <v>95</v>
      </c>
      <c r="BA703" s="70" t="str">
        <f t="shared" si="402"/>
        <v>КД Verto-FIT Plus.F.стандарт</v>
      </c>
      <c r="BW703" s="738" t="s">
        <v>2962</v>
      </c>
      <c r="BX703" s="247" t="s">
        <v>832</v>
      </c>
      <c r="BY703" s="138" t="str">
        <f t="shared" si="400"/>
        <v>ДП Елегант.4.Бронза</v>
      </c>
      <c r="CA703" s="146" t="s">
        <v>3309</v>
      </c>
      <c r="CB703" s="783" t="s">
        <v>5755</v>
      </c>
      <c r="CC703" s="138" t="str">
        <f t="shared" si="406"/>
        <v>ДП Єва.фальц..робоча..Stand цл Пр +3завіс</v>
      </c>
      <c r="DD703" s="740" t="s">
        <v>5245</v>
      </c>
      <c r="DE703" s="166">
        <v>9130</v>
      </c>
      <c r="DF703" s="528">
        <f t="shared" si="393"/>
        <v>9130</v>
      </c>
      <c r="DG703" s="529" t="s">
        <v>6466</v>
      </c>
      <c r="DH703" s="530">
        <f t="shared" ca="1" si="385"/>
        <v>9130</v>
      </c>
      <c r="DP703" s="165" t="s">
        <v>483</v>
      </c>
      <c r="DQ703" s="166">
        <v>780</v>
      </c>
      <c r="DR703" s="522">
        <f t="shared" si="405"/>
        <v>780</v>
      </c>
      <c r="DS703" s="523"/>
      <c r="DT703" s="524">
        <f t="shared" si="407"/>
        <v>780</v>
      </c>
      <c r="DV703" s="738" t="s">
        <v>5889</v>
      </c>
      <c r="DW703" s="166">
        <v>0</v>
      </c>
      <c r="DX703" s="522">
        <f>ROUND(((DW703-(DW703/6))/$DD$3)*$DE$3,2)</f>
        <v>0</v>
      </c>
      <c r="DY703" s="523"/>
      <c r="DZ703" s="524">
        <f>IF(DY703="",DX703,
IF(AND($DW$10&gt;=VLOOKUP(DY703,$DV$5:$DZ$9,2,0),$DW$10&lt;=VLOOKUP(DY703,$DV$5:$DZ$9,3,0)),
(DX703*(1-VLOOKUP(DY703,$DV$5:$DZ$9,4,0))),
DX703))</f>
        <v>0</v>
      </c>
    </row>
    <row r="704" spans="51:142">
      <c r="AY704" s="58" t="s">
        <v>359</v>
      </c>
      <c r="AZ704" s="56" t="s">
        <v>95</v>
      </c>
      <c r="BA704" s="70" t="str">
        <f t="shared" si="402"/>
        <v>КД Verto-FIT Plus.G.стандарт</v>
      </c>
      <c r="BW704" s="738" t="s">
        <v>2962</v>
      </c>
      <c r="BX704" s="247" t="s">
        <v>461</v>
      </c>
      <c r="BY704" s="138" t="str">
        <f t="shared" si="400"/>
        <v>ДП Елегант.4.Трипл. мат</v>
      </c>
      <c r="CA704" s="146" t="s">
        <v>3309</v>
      </c>
      <c r="CB704" s="783" t="s">
        <v>5756</v>
      </c>
      <c r="CC704" s="138" t="str">
        <f t="shared" si="406"/>
        <v>ДП Єва.фальц..робоча..Stand кл Лів +3завіс</v>
      </c>
      <c r="DD704" s="740" t="s">
        <v>5246</v>
      </c>
      <c r="DE704" s="166">
        <v>9130</v>
      </c>
      <c r="DF704" s="528">
        <f t="shared" si="393"/>
        <v>9130</v>
      </c>
      <c r="DG704" s="529" t="s">
        <v>6466</v>
      </c>
      <c r="DH704" s="530">
        <f t="shared" ca="1" si="385"/>
        <v>9130</v>
      </c>
      <c r="DP704" s="165" t="s">
        <v>286</v>
      </c>
      <c r="DQ704" s="166">
        <v>1060</v>
      </c>
      <c r="DR704" s="522">
        <f t="shared" si="405"/>
        <v>1060</v>
      </c>
      <c r="DS704" s="523"/>
      <c r="DT704" s="524">
        <f t="shared" si="407"/>
        <v>1060</v>
      </c>
      <c r="DV704" s="738" t="s">
        <v>5890</v>
      </c>
      <c r="DW704" s="166">
        <v>0</v>
      </c>
      <c r="DX704" s="522">
        <f t="shared" si="403"/>
        <v>0</v>
      </c>
      <c r="DY704" s="523"/>
      <c r="DZ704" s="524">
        <f t="shared" si="404"/>
        <v>0</v>
      </c>
    </row>
    <row r="705" spans="51:130">
      <c r="AY705" s="58" t="s">
        <v>360</v>
      </c>
      <c r="AZ705" s="56" t="s">
        <v>95</v>
      </c>
      <c r="BA705" s="70" t="str">
        <f t="shared" si="402"/>
        <v>КД Verto-FIT Plus.H.стандарт</v>
      </c>
      <c r="BW705" s="739" t="s">
        <v>2962</v>
      </c>
      <c r="BX705" s="248" t="s">
        <v>460</v>
      </c>
      <c r="BY705" s="139" t="str">
        <f t="shared" si="400"/>
        <v>ДП Елегант.4.Трипл. чер</v>
      </c>
      <c r="CA705" s="146" t="s">
        <v>3309</v>
      </c>
      <c r="CB705" s="783" t="s">
        <v>5757</v>
      </c>
      <c r="CC705" s="138" t="str">
        <f t="shared" si="406"/>
        <v>ДП Єва.фальц..робоча..Stand кл Пр +3завіс</v>
      </c>
      <c r="DD705" s="740" t="s">
        <v>5247</v>
      </c>
      <c r="DE705" s="166">
        <v>8780</v>
      </c>
      <c r="DF705" s="528">
        <f t="shared" si="393"/>
        <v>8780</v>
      </c>
      <c r="DG705" s="529" t="s">
        <v>6466</v>
      </c>
      <c r="DH705" s="530">
        <f t="shared" ca="1" si="385"/>
        <v>8780</v>
      </c>
      <c r="DP705" s="108" t="s">
        <v>287</v>
      </c>
      <c r="DQ705" s="164">
        <v>1060</v>
      </c>
      <c r="DR705" s="525">
        <f t="shared" si="405"/>
        <v>1060</v>
      </c>
      <c r="DS705" s="526"/>
      <c r="DT705" s="527">
        <f t="shared" si="407"/>
        <v>1060</v>
      </c>
      <c r="DV705" s="738" t="s">
        <v>5891</v>
      </c>
      <c r="DW705" s="166">
        <v>0</v>
      </c>
      <c r="DX705" s="522">
        <f>ROUND(((DW705-(DW705/6))/$DD$3)*$DE$3,2)</f>
        <v>0</v>
      </c>
      <c r="DY705" s="523"/>
      <c r="DZ705" s="524">
        <f>IF(DY705="",DX705,
IF(AND($DW$10&gt;=VLOOKUP(DY705,$DV$5:$DZ$9,2,0),$DW$10&lt;=VLOOKUP(DY705,$DV$5:$DZ$9,3,0)),
(DX705*(1-VLOOKUP(DY705,$DV$5:$DZ$9,4,0))),
DX705))</f>
        <v>0</v>
      </c>
    </row>
    <row r="706" spans="51:130">
      <c r="AY706" s="58" t="s">
        <v>361</v>
      </c>
      <c r="AZ706" s="56" t="s">
        <v>95</v>
      </c>
      <c r="BA706" s="70" t="str">
        <f t="shared" si="402"/>
        <v>КД Verto-FIT Plus.I.стандарт</v>
      </c>
      <c r="BW706" s="737" t="s">
        <v>2963</v>
      </c>
      <c r="BX706" s="786" t="s">
        <v>4220</v>
      </c>
      <c r="BY706" s="135" t="str">
        <f t="shared" si="400"/>
        <v>ДП Елегант.5.Малюнок</v>
      </c>
      <c r="CA706" s="146" t="s">
        <v>3309</v>
      </c>
      <c r="CB706" s="783" t="s">
        <v>5758</v>
      </c>
      <c r="CC706" s="138" t="str">
        <f t="shared" si="406"/>
        <v>ДП Єва.фальц..робоча..Stand ст Лів +3завіс</v>
      </c>
      <c r="DD706" s="740" t="s">
        <v>5248</v>
      </c>
      <c r="DE706" s="166">
        <v>8780</v>
      </c>
      <c r="DF706" s="528">
        <f t="shared" si="393"/>
        <v>8780</v>
      </c>
      <c r="DG706" s="529" t="s">
        <v>6466</v>
      </c>
      <c r="DH706" s="530">
        <f t="shared" ca="1" si="385"/>
        <v>8780</v>
      </c>
      <c r="DP706" s="737" t="s">
        <v>4230</v>
      </c>
      <c r="DQ706" s="163">
        <v>0</v>
      </c>
      <c r="DR706" s="528">
        <f t="shared" si="405"/>
        <v>0</v>
      </c>
      <c r="DS706" s="529"/>
      <c r="DT706" s="530">
        <f t="shared" si="407"/>
        <v>0</v>
      </c>
      <c r="DV706" s="738" t="s">
        <v>4702</v>
      </c>
      <c r="DW706" s="166">
        <v>550</v>
      </c>
      <c r="DX706" s="522">
        <f t="shared" si="403"/>
        <v>550</v>
      </c>
      <c r="DY706" s="523"/>
      <c r="DZ706" s="524">
        <f t="shared" si="404"/>
        <v>550</v>
      </c>
    </row>
    <row r="707" spans="51:130">
      <c r="AY707" s="227"/>
      <c r="AZ707" s="222"/>
      <c r="BA707" s="223"/>
      <c r="BW707" s="738" t="s">
        <v>2963</v>
      </c>
      <c r="BX707" s="770" t="s">
        <v>3851</v>
      </c>
      <c r="BY707" s="138" t="str">
        <f t="shared" si="400"/>
        <v>ДП Елегант.5.Графіт</v>
      </c>
      <c r="CA707" s="146" t="s">
        <v>3309</v>
      </c>
      <c r="CB707" s="783" t="s">
        <v>5759</v>
      </c>
      <c r="CC707" s="138" t="str">
        <f t="shared" si="406"/>
        <v>ДП Єва.фальц..робоча..Stand ст Пр +3завіс</v>
      </c>
      <c r="DD707" s="740" t="s">
        <v>5249</v>
      </c>
      <c r="DE707" s="166">
        <v>8850</v>
      </c>
      <c r="DF707" s="528">
        <f t="shared" si="393"/>
        <v>8850</v>
      </c>
      <c r="DG707" s="529" t="s">
        <v>6466</v>
      </c>
      <c r="DH707" s="530">
        <f t="shared" ca="1" si="385"/>
        <v>8850</v>
      </c>
      <c r="DP707" s="738" t="s">
        <v>4032</v>
      </c>
      <c r="DQ707" s="166">
        <v>780</v>
      </c>
      <c r="DR707" s="522">
        <f t="shared" si="405"/>
        <v>780</v>
      </c>
      <c r="DS707" s="523"/>
      <c r="DT707" s="524">
        <f t="shared" si="407"/>
        <v>780</v>
      </c>
      <c r="DV707" s="738" t="s">
        <v>4703</v>
      </c>
      <c r="DW707" s="166">
        <v>550</v>
      </c>
      <c r="DX707" s="522">
        <f t="shared" si="403"/>
        <v>550</v>
      </c>
      <c r="DY707" s="523"/>
      <c r="DZ707" s="524">
        <f t="shared" si="404"/>
        <v>550</v>
      </c>
    </row>
    <row r="708" spans="51:130">
      <c r="AY708" s="58" t="s">
        <v>1043</v>
      </c>
      <c r="AZ708" s="56" t="s">
        <v>680</v>
      </c>
      <c r="BA708" s="541" t="str">
        <f t="shared" ref="BA708:BA717" si="408">CONCATENATE(AY708,".",AZ708)</f>
        <v>КД Verto-FIT Comfort.A.стандарт.</v>
      </c>
      <c r="BW708" s="738" t="s">
        <v>2963</v>
      </c>
      <c r="BX708" s="247" t="s">
        <v>832</v>
      </c>
      <c r="BY708" s="138" t="str">
        <f t="shared" si="400"/>
        <v>ДП Елегант.5.Бронза</v>
      </c>
      <c r="CA708" s="146" t="s">
        <v>3309</v>
      </c>
      <c r="CC708" s="138"/>
      <c r="DD708" s="740" t="s">
        <v>5250</v>
      </c>
      <c r="DE708" s="166">
        <v>8850</v>
      </c>
      <c r="DF708" s="528">
        <f t="shared" si="393"/>
        <v>8850</v>
      </c>
      <c r="DG708" s="529" t="s">
        <v>6466</v>
      </c>
      <c r="DH708" s="530">
        <f t="shared" ca="1" si="385"/>
        <v>8850</v>
      </c>
      <c r="DP708" s="165" t="s">
        <v>484</v>
      </c>
      <c r="DQ708" s="166">
        <v>780</v>
      </c>
      <c r="DR708" s="522">
        <f t="shared" si="405"/>
        <v>780</v>
      </c>
      <c r="DS708" s="523"/>
      <c r="DT708" s="524">
        <f t="shared" si="407"/>
        <v>780</v>
      </c>
      <c r="DV708" s="738" t="s">
        <v>4704</v>
      </c>
      <c r="DW708" s="166">
        <v>800</v>
      </c>
      <c r="DX708" s="522">
        <f>ROUND(((DW708-(DW708/6))/$DD$3)*$DE$3,2)</f>
        <v>800</v>
      </c>
      <c r="DY708" s="523"/>
      <c r="DZ708" s="524">
        <f>IF(DY708="",DX708,
IF(AND($DW$10&gt;=VLOOKUP(DY708,$DV$5:$DZ$9,2,0),$DW$10&lt;=VLOOKUP(DY708,$DV$5:$DZ$9,3,0)),
(DX708*(1-VLOOKUP(DY708,$DV$5:$DZ$9,4,0))),
DX708))</f>
        <v>800</v>
      </c>
    </row>
    <row r="709" spans="51:130">
      <c r="AY709" s="58" t="s">
        <v>1044</v>
      </c>
      <c r="AZ709" s="56" t="s">
        <v>680</v>
      </c>
      <c r="BA709" s="541" t="str">
        <f t="shared" si="408"/>
        <v>КД Verto-FIT Comfort.B.стандарт.</v>
      </c>
      <c r="BW709" s="738" t="s">
        <v>2963</v>
      </c>
      <c r="BX709" s="247" t="s">
        <v>461</v>
      </c>
      <c r="BY709" s="138" t="str">
        <f t="shared" si="400"/>
        <v>ДП Елегант.5.Трипл. мат</v>
      </c>
      <c r="CA709" s="146" t="s">
        <v>3309</v>
      </c>
      <c r="CB709" s="137" t="s">
        <v>4304</v>
      </c>
      <c r="CC709" s="138" t="str">
        <f>CONCATENATE(CA709,".",CB709)</f>
        <v>ДП Єва.фальц..робоча..Soft цл +3завіс</v>
      </c>
      <c r="DD709" s="740" t="s">
        <v>5251</v>
      </c>
      <c r="DE709" s="166">
        <v>8930</v>
      </c>
      <c r="DF709" s="528">
        <f t="shared" si="393"/>
        <v>8930</v>
      </c>
      <c r="DG709" s="529" t="s">
        <v>6466</v>
      </c>
      <c r="DH709" s="530">
        <f t="shared" ca="1" si="385"/>
        <v>8930</v>
      </c>
      <c r="DP709" s="165" t="s">
        <v>277</v>
      </c>
      <c r="DQ709" s="166">
        <v>1060</v>
      </c>
      <c r="DR709" s="522">
        <f t="shared" si="405"/>
        <v>1060</v>
      </c>
      <c r="DS709" s="523"/>
      <c r="DT709" s="524">
        <f t="shared" si="407"/>
        <v>1060</v>
      </c>
      <c r="DV709" s="739" t="s">
        <v>4705</v>
      </c>
      <c r="DW709" s="164">
        <v>800</v>
      </c>
      <c r="DX709" s="525">
        <f>ROUND(((DW709-(DW709/6))/$DD$3)*$DE$3,2)</f>
        <v>800</v>
      </c>
      <c r="DY709" s="526"/>
      <c r="DZ709" s="527">
        <f>IF(DY709="",DX709,
IF(AND($DW$10&gt;=VLOOKUP(DY709,$DV$5:$DZ$9,2,0),$DW$10&lt;=VLOOKUP(DY709,$DV$5:$DZ$9,3,0)),
(DX709*(1-VLOOKUP(DY709,$DV$5:$DZ$9,4,0))),
DX709))</f>
        <v>800</v>
      </c>
    </row>
    <row r="710" spans="51:130">
      <c r="AY710" s="58" t="s">
        <v>1278</v>
      </c>
      <c r="AZ710" s="56" t="s">
        <v>680</v>
      </c>
      <c r="BA710" s="541" t="str">
        <f>CONCATENATE(AY710,".",AZ710)</f>
        <v>КД Verto-FIT Comfort.B+.стандарт.</v>
      </c>
      <c r="BW710" s="739" t="s">
        <v>2963</v>
      </c>
      <c r="BX710" s="248" t="s">
        <v>460</v>
      </c>
      <c r="BY710" s="139" t="str">
        <f t="shared" si="400"/>
        <v>ДП Елегант.5.Трипл. чер</v>
      </c>
      <c r="CA710" s="146" t="s">
        <v>3309</v>
      </c>
      <c r="CB710" s="137" t="s">
        <v>4307</v>
      </c>
      <c r="CC710" s="138" t="str">
        <f>CONCATENATE(CA710,".",CB710)</f>
        <v>ДП Єва.фальц..робоча..Soft ст +3завіс</v>
      </c>
      <c r="DD710" s="741" t="s">
        <v>5252</v>
      </c>
      <c r="DE710" s="164">
        <v>8930</v>
      </c>
      <c r="DF710" s="528">
        <f t="shared" si="393"/>
        <v>8930</v>
      </c>
      <c r="DG710" s="529" t="s">
        <v>6466</v>
      </c>
      <c r="DH710" s="530">
        <f t="shared" ca="1" si="385"/>
        <v>8930</v>
      </c>
      <c r="DP710" s="108" t="s">
        <v>278</v>
      </c>
      <c r="DQ710" s="164">
        <v>1060</v>
      </c>
      <c r="DR710" s="525">
        <f t="shared" si="405"/>
        <v>1060</v>
      </c>
      <c r="DS710" s="526"/>
      <c r="DT710" s="527">
        <f t="shared" si="407"/>
        <v>1060</v>
      </c>
      <c r="DV710" s="738" t="s">
        <v>6378</v>
      </c>
      <c r="DW710" s="166">
        <v>1</v>
      </c>
      <c r="DX710" s="522">
        <f t="shared" si="403"/>
        <v>1</v>
      </c>
      <c r="DY710" s="523"/>
      <c r="DZ710" s="524">
        <f t="shared" si="404"/>
        <v>1</v>
      </c>
    </row>
    <row r="711" spans="51:130">
      <c r="AY711" s="58" t="s">
        <v>1045</v>
      </c>
      <c r="AZ711" s="56" t="s">
        <v>680</v>
      </c>
      <c r="BA711" s="541" t="str">
        <f t="shared" si="408"/>
        <v>КД Verto-FIT Comfort.C.стандарт.</v>
      </c>
      <c r="BW711" s="737" t="s">
        <v>2964</v>
      </c>
      <c r="BX711" s="786" t="s">
        <v>4220</v>
      </c>
      <c r="BY711" s="135" t="str">
        <f t="shared" si="400"/>
        <v>ДП Елегант.6.Малюнок</v>
      </c>
      <c r="CA711" s="146" t="s">
        <v>3309</v>
      </c>
      <c r="CB711" s="21"/>
      <c r="CC711" s="21"/>
      <c r="DD711" s="641"/>
      <c r="DE711" s="642"/>
      <c r="DF711" s="643"/>
      <c r="DG711" s="644"/>
      <c r="DH711" s="645"/>
      <c r="DP711" s="737" t="s">
        <v>4231</v>
      </c>
      <c r="DQ711" s="163">
        <v>0</v>
      </c>
      <c r="DR711" s="528">
        <f t="shared" si="405"/>
        <v>0</v>
      </c>
      <c r="DS711" s="529"/>
      <c r="DT711" s="530">
        <f t="shared" si="407"/>
        <v>0</v>
      </c>
      <c r="DV711" s="739" t="s">
        <v>6379</v>
      </c>
      <c r="DW711" s="164">
        <v>1</v>
      </c>
      <c r="DX711" s="525">
        <f t="shared" si="403"/>
        <v>1</v>
      </c>
      <c r="DY711" s="526"/>
      <c r="DZ711" s="527">
        <f t="shared" si="404"/>
        <v>1</v>
      </c>
    </row>
    <row r="712" spans="51:130">
      <c r="AY712" s="58" t="s">
        <v>1046</v>
      </c>
      <c r="AZ712" s="56" t="s">
        <v>680</v>
      </c>
      <c r="BA712" s="541" t="str">
        <f t="shared" si="408"/>
        <v>КД Verto-FIT Comfort.D.стандарт.</v>
      </c>
      <c r="BW712" s="738" t="s">
        <v>2964</v>
      </c>
      <c r="BX712" s="770" t="s">
        <v>3851</v>
      </c>
      <c r="BY712" s="138" t="str">
        <f t="shared" si="400"/>
        <v>ДП Елегант.6.Графіт</v>
      </c>
      <c r="CA712" s="146" t="s">
        <v>3309</v>
      </c>
      <c r="CB712" s="137" t="s">
        <v>4316</v>
      </c>
      <c r="CC712" s="138" t="str">
        <f>CONCATENATE(CA712,".",CB712)</f>
        <v>ДП Єва.фальц..робоча..Magnet цл +3завіс</v>
      </c>
      <c r="DD712" s="251" t="s">
        <v>2756</v>
      </c>
      <c r="DE712" s="163">
        <v>6160.0000000000009</v>
      </c>
      <c r="DF712" s="528">
        <f>ROUND(((DE712-(DE712/6))/$DD$3)*$DE$3,2)</f>
        <v>6160</v>
      </c>
      <c r="DG712" s="529"/>
      <c r="DH712" s="530">
        <f t="shared" ref="DH712:DH720" si="409">IF(DG712="",DF712,
IF(AND($DE$10&gt;=VLOOKUP(DG712,$DD$5:$DH$9,2,0),$DE$10&lt;=VLOOKUP(DG712,$DD$5:$DH$9,3,0)),
(DF712*(1-VLOOKUP(DG712,$DD$5:$DH$9,4,0))),
DF712))</f>
        <v>6160</v>
      </c>
      <c r="DP712" s="738" t="s">
        <v>4033</v>
      </c>
      <c r="DQ712" s="166">
        <v>780</v>
      </c>
      <c r="DR712" s="522">
        <f t="shared" si="405"/>
        <v>780</v>
      </c>
      <c r="DS712" s="523"/>
      <c r="DT712" s="524">
        <f t="shared" si="407"/>
        <v>780</v>
      </c>
      <c r="DV712" s="737" t="s">
        <v>4706</v>
      </c>
      <c r="DW712" s="163">
        <v>0</v>
      </c>
      <c r="DX712" s="528">
        <f t="shared" si="403"/>
        <v>0</v>
      </c>
      <c r="DY712" s="529"/>
      <c r="DZ712" s="530">
        <f t="shared" si="404"/>
        <v>0</v>
      </c>
    </row>
    <row r="713" spans="51:130">
      <c r="AY713" s="58" t="s">
        <v>1047</v>
      </c>
      <c r="AZ713" s="56" t="s">
        <v>680</v>
      </c>
      <c r="BA713" s="541" t="str">
        <f t="shared" si="408"/>
        <v>КД Verto-FIT Comfort.E.стандарт.</v>
      </c>
      <c r="BW713" s="738" t="s">
        <v>2964</v>
      </c>
      <c r="BX713" s="247" t="s">
        <v>832</v>
      </c>
      <c r="BY713" s="138" t="str">
        <f t="shared" si="400"/>
        <v>ДП Елегант.6.Бронза</v>
      </c>
      <c r="CA713" s="147" t="s">
        <v>3309</v>
      </c>
      <c r="CB713" s="62" t="s">
        <v>4319</v>
      </c>
      <c r="CC713" s="139" t="str">
        <f>CONCATENATE(CA713,".",CB713)</f>
        <v>ДП Єва.фальц..робоча..Magnet ст +3завіс</v>
      </c>
      <c r="DD713" s="250" t="s">
        <v>2757</v>
      </c>
      <c r="DE713" s="166">
        <v>6160.0000000000009</v>
      </c>
      <c r="DF713" s="528">
        <f t="shared" ref="DF713:DF756" si="410">ROUND(((DE713-(DE713/6))/$DD$3)*$DE$3,2)</f>
        <v>6160</v>
      </c>
      <c r="DG713" s="523"/>
      <c r="DH713" s="524">
        <f t="shared" si="409"/>
        <v>6160</v>
      </c>
      <c r="DP713" s="165" t="s">
        <v>485</v>
      </c>
      <c r="DQ713" s="166">
        <v>780</v>
      </c>
      <c r="DR713" s="522">
        <f t="shared" si="405"/>
        <v>780</v>
      </c>
      <c r="DS713" s="523"/>
      <c r="DT713" s="524">
        <f t="shared" si="407"/>
        <v>780</v>
      </c>
      <c r="DV713" s="738" t="s">
        <v>4707</v>
      </c>
      <c r="DW713" s="166">
        <v>0</v>
      </c>
      <c r="DX713" s="522">
        <f t="shared" si="403"/>
        <v>0</v>
      </c>
      <c r="DY713" s="523"/>
      <c r="DZ713" s="524">
        <f t="shared" si="404"/>
        <v>0</v>
      </c>
    </row>
    <row r="714" spans="51:130">
      <c r="AY714" s="58" t="s">
        <v>1048</v>
      </c>
      <c r="AZ714" s="56" t="s">
        <v>680</v>
      </c>
      <c r="BA714" s="541" t="str">
        <f t="shared" si="408"/>
        <v>КД Verto-FIT Comfort.F.стандарт.</v>
      </c>
      <c r="BW714" s="738" t="s">
        <v>2964</v>
      </c>
      <c r="BX714" s="247" t="s">
        <v>461</v>
      </c>
      <c r="BY714" s="138" t="str">
        <f t="shared" si="400"/>
        <v>ДП Елегант.6.Трипл. мат</v>
      </c>
      <c r="CA714" s="145" t="s">
        <v>3310</v>
      </c>
      <c r="CB714" s="134" t="s">
        <v>4106</v>
      </c>
      <c r="CC714" s="135" t="str">
        <f>CONCATENATE(CA714,".",CB714)</f>
        <v>ДП Єва.фальц..неробоча..(ні)</v>
      </c>
      <c r="DD714" s="250" t="s">
        <v>2758</v>
      </c>
      <c r="DE714" s="166">
        <v>6160.0000000000009</v>
      </c>
      <c r="DF714" s="528">
        <f t="shared" si="410"/>
        <v>6160</v>
      </c>
      <c r="DG714" s="523"/>
      <c r="DH714" s="524">
        <f t="shared" si="409"/>
        <v>6160</v>
      </c>
      <c r="DP714" s="165" t="s">
        <v>279</v>
      </c>
      <c r="DQ714" s="166">
        <v>1060</v>
      </c>
      <c r="DR714" s="522">
        <f t="shared" si="405"/>
        <v>1060</v>
      </c>
      <c r="DS714" s="523"/>
      <c r="DT714" s="524">
        <f t="shared" si="407"/>
        <v>1060</v>
      </c>
      <c r="DV714" s="739" t="s">
        <v>4708</v>
      </c>
      <c r="DW714" s="164">
        <v>0</v>
      </c>
      <c r="DX714" s="531">
        <f t="shared" ref="DX714:DX720" si="411">ROUND(((DW714-(DW714/6))/$DD$3)*$DE$3,2)</f>
        <v>0</v>
      </c>
      <c r="DY714" s="526"/>
      <c r="DZ714" s="527">
        <f t="shared" ref="DZ714:DZ720" si="412">IF(DY714="",DX714,
IF(AND($DW$10&gt;=VLOOKUP(DY714,$DV$5:$DZ$9,2,0),$DW$10&lt;=VLOOKUP(DY714,$DV$5:$DZ$9,3,0)),
(DX714*(1-VLOOKUP(DY714,$DV$5:$DZ$9,4,0))),
DX714))</f>
        <v>0</v>
      </c>
    </row>
    <row r="715" spans="51:130">
      <c r="AY715" s="58" t="s">
        <v>1049</v>
      </c>
      <c r="AZ715" s="56" t="s">
        <v>680</v>
      </c>
      <c r="BA715" s="541" t="str">
        <f t="shared" si="408"/>
        <v>КД Verto-FIT Comfort.G.стандарт.</v>
      </c>
      <c r="BW715" s="739" t="s">
        <v>2964</v>
      </c>
      <c r="BX715" s="248" t="s">
        <v>460</v>
      </c>
      <c r="BY715" s="139" t="str">
        <f t="shared" si="400"/>
        <v>ДП Елегант.6.Трипл. чер</v>
      </c>
      <c r="CA715" s="146" t="s">
        <v>3310</v>
      </c>
      <c r="CB715" s="21"/>
      <c r="CC715" s="21"/>
      <c r="DD715" s="250" t="s">
        <v>2759</v>
      </c>
      <c r="DE715" s="166">
        <v>6160.0000000000009</v>
      </c>
      <c r="DF715" s="528">
        <f t="shared" si="410"/>
        <v>6160</v>
      </c>
      <c r="DG715" s="523"/>
      <c r="DH715" s="524">
        <f t="shared" si="409"/>
        <v>6160</v>
      </c>
      <c r="DP715" s="108" t="s">
        <v>280</v>
      </c>
      <c r="DQ715" s="164">
        <v>1060</v>
      </c>
      <c r="DR715" s="525">
        <f t="shared" si="405"/>
        <v>1060</v>
      </c>
      <c r="DS715" s="526"/>
      <c r="DT715" s="527">
        <f t="shared" si="407"/>
        <v>1060</v>
      </c>
      <c r="DV715" s="738" t="s">
        <v>4709</v>
      </c>
      <c r="DW715" s="166">
        <v>800</v>
      </c>
      <c r="DX715" s="522">
        <f t="shared" si="411"/>
        <v>800</v>
      </c>
      <c r="DY715" s="523"/>
      <c r="DZ715" s="524">
        <f t="shared" si="412"/>
        <v>800</v>
      </c>
    </row>
    <row r="716" spans="51:130">
      <c r="AY716" s="58" t="s">
        <v>1050</v>
      </c>
      <c r="AZ716" s="56" t="s">
        <v>680</v>
      </c>
      <c r="BA716" s="541" t="str">
        <f t="shared" si="408"/>
        <v>КД Verto-FIT Comfort.H.стандарт.</v>
      </c>
      <c r="BW716" s="737" t="s">
        <v>2965</v>
      </c>
      <c r="BX716" s="786" t="s">
        <v>4220</v>
      </c>
      <c r="BY716" s="135" t="str">
        <f t="shared" si="400"/>
        <v>ДП Елегант.7.Малюнок</v>
      </c>
      <c r="CA716" s="146" t="s">
        <v>3310</v>
      </c>
      <c r="CB716" s="783" t="s">
        <v>4325</v>
      </c>
      <c r="CC716" s="138" t="str">
        <f>CONCATENATE(CA716,".",CB716)</f>
        <v>ДП Єва.фальц..неробоча..Пл Stand +3завіс</v>
      </c>
      <c r="DD716" s="250" t="s">
        <v>2760</v>
      </c>
      <c r="DE716" s="166">
        <v>6160.0000000000009</v>
      </c>
      <c r="DF716" s="528">
        <f t="shared" si="410"/>
        <v>6160</v>
      </c>
      <c r="DG716" s="523"/>
      <c r="DH716" s="524">
        <f t="shared" si="409"/>
        <v>6160</v>
      </c>
      <c r="DP716" s="737" t="s">
        <v>4232</v>
      </c>
      <c r="DQ716" s="163">
        <v>0</v>
      </c>
      <c r="DR716" s="528">
        <f t="shared" si="405"/>
        <v>0</v>
      </c>
      <c r="DS716" s="529"/>
      <c r="DT716" s="530">
        <f t="shared" si="407"/>
        <v>0</v>
      </c>
      <c r="DV716" s="738" t="s">
        <v>4710</v>
      </c>
      <c r="DW716" s="166">
        <v>800</v>
      </c>
      <c r="DX716" s="522">
        <f t="shared" si="411"/>
        <v>800</v>
      </c>
      <c r="DY716" s="523"/>
      <c r="DZ716" s="524">
        <f t="shared" si="412"/>
        <v>800</v>
      </c>
    </row>
    <row r="717" spans="51:130">
      <c r="AY717" s="58" t="s">
        <v>1051</v>
      </c>
      <c r="AZ717" s="56" t="s">
        <v>680</v>
      </c>
      <c r="BA717" s="541" t="str">
        <f t="shared" si="408"/>
        <v>КД Verto-FIT Comfort.I.стандарт.</v>
      </c>
      <c r="BW717" s="738" t="s">
        <v>2965</v>
      </c>
      <c r="BX717" s="770" t="s">
        <v>3851</v>
      </c>
      <c r="BY717" s="138" t="str">
        <f t="shared" si="400"/>
        <v>ДП Елегант.7.Графіт</v>
      </c>
      <c r="CA717" s="146" t="s">
        <v>3310</v>
      </c>
      <c r="CB717" s="783" t="s">
        <v>4333</v>
      </c>
      <c r="CC717" s="138" t="str">
        <f>CONCATENATE(CA717,".",CB717)</f>
        <v>ДП Єва.фальц..неробоча..Пл Soft +3завіс</v>
      </c>
      <c r="DD717" s="250" t="s">
        <v>2761</v>
      </c>
      <c r="DE717" s="166">
        <v>6160.0000000000009</v>
      </c>
      <c r="DF717" s="528">
        <f t="shared" si="410"/>
        <v>6160</v>
      </c>
      <c r="DG717" s="523"/>
      <c r="DH717" s="524">
        <f t="shared" si="409"/>
        <v>6160</v>
      </c>
      <c r="DP717" s="738" t="s">
        <v>4034</v>
      </c>
      <c r="DQ717" s="166">
        <v>780</v>
      </c>
      <c r="DR717" s="522">
        <f t="shared" si="405"/>
        <v>780</v>
      </c>
      <c r="DS717" s="523"/>
      <c r="DT717" s="524">
        <f t="shared" si="407"/>
        <v>780</v>
      </c>
      <c r="DV717" s="738" t="s">
        <v>4711</v>
      </c>
      <c r="DW717" s="166">
        <v>800</v>
      </c>
      <c r="DX717" s="522">
        <f t="shared" si="411"/>
        <v>800</v>
      </c>
      <c r="DY717" s="523"/>
      <c r="DZ717" s="524">
        <f t="shared" si="412"/>
        <v>800</v>
      </c>
    </row>
    <row r="718" spans="51:130">
      <c r="AY718" s="227"/>
      <c r="AZ718" s="222"/>
      <c r="BA718" s="223"/>
      <c r="BW718" s="738" t="s">
        <v>2965</v>
      </c>
      <c r="BX718" s="247" t="s">
        <v>832</v>
      </c>
      <c r="BY718" s="138" t="str">
        <f t="shared" si="400"/>
        <v>ДП Елегант.7.Бронза</v>
      </c>
      <c r="CA718" s="147" t="s">
        <v>3310</v>
      </c>
      <c r="CB718" s="152" t="s">
        <v>4336</v>
      </c>
      <c r="CC718" s="139" t="str">
        <f>CONCATENATE(CA718,".",CB718)</f>
        <v>ДП Єва.фальц..неробоча..Пл Magnet +3завіс</v>
      </c>
      <c r="DD718" s="250" t="s">
        <v>2762</v>
      </c>
      <c r="DE718" s="166">
        <v>6160.0000000000009</v>
      </c>
      <c r="DF718" s="528">
        <f t="shared" si="410"/>
        <v>6160</v>
      </c>
      <c r="DG718" s="523"/>
      <c r="DH718" s="524">
        <f t="shared" si="409"/>
        <v>6160</v>
      </c>
      <c r="DP718" s="165" t="s">
        <v>486</v>
      </c>
      <c r="DQ718" s="166">
        <v>780</v>
      </c>
      <c r="DR718" s="522">
        <f t="shared" si="405"/>
        <v>780</v>
      </c>
      <c r="DS718" s="523"/>
      <c r="DT718" s="524">
        <f t="shared" si="407"/>
        <v>780</v>
      </c>
      <c r="DV718" s="738" t="s">
        <v>4712</v>
      </c>
      <c r="DW718" s="166">
        <v>800</v>
      </c>
      <c r="DX718" s="522">
        <f t="shared" si="411"/>
        <v>800</v>
      </c>
      <c r="DY718" s="523"/>
      <c r="DZ718" s="524">
        <f t="shared" si="412"/>
        <v>800</v>
      </c>
    </row>
    <row r="719" spans="51:130">
      <c r="AY719" s="58" t="s">
        <v>305</v>
      </c>
      <c r="AZ719" s="56" t="s">
        <v>337</v>
      </c>
      <c r="BA719" s="70" t="str">
        <f t="shared" si="394"/>
        <v>РС Verto-SLIDE.1.стандарт,</v>
      </c>
      <c r="BW719" s="738" t="s">
        <v>2965</v>
      </c>
      <c r="BX719" s="247" t="s">
        <v>461</v>
      </c>
      <c r="BY719" s="138" t="str">
        <f t="shared" si="400"/>
        <v>ДП Елегант.7.Трипл. мат</v>
      </c>
      <c r="CA719" s="146" t="s">
        <v>3311</v>
      </c>
      <c r="CB719" s="137" t="s">
        <v>4106</v>
      </c>
      <c r="CC719" s="239" t="str">
        <f>CONCATENATE(CA719,".",CB719)</f>
        <v>ДП Єва.б/з фальц..робоча..(ні)</v>
      </c>
      <c r="DD719" s="250" t="s">
        <v>2763</v>
      </c>
      <c r="DE719" s="166">
        <v>6160.0000000000009</v>
      </c>
      <c r="DF719" s="528">
        <f t="shared" si="410"/>
        <v>6160</v>
      </c>
      <c r="DG719" s="523"/>
      <c r="DH719" s="524">
        <f t="shared" si="409"/>
        <v>6160</v>
      </c>
      <c r="DP719" s="165" t="s">
        <v>281</v>
      </c>
      <c r="DQ719" s="166">
        <v>1060</v>
      </c>
      <c r="DR719" s="522">
        <f t="shared" si="405"/>
        <v>1060</v>
      </c>
      <c r="DS719" s="523"/>
      <c r="DT719" s="524">
        <f t="shared" si="407"/>
        <v>1060</v>
      </c>
      <c r="DV719" s="738" t="s">
        <v>4713</v>
      </c>
      <c r="DW719" s="166">
        <v>800</v>
      </c>
      <c r="DX719" s="522">
        <f t="shared" si="411"/>
        <v>800</v>
      </c>
      <c r="DY719" s="523"/>
      <c r="DZ719" s="524">
        <f t="shared" si="412"/>
        <v>800</v>
      </c>
    </row>
    <row r="720" spans="51:130">
      <c r="AY720" s="227"/>
      <c r="AZ720" s="222"/>
      <c r="BA720" s="223"/>
      <c r="BW720" s="739" t="s">
        <v>2965</v>
      </c>
      <c r="BX720" s="248" t="s">
        <v>460</v>
      </c>
      <c r="BY720" s="139" t="str">
        <f t="shared" si="400"/>
        <v>ДП Елегант.7.Трипл. чер</v>
      </c>
      <c r="CA720" s="146" t="s">
        <v>3311</v>
      </c>
      <c r="CB720" s="97"/>
      <c r="CC720" s="97"/>
      <c r="DD720" s="249" t="s">
        <v>2764</v>
      </c>
      <c r="DE720" s="164">
        <v>6160.0000000000009</v>
      </c>
      <c r="DF720" s="528">
        <f t="shared" si="410"/>
        <v>6160</v>
      </c>
      <c r="DG720" s="526"/>
      <c r="DH720" s="527">
        <f t="shared" si="409"/>
        <v>6160</v>
      </c>
      <c r="DP720" s="108" t="s">
        <v>282</v>
      </c>
      <c r="DQ720" s="164">
        <v>1060</v>
      </c>
      <c r="DR720" s="525">
        <f t="shared" si="405"/>
        <v>1060</v>
      </c>
      <c r="DS720" s="526"/>
      <c r="DT720" s="527">
        <f t="shared" si="407"/>
        <v>1060</v>
      </c>
      <c r="DV720" s="739" t="s">
        <v>4714</v>
      </c>
      <c r="DW720" s="166">
        <v>800</v>
      </c>
      <c r="DX720" s="525">
        <f t="shared" si="411"/>
        <v>800</v>
      </c>
      <c r="DY720" s="526"/>
      <c r="DZ720" s="527">
        <f t="shared" si="412"/>
        <v>800</v>
      </c>
    </row>
    <row r="721" spans="51:130">
      <c r="AY721" s="58" t="s">
        <v>306</v>
      </c>
      <c r="AZ721" s="563" t="s">
        <v>95</v>
      </c>
      <c r="BA721" s="70" t="str">
        <f t="shared" si="394"/>
        <v>ФР Standard.1.стандарт</v>
      </c>
      <c r="BW721" s="432"/>
      <c r="BX721" s="432"/>
      <c r="BY721" s="432"/>
      <c r="CA721" s="146" t="s">
        <v>3311</v>
      </c>
      <c r="CB721" s="478" t="s">
        <v>4337</v>
      </c>
      <c r="CC721" s="239" t="str">
        <f>CONCATENATE(CA721,".",CB721)</f>
        <v>ДП Єва.б/з фальц..робоча..Magnet цл б/з завіс.</v>
      </c>
      <c r="DD721" s="250" t="s">
        <v>2765</v>
      </c>
      <c r="DE721" s="166">
        <v>7020</v>
      </c>
      <c r="DF721" s="528">
        <f t="shared" si="410"/>
        <v>7020</v>
      </c>
      <c r="DG721" s="523"/>
      <c r="DH721" s="524">
        <f t="shared" ref="DH721:DH729" si="413">IF(DG721="",DF721,
IF(AND($DE$10&gt;=VLOOKUP(DG721,$DD$5:$DH$9,2,0),$DE$10&lt;=VLOOKUP(DG721,$DD$5:$DH$9,3,0)),
(DF721*(1-VLOOKUP(DG721,$DD$5:$DH$9,4,0))),
DF721))</f>
        <v>7020</v>
      </c>
      <c r="DP721" s="737" t="s">
        <v>4233</v>
      </c>
      <c r="DQ721" s="163">
        <v>0</v>
      </c>
      <c r="DR721" s="528">
        <f t="shared" si="405"/>
        <v>0</v>
      </c>
      <c r="DS721" s="529"/>
      <c r="DT721" s="530">
        <f t="shared" si="407"/>
        <v>0</v>
      </c>
      <c r="DV721" s="739" t="s">
        <v>6380</v>
      </c>
      <c r="DW721" s="164">
        <v>0</v>
      </c>
      <c r="DX721" s="531">
        <f t="shared" si="403"/>
        <v>0</v>
      </c>
      <c r="DY721" s="526"/>
      <c r="DZ721" s="527">
        <f t="shared" si="404"/>
        <v>0</v>
      </c>
    </row>
    <row r="722" spans="51:130">
      <c r="AY722" s="227"/>
      <c r="AZ722" s="564"/>
      <c r="BA722" s="223"/>
      <c r="BW722" s="165" t="s">
        <v>603</v>
      </c>
      <c r="BX722" s="247" t="s">
        <v>458</v>
      </c>
      <c r="BY722" s="138" t="str">
        <f t="shared" ref="BY722:BY751" si="414">CONCATENATE(BW722,".",BX722)</f>
        <v>ДП ГЛАСФОРД.1.Сатин</v>
      </c>
      <c r="CA722" s="146" t="s">
        <v>3311</v>
      </c>
      <c r="CB722" s="478" t="s">
        <v>4339</v>
      </c>
      <c r="CC722" s="239" t="str">
        <f>CONCATENATE(CA722,".",CB722)</f>
        <v>ДП Єва.б/з фальц..робоча..Magnet ст б/з завіс.</v>
      </c>
      <c r="DD722" s="250" t="s">
        <v>2766</v>
      </c>
      <c r="DE722" s="166">
        <v>7020</v>
      </c>
      <c r="DF722" s="528">
        <f t="shared" si="410"/>
        <v>7020</v>
      </c>
      <c r="DG722" s="523"/>
      <c r="DH722" s="524">
        <f t="shared" si="413"/>
        <v>7020</v>
      </c>
      <c r="DP722" s="738" t="s">
        <v>4035</v>
      </c>
      <c r="DQ722" s="166">
        <v>780</v>
      </c>
      <c r="DR722" s="522">
        <f t="shared" si="405"/>
        <v>780</v>
      </c>
      <c r="DS722" s="523"/>
      <c r="DT722" s="524">
        <f t="shared" si="407"/>
        <v>780</v>
      </c>
      <c r="DV722" s="738" t="s">
        <v>6381</v>
      </c>
      <c r="DW722" s="166">
        <v>1</v>
      </c>
      <c r="DX722" s="522">
        <f t="shared" si="403"/>
        <v>1</v>
      </c>
      <c r="DY722" s="523"/>
      <c r="DZ722" s="524">
        <f t="shared" si="404"/>
        <v>1</v>
      </c>
    </row>
    <row r="723" spans="51:130">
      <c r="AY723" s="58" t="s">
        <v>307</v>
      </c>
      <c r="AZ723" s="563" t="s">
        <v>95</v>
      </c>
      <c r="BA723" s="70" t="str">
        <f t="shared" si="394"/>
        <v>ФР Verto-FIT.A.стандарт</v>
      </c>
      <c r="BW723" s="165" t="s">
        <v>603</v>
      </c>
      <c r="BX723" s="770" t="s">
        <v>3851</v>
      </c>
      <c r="BY723" s="138" t="str">
        <f t="shared" si="414"/>
        <v>ДП ГЛАСФОРД.1.Графіт</v>
      </c>
      <c r="CA723" s="146" t="s">
        <v>3311</v>
      </c>
      <c r="CB723" s="97"/>
      <c r="CC723" s="97"/>
      <c r="DD723" s="250" t="s">
        <v>2767</v>
      </c>
      <c r="DE723" s="166">
        <v>7020</v>
      </c>
      <c r="DF723" s="528">
        <f t="shared" si="410"/>
        <v>7020</v>
      </c>
      <c r="DG723" s="523"/>
      <c r="DH723" s="524">
        <f t="shared" si="413"/>
        <v>7020</v>
      </c>
      <c r="DP723" s="165" t="s">
        <v>487</v>
      </c>
      <c r="DQ723" s="166">
        <v>780</v>
      </c>
      <c r="DR723" s="522">
        <f t="shared" si="405"/>
        <v>780</v>
      </c>
      <c r="DS723" s="523"/>
      <c r="DT723" s="524">
        <f t="shared" si="407"/>
        <v>780</v>
      </c>
      <c r="DV723" s="738" t="s">
        <v>6382</v>
      </c>
      <c r="DW723" s="166">
        <v>1</v>
      </c>
      <c r="DX723" s="522">
        <f t="shared" si="403"/>
        <v>1</v>
      </c>
      <c r="DY723" s="523"/>
      <c r="DZ723" s="524">
        <f t="shared" si="404"/>
        <v>1</v>
      </c>
    </row>
    <row r="724" spans="51:130">
      <c r="AY724" s="58" t="s">
        <v>308</v>
      </c>
      <c r="AZ724" s="563" t="s">
        <v>95</v>
      </c>
      <c r="BA724" s="70" t="str">
        <f t="shared" si="394"/>
        <v>ФР Verto-FIT.B.стандарт</v>
      </c>
      <c r="BW724" s="165" t="s">
        <v>603</v>
      </c>
      <c r="BX724" s="247" t="s">
        <v>832</v>
      </c>
      <c r="BY724" s="138" t="str">
        <f t="shared" si="414"/>
        <v>ДП ГЛАСФОРД.1.Бронза</v>
      </c>
      <c r="CA724" s="146" t="s">
        <v>3311</v>
      </c>
      <c r="CB724" s="478" t="s">
        <v>4343</v>
      </c>
      <c r="CC724" s="239" t="str">
        <f>CONCATENATE(CA724,".",CB724)</f>
        <v>ДП Єва.б/з фальц..робоча..Magnet цл +2завіс 3D</v>
      </c>
      <c r="DD724" s="250" t="s">
        <v>2768</v>
      </c>
      <c r="DE724" s="166">
        <v>7020</v>
      </c>
      <c r="DF724" s="528">
        <f t="shared" si="410"/>
        <v>7020</v>
      </c>
      <c r="DG724" s="523"/>
      <c r="DH724" s="524">
        <f t="shared" si="413"/>
        <v>7020</v>
      </c>
      <c r="DP724" s="165" t="s">
        <v>283</v>
      </c>
      <c r="DQ724" s="166">
        <v>1060</v>
      </c>
      <c r="DR724" s="522">
        <f t="shared" si="405"/>
        <v>1060</v>
      </c>
      <c r="DS724" s="523"/>
      <c r="DT724" s="524">
        <f t="shared" si="407"/>
        <v>1060</v>
      </c>
      <c r="DV724" s="738" t="s">
        <v>6383</v>
      </c>
      <c r="DW724" s="166">
        <v>1</v>
      </c>
      <c r="DX724" s="522">
        <f t="shared" si="403"/>
        <v>1</v>
      </c>
      <c r="DY724" s="523"/>
      <c r="DZ724" s="524">
        <f t="shared" si="404"/>
        <v>1</v>
      </c>
    </row>
    <row r="725" spans="51:130">
      <c r="AY725" s="58" t="s">
        <v>1291</v>
      </c>
      <c r="AZ725" s="563" t="s">
        <v>95</v>
      </c>
      <c r="BA725" s="70" t="str">
        <f>CONCATENATE(AY725,".",AZ725)</f>
        <v>ФР Verto-FIT.B+.стандарт</v>
      </c>
      <c r="BW725" s="165" t="s">
        <v>603</v>
      </c>
      <c r="BX725" s="247" t="s">
        <v>461</v>
      </c>
      <c r="BY725" s="138" t="str">
        <f t="shared" si="414"/>
        <v>ДП ГЛАСФОРД.1.Трипл. мат</v>
      </c>
      <c r="CA725" s="146" t="s">
        <v>3311</v>
      </c>
      <c r="CB725" s="478" t="s">
        <v>4347</v>
      </c>
      <c r="CC725" s="239" t="str">
        <f>CONCATENATE(CA725,".",CB725)</f>
        <v>ДП Єва.б/з фальц..робоча..Magnet ст +2завіс 3D</v>
      </c>
      <c r="DD725" s="250" t="s">
        <v>2769</v>
      </c>
      <c r="DE725" s="166">
        <v>7020</v>
      </c>
      <c r="DF725" s="528">
        <f t="shared" si="410"/>
        <v>7020</v>
      </c>
      <c r="DG725" s="523"/>
      <c r="DH725" s="524">
        <f t="shared" si="413"/>
        <v>7020</v>
      </c>
      <c r="DP725" s="108" t="s">
        <v>284</v>
      </c>
      <c r="DQ725" s="164">
        <v>1060</v>
      </c>
      <c r="DR725" s="525">
        <f t="shared" si="405"/>
        <v>1060</v>
      </c>
      <c r="DS725" s="526"/>
      <c r="DT725" s="527">
        <f t="shared" si="407"/>
        <v>1060</v>
      </c>
      <c r="DV725" s="738" t="s">
        <v>6384</v>
      </c>
      <c r="DW725" s="166">
        <v>1</v>
      </c>
      <c r="DX725" s="522">
        <f t="shared" si="403"/>
        <v>1</v>
      </c>
      <c r="DY725" s="523"/>
      <c r="DZ725" s="524">
        <f t="shared" si="404"/>
        <v>1</v>
      </c>
    </row>
    <row r="726" spans="51:130">
      <c r="AY726" s="58" t="s">
        <v>309</v>
      </c>
      <c r="AZ726" s="563" t="s">
        <v>95</v>
      </c>
      <c r="BA726" s="70" t="str">
        <f t="shared" si="394"/>
        <v>ФР Verto-FIT.C.стандарт</v>
      </c>
      <c r="BW726" s="165" t="s">
        <v>603</v>
      </c>
      <c r="BX726" s="247" t="s">
        <v>460</v>
      </c>
      <c r="BY726" s="138" t="str">
        <f t="shared" si="414"/>
        <v>ДП ГЛАСФОРД.1.Трипл. чер</v>
      </c>
      <c r="CA726" s="146" t="s">
        <v>3311</v>
      </c>
      <c r="CB726" s="97"/>
      <c r="CC726" s="97"/>
      <c r="DD726" s="250" t="s">
        <v>2770</v>
      </c>
      <c r="DE726" s="166">
        <v>7020</v>
      </c>
      <c r="DF726" s="528">
        <f t="shared" si="410"/>
        <v>7020</v>
      </c>
      <c r="DG726" s="523"/>
      <c r="DH726" s="524">
        <f t="shared" si="413"/>
        <v>7020</v>
      </c>
      <c r="DP726" s="737" t="s">
        <v>4234</v>
      </c>
      <c r="DQ726" s="163">
        <v>0</v>
      </c>
      <c r="DR726" s="528">
        <f t="shared" si="405"/>
        <v>0</v>
      </c>
      <c r="DS726" s="529"/>
      <c r="DT726" s="530">
        <f t="shared" si="407"/>
        <v>0</v>
      </c>
      <c r="DV726" s="738" t="s">
        <v>6385</v>
      </c>
      <c r="DW726" s="166">
        <v>1</v>
      </c>
      <c r="DX726" s="522">
        <f t="shared" si="403"/>
        <v>1</v>
      </c>
      <c r="DY726" s="523"/>
      <c r="DZ726" s="524">
        <f t="shared" si="404"/>
        <v>1</v>
      </c>
    </row>
    <row r="727" spans="51:130">
      <c r="AY727" s="58" t="s">
        <v>310</v>
      </c>
      <c r="AZ727" s="563" t="s">
        <v>95</v>
      </c>
      <c r="BA727" s="70" t="str">
        <f t="shared" si="394"/>
        <v>ФР Verto-FIT.D.стандарт</v>
      </c>
      <c r="BW727" s="165" t="s">
        <v>603</v>
      </c>
      <c r="BX727" s="772" t="s">
        <v>4251</v>
      </c>
      <c r="BY727" s="138" t="str">
        <f t="shared" si="414"/>
        <v>ДП ГЛАСФОРД.1.Дзеркало</v>
      </c>
      <c r="CA727" s="146" t="s">
        <v>3311</v>
      </c>
      <c r="CB727" s="478" t="s">
        <v>4349</v>
      </c>
      <c r="CC727" s="239" t="str">
        <f>CONCATENATE(CA727,".",CB727)</f>
        <v>ДП Єва.б/з фальц..робоча..Magnet цл +3завіс 3D</v>
      </c>
      <c r="DD727" s="250" t="s">
        <v>2771</v>
      </c>
      <c r="DE727" s="166">
        <v>7020</v>
      </c>
      <c r="DF727" s="528">
        <f t="shared" si="410"/>
        <v>7020</v>
      </c>
      <c r="DG727" s="523"/>
      <c r="DH727" s="524">
        <f t="shared" si="413"/>
        <v>7020</v>
      </c>
      <c r="DP727" s="738" t="s">
        <v>4036</v>
      </c>
      <c r="DQ727" s="166">
        <v>780</v>
      </c>
      <c r="DR727" s="522">
        <f t="shared" si="405"/>
        <v>780</v>
      </c>
      <c r="DS727" s="523"/>
      <c r="DT727" s="524">
        <f t="shared" si="407"/>
        <v>780</v>
      </c>
      <c r="DV727" s="739" t="s">
        <v>6386</v>
      </c>
      <c r="DW727" s="166">
        <v>1</v>
      </c>
      <c r="DX727" s="525">
        <f t="shared" si="403"/>
        <v>1</v>
      </c>
      <c r="DY727" s="526"/>
      <c r="DZ727" s="527">
        <f t="shared" si="404"/>
        <v>1</v>
      </c>
    </row>
    <row r="728" spans="51:130">
      <c r="AY728" s="58" t="s">
        <v>311</v>
      </c>
      <c r="AZ728" s="563" t="s">
        <v>95</v>
      </c>
      <c r="BA728" s="70" t="str">
        <f t="shared" si="394"/>
        <v>ФР Verto-FIT.E.стандарт</v>
      </c>
      <c r="BW728" s="162" t="s">
        <v>604</v>
      </c>
      <c r="BX728" s="786" t="s">
        <v>4220</v>
      </c>
      <c r="BY728" s="135" t="str">
        <f t="shared" si="414"/>
        <v>ДП ГЛАСФОРД.2.Малюнок</v>
      </c>
      <c r="CA728" s="147" t="s">
        <v>3311</v>
      </c>
      <c r="CB728" s="590" t="s">
        <v>4350</v>
      </c>
      <c r="CC728" s="240" t="str">
        <f>CONCATENATE(CA728,".",CB728)</f>
        <v>ДП Єва.б/з фальц..робоча..Magnet ст +3завіс 3D</v>
      </c>
      <c r="DD728" s="250" t="s">
        <v>2772</v>
      </c>
      <c r="DE728" s="166">
        <v>7020</v>
      </c>
      <c r="DF728" s="528">
        <f t="shared" si="410"/>
        <v>7020</v>
      </c>
      <c r="DG728" s="523"/>
      <c r="DH728" s="524">
        <f t="shared" si="413"/>
        <v>7020</v>
      </c>
      <c r="DP728" s="165" t="s">
        <v>488</v>
      </c>
      <c r="DQ728" s="166">
        <v>780</v>
      </c>
      <c r="DR728" s="522">
        <f t="shared" si="405"/>
        <v>780</v>
      </c>
      <c r="DS728" s="523"/>
      <c r="DT728" s="524">
        <f t="shared" si="407"/>
        <v>780</v>
      </c>
      <c r="DV728" s="738" t="s">
        <v>2878</v>
      </c>
      <c r="DW728" s="166">
        <v>0</v>
      </c>
      <c r="DX728" s="522">
        <f t="shared" si="403"/>
        <v>0</v>
      </c>
      <c r="DY728" s="523"/>
      <c r="DZ728" s="524">
        <f t="shared" si="404"/>
        <v>0</v>
      </c>
    </row>
    <row r="729" spans="51:130">
      <c r="AY729" s="58" t="s">
        <v>312</v>
      </c>
      <c r="AZ729" s="563" t="s">
        <v>95</v>
      </c>
      <c r="BA729" s="70" t="str">
        <f t="shared" si="394"/>
        <v>ФР Verto-FIT.F.стандарт</v>
      </c>
      <c r="BW729" s="165" t="s">
        <v>604</v>
      </c>
      <c r="BX729" s="770" t="s">
        <v>3851</v>
      </c>
      <c r="BY729" s="138" t="str">
        <f t="shared" si="414"/>
        <v>ДП ГЛАСФОРД.2.Графіт</v>
      </c>
      <c r="CA729" s="145" t="s">
        <v>3312</v>
      </c>
      <c r="CB729" s="134" t="s">
        <v>4106</v>
      </c>
      <c r="CC729" s="135" t="str">
        <f>CONCATENATE(CA729,".",CB729)</f>
        <v>ДП Єва.купе..робоча..(ні)</v>
      </c>
      <c r="DD729" s="249" t="s">
        <v>2773</v>
      </c>
      <c r="DE729" s="164">
        <v>7020</v>
      </c>
      <c r="DF729" s="528">
        <f t="shared" si="410"/>
        <v>7020</v>
      </c>
      <c r="DG729" s="526"/>
      <c r="DH729" s="527">
        <f t="shared" si="413"/>
        <v>7020</v>
      </c>
      <c r="DP729" s="165" t="s">
        <v>904</v>
      </c>
      <c r="DQ729" s="166">
        <v>1060</v>
      </c>
      <c r="DR729" s="522">
        <f t="shared" si="405"/>
        <v>1060</v>
      </c>
      <c r="DS729" s="523"/>
      <c r="DT729" s="524">
        <f t="shared" si="407"/>
        <v>1060</v>
      </c>
      <c r="DV729" s="739" t="s">
        <v>2879</v>
      </c>
      <c r="DW729" s="164">
        <v>560</v>
      </c>
      <c r="DX729" s="531">
        <f t="shared" si="403"/>
        <v>560</v>
      </c>
      <c r="DY729" s="526"/>
      <c r="DZ729" s="527">
        <f t="shared" si="404"/>
        <v>560</v>
      </c>
    </row>
    <row r="730" spans="51:130">
      <c r="AY730" s="58" t="s">
        <v>313</v>
      </c>
      <c r="AZ730" s="563" t="s">
        <v>95</v>
      </c>
      <c r="BA730" s="70" t="str">
        <f t="shared" si="394"/>
        <v>ФР Verto-FIT.G.стандарт</v>
      </c>
      <c r="BW730" s="165" t="s">
        <v>604</v>
      </c>
      <c r="BX730" s="247" t="s">
        <v>832</v>
      </c>
      <c r="BY730" s="138" t="str">
        <f t="shared" si="414"/>
        <v>ДП ГЛАСФОРД.2.Бронза</v>
      </c>
      <c r="CA730" s="146" t="s">
        <v>3312</v>
      </c>
      <c r="CB730" s="21"/>
      <c r="CC730" s="21"/>
      <c r="DD730" s="250" t="s">
        <v>2774</v>
      </c>
      <c r="DE730" s="166">
        <v>7320</v>
      </c>
      <c r="DF730" s="528">
        <f t="shared" si="410"/>
        <v>7320</v>
      </c>
      <c r="DG730" s="523"/>
      <c r="DH730" s="524">
        <f t="shared" ref="DH730:DH748" si="415">IF(DG730="",DF730,
IF(AND($DE$10&gt;=VLOOKUP(DG730,$DD$5:$DH$9,2,0),$DE$10&lt;=VLOOKUP(DG730,$DD$5:$DH$9,3,0)),
(DF730*(1-VLOOKUP(DG730,$DD$5:$DH$9,4,0))),
DF730))</f>
        <v>7320</v>
      </c>
      <c r="DP730" s="108" t="s">
        <v>905</v>
      </c>
      <c r="DQ730" s="164">
        <v>1060</v>
      </c>
      <c r="DR730" s="525">
        <f t="shared" si="405"/>
        <v>1060</v>
      </c>
      <c r="DS730" s="526"/>
      <c r="DT730" s="527">
        <f t="shared" si="407"/>
        <v>1060</v>
      </c>
      <c r="DV730" s="647"/>
      <c r="DW730" s="648"/>
      <c r="DX730" s="654"/>
      <c r="DY730" s="655"/>
      <c r="DZ730" s="656"/>
    </row>
    <row r="731" spans="51:130">
      <c r="AY731" s="58" t="s">
        <v>314</v>
      </c>
      <c r="AZ731" s="563" t="s">
        <v>95</v>
      </c>
      <c r="BA731" s="70" t="str">
        <f t="shared" si="394"/>
        <v>ФР Verto-FIT.H.стандарт</v>
      </c>
      <c r="BW731" s="165" t="s">
        <v>604</v>
      </c>
      <c r="BX731" s="247" t="s">
        <v>461</v>
      </c>
      <c r="BY731" s="138" t="str">
        <f t="shared" si="414"/>
        <v>ДП ГЛАСФОРД.2.Трипл. мат</v>
      </c>
      <c r="CA731" s="146" t="s">
        <v>3312</v>
      </c>
      <c r="CB731" s="137" t="s">
        <v>462</v>
      </c>
      <c r="CC731" s="138" t="str">
        <f>CONCATENATE(CA731,".",CB731)</f>
        <v>ДП Єва.купе..робоча..Ручка-Захват</v>
      </c>
      <c r="DD731" s="250" t="s">
        <v>2775</v>
      </c>
      <c r="DE731" s="166">
        <v>7320</v>
      </c>
      <c r="DF731" s="528">
        <f t="shared" si="410"/>
        <v>7320</v>
      </c>
      <c r="DG731" s="523"/>
      <c r="DH731" s="524">
        <f t="shared" si="415"/>
        <v>7320</v>
      </c>
      <c r="DP731" s="737" t="s">
        <v>4235</v>
      </c>
      <c r="DQ731" s="163">
        <v>0</v>
      </c>
      <c r="DR731" s="528">
        <f t="shared" si="405"/>
        <v>0</v>
      </c>
      <c r="DS731" s="529"/>
      <c r="DT731" s="530">
        <f t="shared" si="407"/>
        <v>0</v>
      </c>
      <c r="DV731" s="736" t="s">
        <v>4171</v>
      </c>
      <c r="DW731" s="105">
        <v>0</v>
      </c>
      <c r="DX731" s="403">
        <f t="shared" ref="DX731:DX761" si="416">ROUND(((DW731-(DW731/6))/$DD$3)*$DE$3,2)</f>
        <v>0</v>
      </c>
      <c r="DY731" s="514"/>
      <c r="DZ731" s="511">
        <f t="shared" ref="DZ731:DZ761" si="417">IF(DY731="",DX731,
IF(AND($DW$10&gt;=VLOOKUP(DY731,$DV$5:$DZ$9,2,0),$DW$10&lt;=VLOOKUP(DY731,$DV$5:$DZ$9,3,0)),
(DX731*(1-VLOOKUP(DY731,$DV$5:$DZ$9,4,0))),
DX731))</f>
        <v>0</v>
      </c>
    </row>
    <row r="732" spans="51:130">
      <c r="AY732" s="58" t="s">
        <v>315</v>
      </c>
      <c r="AZ732" s="563" t="s">
        <v>95</v>
      </c>
      <c r="BA732" s="70" t="str">
        <f t="shared" si="394"/>
        <v>ФР Verto-FIT.I.стандарт</v>
      </c>
      <c r="BW732" s="165" t="s">
        <v>604</v>
      </c>
      <c r="BX732" s="247" t="s">
        <v>460</v>
      </c>
      <c r="BY732" s="138" t="str">
        <f t="shared" si="414"/>
        <v>ДП ГЛАСФОРД.2.Трипл. чер</v>
      </c>
      <c r="CA732" s="146" t="s">
        <v>3312</v>
      </c>
      <c r="CB732" s="137" t="s">
        <v>684</v>
      </c>
      <c r="CC732" s="138" t="str">
        <f>CONCATENATE(CA732,".",CB732)</f>
        <v>ДП Єва.купе..робоча..Ручка-Замок</v>
      </c>
      <c r="DD732" s="250" t="s">
        <v>2776</v>
      </c>
      <c r="DE732" s="166">
        <v>7320</v>
      </c>
      <c r="DF732" s="528">
        <f t="shared" si="410"/>
        <v>7320</v>
      </c>
      <c r="DG732" s="523"/>
      <c r="DH732" s="524">
        <f t="shared" si="415"/>
        <v>7320</v>
      </c>
      <c r="DP732" s="738" t="s">
        <v>4037</v>
      </c>
      <c r="DQ732" s="166">
        <v>780</v>
      </c>
      <c r="DR732" s="522">
        <f t="shared" si="405"/>
        <v>780</v>
      </c>
      <c r="DS732" s="523"/>
      <c r="DT732" s="524">
        <f t="shared" si="407"/>
        <v>780</v>
      </c>
      <c r="DV732" s="737" t="s">
        <v>5892</v>
      </c>
      <c r="DW732" s="163">
        <v>0</v>
      </c>
      <c r="DX732" s="528">
        <f t="shared" si="416"/>
        <v>0</v>
      </c>
      <c r="DY732" s="529"/>
      <c r="DZ732" s="530">
        <f t="shared" si="417"/>
        <v>0</v>
      </c>
    </row>
    <row r="733" spans="51:130">
      <c r="AY733" s="227"/>
      <c r="AZ733" s="222"/>
      <c r="BA733" s="223"/>
      <c r="BW733" s="108" t="s">
        <v>604</v>
      </c>
      <c r="BX733" s="787" t="s">
        <v>4251</v>
      </c>
      <c r="BY733" s="139" t="str">
        <f t="shared" si="414"/>
        <v>ДП ГЛАСФОРД.2.Дзеркало</v>
      </c>
      <c r="CA733" s="432"/>
      <c r="CB733" s="222"/>
      <c r="CC733" s="223"/>
      <c r="DD733" s="250" t="s">
        <v>2777</v>
      </c>
      <c r="DE733" s="166">
        <v>7320</v>
      </c>
      <c r="DF733" s="528">
        <f t="shared" si="410"/>
        <v>7320</v>
      </c>
      <c r="DG733" s="523"/>
      <c r="DH733" s="524">
        <f t="shared" si="415"/>
        <v>7320</v>
      </c>
      <c r="DP733" s="165" t="s">
        <v>489</v>
      </c>
      <c r="DQ733" s="166">
        <v>780</v>
      </c>
      <c r="DR733" s="522">
        <f t="shared" si="405"/>
        <v>780</v>
      </c>
      <c r="DS733" s="523"/>
      <c r="DT733" s="524">
        <f t="shared" si="407"/>
        <v>780</v>
      </c>
      <c r="DV733" s="737" t="s">
        <v>5893</v>
      </c>
      <c r="DW733" s="166">
        <v>0</v>
      </c>
      <c r="DX733" s="522">
        <f>ROUND(((DW733-(DW733/6))/$DD$3)*$DE$3,2)</f>
        <v>0</v>
      </c>
      <c r="DY733" s="523"/>
      <c r="DZ733" s="524">
        <f>IF(DY733="",DX733,
IF(AND($DW$10&gt;=VLOOKUP(DY733,$DV$5:$DZ$9,2,0),$DW$10&lt;=VLOOKUP(DY733,$DV$5:$DZ$9,3,0)),
(DX733*(1-VLOOKUP(DY733,$DV$5:$DZ$9,4,0))),
DX733))</f>
        <v>0</v>
      </c>
    </row>
    <row r="734" spans="51:130">
      <c r="AY734" s="747" t="s">
        <v>5934</v>
      </c>
      <c r="AZ734" s="48" t="s">
        <v>1727</v>
      </c>
      <c r="BA734" s="70" t="str">
        <f>CONCATENATE(AY734,".",AZ734)</f>
        <v>Лиштва пряма 60мм.комплект,</v>
      </c>
      <c r="BW734" s="162" t="s">
        <v>605</v>
      </c>
      <c r="BX734" s="786" t="s">
        <v>4220</v>
      </c>
      <c r="BY734" s="135" t="str">
        <f t="shared" si="414"/>
        <v>ДП ГЛАСФОРД.3.Малюнок</v>
      </c>
      <c r="CA734" s="146" t="s">
        <v>3313</v>
      </c>
      <c r="CB734" s="137" t="s">
        <v>4106</v>
      </c>
      <c r="CC734" s="138" t="str">
        <f>CONCATENATE(CA734,".",CB734)</f>
        <v>ДП ТРЕНД.фальц..робоча..(ні)</v>
      </c>
      <c r="DD734" s="250" t="s">
        <v>2778</v>
      </c>
      <c r="DE734" s="166">
        <v>7320</v>
      </c>
      <c r="DF734" s="528">
        <f t="shared" si="410"/>
        <v>7320</v>
      </c>
      <c r="DG734" s="523"/>
      <c r="DH734" s="524">
        <f t="shared" si="415"/>
        <v>7320</v>
      </c>
      <c r="DP734" s="165" t="s">
        <v>906</v>
      </c>
      <c r="DQ734" s="166">
        <v>1060</v>
      </c>
      <c r="DR734" s="522">
        <f t="shared" si="405"/>
        <v>1060</v>
      </c>
      <c r="DS734" s="523"/>
      <c r="DT734" s="524">
        <f t="shared" si="407"/>
        <v>1060</v>
      </c>
      <c r="DV734" s="738" t="s">
        <v>5894</v>
      </c>
      <c r="DW734" s="166">
        <v>0</v>
      </c>
      <c r="DX734" s="522">
        <f t="shared" si="416"/>
        <v>0</v>
      </c>
      <c r="DY734" s="523"/>
      <c r="DZ734" s="524">
        <f t="shared" si="417"/>
        <v>0</v>
      </c>
    </row>
    <row r="735" spans="51:130">
      <c r="AY735" s="743" t="s">
        <v>5935</v>
      </c>
      <c r="AZ735" s="48" t="s">
        <v>1727</v>
      </c>
      <c r="BA735" s="70" t="str">
        <f>CONCATENATE(AY735,".",AZ735)</f>
        <v>Лиштва пряма 80мм.комплект,</v>
      </c>
      <c r="BW735" s="165" t="s">
        <v>605</v>
      </c>
      <c r="BX735" s="770" t="s">
        <v>3851</v>
      </c>
      <c r="BY735" s="138" t="str">
        <f t="shared" si="414"/>
        <v>ДП ГЛАСФОРД.3.Графіт</v>
      </c>
      <c r="CA735" s="146" t="s">
        <v>3313</v>
      </c>
      <c r="CB735" s="21"/>
      <c r="CC735" s="21"/>
      <c r="DD735" s="250" t="s">
        <v>2779</v>
      </c>
      <c r="DE735" s="166">
        <v>7320</v>
      </c>
      <c r="DF735" s="528">
        <f t="shared" si="410"/>
        <v>7320</v>
      </c>
      <c r="DG735" s="523"/>
      <c r="DH735" s="524">
        <f t="shared" si="415"/>
        <v>7320</v>
      </c>
      <c r="DP735" s="108" t="s">
        <v>907</v>
      </c>
      <c r="DQ735" s="164">
        <v>1060</v>
      </c>
      <c r="DR735" s="525">
        <f t="shared" si="405"/>
        <v>1060</v>
      </c>
      <c r="DS735" s="526"/>
      <c r="DT735" s="527">
        <f t="shared" si="407"/>
        <v>1060</v>
      </c>
      <c r="DV735" s="738" t="s">
        <v>5895</v>
      </c>
      <c r="DW735" s="166">
        <v>0</v>
      </c>
      <c r="DX735" s="522">
        <f>ROUND(((DW735-(DW735/6))/$DD$3)*$DE$3,2)</f>
        <v>0</v>
      </c>
      <c r="DY735" s="523"/>
      <c r="DZ735" s="524">
        <f>IF(DY735="",DX735,
IF(AND($DW$10&gt;=VLOOKUP(DY735,$DV$5:$DZ$9,2,0),$DW$10&lt;=VLOOKUP(DY735,$DV$5:$DZ$9,3,0)),
(DX735*(1-VLOOKUP(DY735,$DV$5:$DZ$9,4,0))),
DX735))</f>
        <v>0</v>
      </c>
    </row>
    <row r="736" spans="51:130">
      <c r="AY736" s="227"/>
      <c r="AZ736" s="222"/>
      <c r="BA736" s="223"/>
      <c r="BW736" s="165" t="s">
        <v>605</v>
      </c>
      <c r="BX736" s="247" t="s">
        <v>832</v>
      </c>
      <c r="BY736" s="138" t="str">
        <f t="shared" si="414"/>
        <v>ДП ГЛАСФОРД.3.Бронза</v>
      </c>
      <c r="CA736" s="146" t="s">
        <v>3313</v>
      </c>
      <c r="CB736" s="783" t="s">
        <v>5754</v>
      </c>
      <c r="CC736" s="138" t="str">
        <f t="shared" ref="CC736:CC741" si="418">CONCATENATE(CA736,".",CB736)</f>
        <v>ДП ТРЕНД.фальц..робоча..Stand цл Лів +3завіс</v>
      </c>
      <c r="DD736" s="250" t="s">
        <v>2780</v>
      </c>
      <c r="DE736" s="166">
        <v>7320</v>
      </c>
      <c r="DF736" s="528">
        <f t="shared" si="410"/>
        <v>7320</v>
      </c>
      <c r="DG736" s="523"/>
      <c r="DH736" s="524">
        <f t="shared" si="415"/>
        <v>7320</v>
      </c>
      <c r="DP736" s="538"/>
      <c r="DQ736" s="539"/>
      <c r="DR736" s="650"/>
      <c r="DS736" s="651"/>
      <c r="DT736" s="652"/>
      <c r="DV736" s="738" t="s">
        <v>5896</v>
      </c>
      <c r="DW736" s="166">
        <v>0</v>
      </c>
      <c r="DX736" s="522">
        <f t="shared" si="416"/>
        <v>0</v>
      </c>
      <c r="DY736" s="523"/>
      <c r="DZ736" s="524">
        <f t="shared" si="417"/>
        <v>0</v>
      </c>
    </row>
    <row r="737" spans="51:130">
      <c r="AY737" s="49" t="s">
        <v>2137</v>
      </c>
      <c r="AZ737" s="48" t="s">
        <v>1727</v>
      </c>
      <c r="BA737" s="70" t="str">
        <f>CONCATENATE(AY737,".",AZ737)</f>
        <v>Планка добірна 60мм.комплект,</v>
      </c>
      <c r="BW737" s="165" t="s">
        <v>605</v>
      </c>
      <c r="BX737" s="247" t="s">
        <v>461</v>
      </c>
      <c r="BY737" s="138" t="str">
        <f t="shared" si="414"/>
        <v>ДП ГЛАСФОРД.3.Трипл. мат</v>
      </c>
      <c r="CA737" s="146" t="s">
        <v>3313</v>
      </c>
      <c r="CB737" s="783" t="s">
        <v>5755</v>
      </c>
      <c r="CC737" s="138" t="str">
        <f t="shared" si="418"/>
        <v>ДП ТРЕНД.фальц..робоча..Stand цл Пр +3завіс</v>
      </c>
      <c r="DD737" s="250" t="s">
        <v>2781</v>
      </c>
      <c r="DE737" s="166">
        <v>7320</v>
      </c>
      <c r="DF737" s="528">
        <f t="shared" si="410"/>
        <v>7320</v>
      </c>
      <c r="DG737" s="523"/>
      <c r="DH737" s="524">
        <f t="shared" si="415"/>
        <v>7320</v>
      </c>
      <c r="DP737" s="737" t="s">
        <v>2966</v>
      </c>
      <c r="DQ737" s="163">
        <v>0</v>
      </c>
      <c r="DR737" s="528">
        <f t="shared" ref="DR737:DR771" si="419">ROUND(((DQ737-(DQ737/6))/$DD$3)*$DE$3,2)</f>
        <v>0</v>
      </c>
      <c r="DS737" s="529"/>
      <c r="DT737" s="530">
        <f t="shared" ref="DT737:DT771" si="420">IF(DS737="",DR737,
IF(AND($DQ$10&gt;=VLOOKUP(DS737,$DP$5:$DT$9,2,0),$DQ$10&lt;=VLOOKUP(DS737,$DP$5:$DT$9,3,0)),
(DR737*(1-VLOOKUP(DS737,$DP$5:$DT$9,4,0))),
DR737))</f>
        <v>0</v>
      </c>
      <c r="DV737" s="738" t="s">
        <v>5897</v>
      </c>
      <c r="DW737" s="166">
        <v>0</v>
      </c>
      <c r="DX737" s="522">
        <f>ROUND(((DW737-(DW737/6))/$DD$3)*$DE$3,2)</f>
        <v>0</v>
      </c>
      <c r="DY737" s="523"/>
      <c r="DZ737" s="524">
        <f>IF(DY737="",DX737,
IF(AND($DW$10&gt;=VLOOKUP(DY737,$DV$5:$DZ$9,2,0),$DW$10&lt;=VLOOKUP(DY737,$DV$5:$DZ$9,3,0)),
(DX737*(1-VLOOKUP(DY737,$DV$5:$DZ$9,4,0))),
DX737))</f>
        <v>0</v>
      </c>
    </row>
    <row r="738" spans="51:130">
      <c r="AY738" s="49" t="s">
        <v>2138</v>
      </c>
      <c r="AZ738" s="48" t="s">
        <v>1727</v>
      </c>
      <c r="BA738" s="70" t="str">
        <f>CONCATENATE(AY738,".",AZ738)</f>
        <v>Планка добірна 110мм.комплект,</v>
      </c>
      <c r="BW738" s="165" t="s">
        <v>605</v>
      </c>
      <c r="BX738" s="247" t="s">
        <v>460</v>
      </c>
      <c r="BY738" s="138" t="str">
        <f t="shared" si="414"/>
        <v>ДП ГЛАСФОРД.3.Трипл. чер</v>
      </c>
      <c r="CA738" s="146" t="s">
        <v>3313</v>
      </c>
      <c r="CB738" s="783" t="s">
        <v>5756</v>
      </c>
      <c r="CC738" s="138" t="str">
        <f t="shared" si="418"/>
        <v>ДП ТРЕНД.фальц..робоча..Stand кл Лів +3завіс</v>
      </c>
      <c r="DD738" s="249" t="s">
        <v>2782</v>
      </c>
      <c r="DE738" s="164">
        <v>7320</v>
      </c>
      <c r="DF738" s="528">
        <f t="shared" si="410"/>
        <v>7320</v>
      </c>
      <c r="DG738" s="526"/>
      <c r="DH738" s="527">
        <f t="shared" si="415"/>
        <v>7320</v>
      </c>
      <c r="DP738" s="738" t="s">
        <v>4038</v>
      </c>
      <c r="DQ738" s="166">
        <v>920</v>
      </c>
      <c r="DR738" s="522">
        <f t="shared" si="419"/>
        <v>920</v>
      </c>
      <c r="DS738" s="523"/>
      <c r="DT738" s="524">
        <f t="shared" si="420"/>
        <v>920</v>
      </c>
      <c r="DV738" s="738" t="s">
        <v>4715</v>
      </c>
      <c r="DW738" s="166">
        <v>550</v>
      </c>
      <c r="DX738" s="522">
        <f t="shared" si="416"/>
        <v>550</v>
      </c>
      <c r="DY738" s="523"/>
      <c r="DZ738" s="524">
        <f t="shared" si="417"/>
        <v>550</v>
      </c>
    </row>
    <row r="739" spans="51:130">
      <c r="AY739" s="58" t="s">
        <v>2139</v>
      </c>
      <c r="AZ739" s="48" t="s">
        <v>1727</v>
      </c>
      <c r="BA739" s="70" t="str">
        <f>CONCATENATE(AY739,".",AZ739)</f>
        <v>Планка добірна 200мм.комплект,</v>
      </c>
      <c r="BW739" s="108" t="s">
        <v>605</v>
      </c>
      <c r="BX739" s="787" t="s">
        <v>4251</v>
      </c>
      <c r="BY739" s="139" t="str">
        <f t="shared" si="414"/>
        <v>ДП ГЛАСФОРД.3.Дзеркало</v>
      </c>
      <c r="CA739" s="146" t="s">
        <v>3313</v>
      </c>
      <c r="CB739" s="783" t="s">
        <v>5757</v>
      </c>
      <c r="CC739" s="138" t="str">
        <f t="shared" si="418"/>
        <v>ДП ТРЕНД.фальц..робоча..Stand кл Пр +3завіс</v>
      </c>
      <c r="DD739" s="250" t="s">
        <v>2783</v>
      </c>
      <c r="DE739" s="166">
        <v>7870</v>
      </c>
      <c r="DF739" s="528">
        <f t="shared" si="410"/>
        <v>7870</v>
      </c>
      <c r="DG739" s="523"/>
      <c r="DH739" s="524">
        <f t="shared" si="415"/>
        <v>7870</v>
      </c>
      <c r="DP739" s="738" t="s">
        <v>2967</v>
      </c>
      <c r="DQ739" s="166">
        <v>920</v>
      </c>
      <c r="DR739" s="522">
        <f t="shared" si="419"/>
        <v>920</v>
      </c>
      <c r="DS739" s="523"/>
      <c r="DT739" s="524">
        <f t="shared" si="420"/>
        <v>920</v>
      </c>
      <c r="DV739" s="738" t="s">
        <v>4716</v>
      </c>
      <c r="DW739" s="166">
        <v>550</v>
      </c>
      <c r="DX739" s="522">
        <f t="shared" si="416"/>
        <v>550</v>
      </c>
      <c r="DY739" s="523"/>
      <c r="DZ739" s="524">
        <f t="shared" si="417"/>
        <v>550</v>
      </c>
    </row>
    <row r="740" spans="51:130">
      <c r="AY740" s="227"/>
      <c r="AZ740" s="222"/>
      <c r="BA740" s="223"/>
      <c r="BW740" s="162" t="s">
        <v>606</v>
      </c>
      <c r="BX740" s="786" t="s">
        <v>4220</v>
      </c>
      <c r="BY740" s="135" t="str">
        <f t="shared" si="414"/>
        <v>ДП ГЛАСФОРД.4.Малюнок</v>
      </c>
      <c r="CA740" s="146" t="s">
        <v>3313</v>
      </c>
      <c r="CB740" s="783" t="s">
        <v>5758</v>
      </c>
      <c r="CC740" s="138" t="str">
        <f t="shared" si="418"/>
        <v>ДП ТРЕНД.фальц..робоча..Stand ст Лів +3завіс</v>
      </c>
      <c r="DD740" s="250" t="s">
        <v>2784</v>
      </c>
      <c r="DE740" s="166">
        <v>7870</v>
      </c>
      <c r="DF740" s="528">
        <f t="shared" si="410"/>
        <v>7870</v>
      </c>
      <c r="DG740" s="523"/>
      <c r="DH740" s="524">
        <f t="shared" si="415"/>
        <v>7870</v>
      </c>
      <c r="DP740" s="738" t="s">
        <v>2968</v>
      </c>
      <c r="DQ740" s="166">
        <v>1350</v>
      </c>
      <c r="DR740" s="522">
        <f t="shared" si="419"/>
        <v>1350</v>
      </c>
      <c r="DS740" s="523"/>
      <c r="DT740" s="524">
        <f t="shared" si="420"/>
        <v>1350</v>
      </c>
      <c r="DV740" s="738" t="s">
        <v>4717</v>
      </c>
      <c r="DW740" s="166">
        <v>800</v>
      </c>
      <c r="DX740" s="522">
        <f>ROUND(((DW740-(DW740/6))/$DD$3)*$DE$3,2)</f>
        <v>800</v>
      </c>
      <c r="DY740" s="523"/>
      <c r="DZ740" s="524">
        <f>IF(DY740="",DX740,
IF(AND($DW$10&gt;=VLOOKUP(DY740,$DV$5:$DZ$9,2,0),$DW$10&lt;=VLOOKUP(DY740,$DV$5:$DZ$9,3,0)),
(DX740*(1-VLOOKUP(DY740,$DV$5:$DZ$9,4,0))),
DX740))</f>
        <v>800</v>
      </c>
    </row>
    <row r="741" spans="51:130">
      <c r="AY741" s="743" t="s">
        <v>6472</v>
      </c>
      <c r="AZ741" s="48" t="s">
        <v>1310</v>
      </c>
      <c r="BA741" s="70" t="str">
        <f>CONCATENATE(AY741,".",AZ741)</f>
        <v>Плінтус 60мм (від 8 шт).шт.</v>
      </c>
      <c r="BW741" s="165" t="s">
        <v>606</v>
      </c>
      <c r="BX741" s="770" t="s">
        <v>3851</v>
      </c>
      <c r="BY741" s="138" t="str">
        <f t="shared" si="414"/>
        <v>ДП ГЛАСФОРД.4.Графіт</v>
      </c>
      <c r="CA741" s="146" t="s">
        <v>3313</v>
      </c>
      <c r="CB741" s="783" t="s">
        <v>5759</v>
      </c>
      <c r="CC741" s="138" t="str">
        <f t="shared" si="418"/>
        <v>ДП ТРЕНД.фальц..робоча..Stand ст Пр +3завіс</v>
      </c>
      <c r="DD741" s="250" t="s">
        <v>2785</v>
      </c>
      <c r="DE741" s="166">
        <v>7870</v>
      </c>
      <c r="DF741" s="528">
        <f t="shared" si="410"/>
        <v>7870</v>
      </c>
      <c r="DG741" s="523"/>
      <c r="DH741" s="524">
        <f t="shared" si="415"/>
        <v>7870</v>
      </c>
      <c r="DP741" s="739" t="s">
        <v>2969</v>
      </c>
      <c r="DQ741" s="164">
        <v>1350</v>
      </c>
      <c r="DR741" s="525">
        <f t="shared" si="419"/>
        <v>1350</v>
      </c>
      <c r="DS741" s="526"/>
      <c r="DT741" s="527">
        <f t="shared" si="420"/>
        <v>1350</v>
      </c>
      <c r="DV741" s="739" t="s">
        <v>4718</v>
      </c>
      <c r="DW741" s="164">
        <v>800</v>
      </c>
      <c r="DX741" s="525">
        <f>ROUND(((DW741-(DW741/6))/$DD$3)*$DE$3,2)</f>
        <v>800</v>
      </c>
      <c r="DY741" s="526"/>
      <c r="DZ741" s="527">
        <f>IF(DY741="",DX741,
IF(AND($DW$10&gt;=VLOOKUP(DY741,$DV$5:$DZ$9,2,0),$DW$10&lt;=VLOOKUP(DY741,$DV$5:$DZ$9,3,0)),
(DX741*(1-VLOOKUP(DY741,$DV$5:$DZ$9,4,0))),
DX741))</f>
        <v>800</v>
      </c>
    </row>
    <row r="742" spans="51:130">
      <c r="AY742" s="743" t="s">
        <v>6490</v>
      </c>
      <c r="AZ742" s="48" t="s">
        <v>1310</v>
      </c>
      <c r="BA742" s="70" t="str">
        <f>CONCATENATE(AY742,".",AZ742)</f>
        <v>Плінтус 80мм (від 8 шт).шт.</v>
      </c>
      <c r="BW742" s="165" t="s">
        <v>606</v>
      </c>
      <c r="BX742" s="247" t="s">
        <v>832</v>
      </c>
      <c r="BY742" s="138" t="str">
        <f t="shared" si="414"/>
        <v>ДП ГЛАСФОРД.4.Бронза</v>
      </c>
      <c r="CA742" s="146" t="s">
        <v>3313</v>
      </c>
      <c r="CC742" s="138"/>
      <c r="DD742" s="250" t="s">
        <v>2786</v>
      </c>
      <c r="DE742" s="166">
        <v>7870</v>
      </c>
      <c r="DF742" s="528">
        <f t="shared" si="410"/>
        <v>7870</v>
      </c>
      <c r="DG742" s="523"/>
      <c r="DH742" s="524">
        <f t="shared" si="415"/>
        <v>7870</v>
      </c>
      <c r="DP742" s="737" t="s">
        <v>4236</v>
      </c>
      <c r="DQ742" s="163">
        <v>0</v>
      </c>
      <c r="DR742" s="528">
        <f t="shared" si="419"/>
        <v>0</v>
      </c>
      <c r="DS742" s="529"/>
      <c r="DT742" s="530">
        <f t="shared" si="420"/>
        <v>0</v>
      </c>
      <c r="DV742" s="738" t="s">
        <v>6387</v>
      </c>
      <c r="DW742" s="166">
        <v>1</v>
      </c>
      <c r="DX742" s="522">
        <f t="shared" si="416"/>
        <v>1</v>
      </c>
      <c r="DY742" s="523"/>
      <c r="DZ742" s="524">
        <f t="shared" si="417"/>
        <v>1</v>
      </c>
    </row>
    <row r="743" spans="51:130">
      <c r="AY743" s="227"/>
      <c r="AZ743" s="222"/>
      <c r="BA743" s="223"/>
      <c r="BW743" s="165" t="s">
        <v>606</v>
      </c>
      <c r="BX743" s="247" t="s">
        <v>461</v>
      </c>
      <c r="BY743" s="138" t="str">
        <f t="shared" si="414"/>
        <v>ДП ГЛАСФОРД.4.Трипл. мат</v>
      </c>
      <c r="CA743" s="146" t="s">
        <v>3313</v>
      </c>
      <c r="CB743" s="137" t="s">
        <v>4304</v>
      </c>
      <c r="CC743" s="138" t="str">
        <f>CONCATENATE(CA743,".",CB743)</f>
        <v>ДП ТРЕНД.фальц..робоча..Soft цл +3завіс</v>
      </c>
      <c r="DD743" s="250" t="s">
        <v>2787</v>
      </c>
      <c r="DE743" s="166">
        <v>7870</v>
      </c>
      <c r="DF743" s="528">
        <f t="shared" si="410"/>
        <v>7870</v>
      </c>
      <c r="DG743" s="523"/>
      <c r="DH743" s="524">
        <f t="shared" si="415"/>
        <v>7870</v>
      </c>
      <c r="DP743" s="738" t="s">
        <v>4039</v>
      </c>
      <c r="DQ743" s="166">
        <v>920</v>
      </c>
      <c r="DR743" s="522">
        <f t="shared" si="419"/>
        <v>920</v>
      </c>
      <c r="DS743" s="523"/>
      <c r="DT743" s="524">
        <f t="shared" si="420"/>
        <v>920</v>
      </c>
      <c r="DV743" s="739" t="s">
        <v>6388</v>
      </c>
      <c r="DW743" s="164">
        <v>1</v>
      </c>
      <c r="DX743" s="525">
        <f t="shared" si="416"/>
        <v>1</v>
      </c>
      <c r="DY743" s="526"/>
      <c r="DZ743" s="527">
        <f t="shared" si="417"/>
        <v>1</v>
      </c>
    </row>
    <row r="744" spans="51:130">
      <c r="AY744" s="49" t="s">
        <v>555</v>
      </c>
      <c r="AZ744" s="48" t="s">
        <v>340</v>
      </c>
      <c r="BA744" s="70" t="str">
        <f>CONCATENATE(AY744,".",AZ744)</f>
        <v>Планка Verto-FIT 80мм.комплект</v>
      </c>
      <c r="BW744" s="165" t="s">
        <v>606</v>
      </c>
      <c r="BX744" s="247" t="s">
        <v>460</v>
      </c>
      <c r="BY744" s="138" t="str">
        <f t="shared" si="414"/>
        <v>ДП ГЛАСФОРД.4.Трипл. чер</v>
      </c>
      <c r="CA744" s="146" t="s">
        <v>3313</v>
      </c>
      <c r="CB744" s="137" t="s">
        <v>4307</v>
      </c>
      <c r="CC744" s="138" t="str">
        <f>CONCATENATE(CA744,".",CB744)</f>
        <v>ДП ТРЕНД.фальц..робоча..Soft ст +3завіс</v>
      </c>
      <c r="DD744" s="250" t="s">
        <v>2788</v>
      </c>
      <c r="DE744" s="166">
        <v>7870</v>
      </c>
      <c r="DF744" s="528">
        <f t="shared" si="410"/>
        <v>7870</v>
      </c>
      <c r="DG744" s="523"/>
      <c r="DH744" s="524">
        <f t="shared" si="415"/>
        <v>7870</v>
      </c>
      <c r="DP744" s="738" t="s">
        <v>2970</v>
      </c>
      <c r="DQ744" s="166">
        <v>920</v>
      </c>
      <c r="DR744" s="522">
        <f t="shared" si="419"/>
        <v>920</v>
      </c>
      <c r="DS744" s="523"/>
      <c r="DT744" s="524">
        <f t="shared" si="420"/>
        <v>920</v>
      </c>
      <c r="DV744" s="737" t="s">
        <v>4719</v>
      </c>
      <c r="DW744" s="163">
        <v>0</v>
      </c>
      <c r="DX744" s="528">
        <f t="shared" si="416"/>
        <v>0</v>
      </c>
      <c r="DY744" s="529"/>
      <c r="DZ744" s="530">
        <f t="shared" si="417"/>
        <v>0</v>
      </c>
    </row>
    <row r="745" spans="51:130">
      <c r="AY745" s="49" t="s">
        <v>505</v>
      </c>
      <c r="AZ745" s="48" t="s">
        <v>340</v>
      </c>
      <c r="BA745" s="70" t="str">
        <f>CONCATENATE(AY745,".",AZ745)</f>
        <v>Планка Verto-FIT 160мм.комплект</v>
      </c>
      <c r="BW745" s="108" t="s">
        <v>606</v>
      </c>
      <c r="BX745" s="787" t="s">
        <v>4251</v>
      </c>
      <c r="BY745" s="139" t="str">
        <f t="shared" si="414"/>
        <v>ДП ГЛАСФОРД.4.Дзеркало</v>
      </c>
      <c r="CA745" s="146" t="s">
        <v>3313</v>
      </c>
      <c r="CB745" s="21"/>
      <c r="CC745" s="21"/>
      <c r="DD745" s="250" t="s">
        <v>2789</v>
      </c>
      <c r="DE745" s="166">
        <v>7870</v>
      </c>
      <c r="DF745" s="528">
        <f t="shared" si="410"/>
        <v>7870</v>
      </c>
      <c r="DG745" s="523"/>
      <c r="DH745" s="524">
        <f t="shared" si="415"/>
        <v>7870</v>
      </c>
      <c r="DP745" s="738" t="s">
        <v>2971</v>
      </c>
      <c r="DQ745" s="166">
        <v>1350</v>
      </c>
      <c r="DR745" s="522">
        <f t="shared" si="419"/>
        <v>1350</v>
      </c>
      <c r="DS745" s="523"/>
      <c r="DT745" s="524">
        <f t="shared" si="420"/>
        <v>1350</v>
      </c>
      <c r="DV745" s="738" t="s">
        <v>4720</v>
      </c>
      <c r="DW745" s="166">
        <v>0</v>
      </c>
      <c r="DX745" s="522">
        <f t="shared" si="416"/>
        <v>0</v>
      </c>
      <c r="DY745" s="523"/>
      <c r="DZ745" s="524">
        <f t="shared" si="417"/>
        <v>0</v>
      </c>
    </row>
    <row r="746" spans="51:130">
      <c r="AY746" s="58" t="s">
        <v>1111</v>
      </c>
      <c r="AZ746" s="48" t="s">
        <v>340</v>
      </c>
      <c r="BA746" s="70" t="str">
        <f>CONCATENATE(AY746,".",AZ746)</f>
        <v>Планка Verto-FIT 200мм.комплект</v>
      </c>
      <c r="BW746" s="162" t="s">
        <v>607</v>
      </c>
      <c r="BX746" s="786" t="s">
        <v>4220</v>
      </c>
      <c r="BY746" s="135" t="str">
        <f t="shared" si="414"/>
        <v>ДП ГЛАСФОРД.5.Малюнок</v>
      </c>
      <c r="CA746" s="146" t="s">
        <v>3313</v>
      </c>
      <c r="CB746" s="137" t="s">
        <v>4316</v>
      </c>
      <c r="CC746" s="138" t="str">
        <f>CONCATENATE(CA746,".",CB746)</f>
        <v>ДП ТРЕНД.фальц..робоча..Magnet цл +3завіс</v>
      </c>
      <c r="DD746" s="250" t="s">
        <v>2790</v>
      </c>
      <c r="DE746" s="166">
        <v>7870</v>
      </c>
      <c r="DF746" s="528">
        <f t="shared" si="410"/>
        <v>7870</v>
      </c>
      <c r="DG746" s="523"/>
      <c r="DH746" s="524">
        <f t="shared" si="415"/>
        <v>7870</v>
      </c>
      <c r="DP746" s="739" t="s">
        <v>2972</v>
      </c>
      <c r="DQ746" s="164">
        <v>1350</v>
      </c>
      <c r="DR746" s="525">
        <f t="shared" si="419"/>
        <v>1350</v>
      </c>
      <c r="DS746" s="526"/>
      <c r="DT746" s="527">
        <f t="shared" si="420"/>
        <v>1350</v>
      </c>
      <c r="DV746" s="739" t="s">
        <v>4721</v>
      </c>
      <c r="DW746" s="164">
        <v>0</v>
      </c>
      <c r="DX746" s="531">
        <f t="shared" ref="DX746:DX752" si="421">ROUND(((DW746-(DW746/6))/$DD$3)*$DE$3,2)</f>
        <v>0</v>
      </c>
      <c r="DY746" s="526"/>
      <c r="DZ746" s="527">
        <f t="shared" ref="DZ746:DZ752" si="422">IF(DY746="",DX746,
IF(AND($DW$10&gt;=VLOOKUP(DY746,$DV$5:$DZ$9,2,0),$DW$10&lt;=VLOOKUP(DY746,$DV$5:$DZ$9,3,0)),
(DX746*(1-VLOOKUP(DY746,$DV$5:$DZ$9,4,0))),
DX746))</f>
        <v>0</v>
      </c>
    </row>
    <row r="747" spans="51:130">
      <c r="AY747" s="227"/>
      <c r="AZ747" s="222"/>
      <c r="BA747" s="223"/>
      <c r="BW747" s="165" t="s">
        <v>607</v>
      </c>
      <c r="BX747" s="770" t="s">
        <v>3851</v>
      </c>
      <c r="BY747" s="138" t="str">
        <f t="shared" si="414"/>
        <v>ДП ГЛАСФОРД.5.Графіт</v>
      </c>
      <c r="CA747" s="147" t="s">
        <v>3313</v>
      </c>
      <c r="CB747" s="62" t="s">
        <v>4319</v>
      </c>
      <c r="CC747" s="139" t="str">
        <f>CONCATENATE(CA747,".",CB747)</f>
        <v>ДП ТРЕНД.фальц..робоча..Magnet ст +3завіс</v>
      </c>
      <c r="DD747" s="249" t="s">
        <v>2791</v>
      </c>
      <c r="DE747" s="164">
        <v>7870</v>
      </c>
      <c r="DF747" s="528">
        <f t="shared" si="410"/>
        <v>7870</v>
      </c>
      <c r="DG747" s="526"/>
      <c r="DH747" s="527">
        <f t="shared" si="415"/>
        <v>7870</v>
      </c>
      <c r="DP747" s="737" t="s">
        <v>4237</v>
      </c>
      <c r="DQ747" s="163">
        <v>0</v>
      </c>
      <c r="DR747" s="528">
        <f t="shared" si="419"/>
        <v>0</v>
      </c>
      <c r="DS747" s="529"/>
      <c r="DT747" s="530">
        <f t="shared" si="420"/>
        <v>0</v>
      </c>
      <c r="DV747" s="738" t="s">
        <v>4722</v>
      </c>
      <c r="DW747" s="166">
        <v>800</v>
      </c>
      <c r="DX747" s="522">
        <f t="shared" si="421"/>
        <v>800</v>
      </c>
      <c r="DY747" s="523"/>
      <c r="DZ747" s="524">
        <f t="shared" si="422"/>
        <v>800</v>
      </c>
    </row>
    <row r="748" spans="51:130">
      <c r="AY748" s="49" t="s">
        <v>25</v>
      </c>
      <c r="AZ748" s="48" t="s">
        <v>341</v>
      </c>
      <c r="BA748" s="70" t="str">
        <f>CONCATENATE(AY748,".",AZ748)</f>
        <v>Планка Verto-FIT Comfort 80мм.комплект.</v>
      </c>
      <c r="BW748" s="165" t="s">
        <v>607</v>
      </c>
      <c r="BX748" s="247" t="s">
        <v>832</v>
      </c>
      <c r="BY748" s="138" t="str">
        <f t="shared" si="414"/>
        <v>ДП ГЛАСФОРД.5.Бронза</v>
      </c>
      <c r="CA748" s="145" t="s">
        <v>3314</v>
      </c>
      <c r="CB748" s="134" t="s">
        <v>4106</v>
      </c>
      <c r="CC748" s="135" t="str">
        <f>CONCATENATE(CA748,".",CB748)</f>
        <v>ДП ТРЕНД.фальц..неробоча..(ні)</v>
      </c>
      <c r="DD748" s="740" t="s">
        <v>5253</v>
      </c>
      <c r="DE748" s="166">
        <v>8280</v>
      </c>
      <c r="DF748" s="528">
        <f t="shared" si="410"/>
        <v>8280</v>
      </c>
      <c r="DG748" s="523"/>
      <c r="DH748" s="524">
        <f t="shared" si="415"/>
        <v>8280</v>
      </c>
      <c r="DP748" s="738" t="s">
        <v>4040</v>
      </c>
      <c r="DQ748" s="166">
        <v>920</v>
      </c>
      <c r="DR748" s="522">
        <f t="shared" si="419"/>
        <v>920</v>
      </c>
      <c r="DS748" s="523"/>
      <c r="DT748" s="524">
        <f t="shared" si="420"/>
        <v>920</v>
      </c>
      <c r="DV748" s="738" t="s">
        <v>4723</v>
      </c>
      <c r="DW748" s="166">
        <v>800</v>
      </c>
      <c r="DX748" s="522">
        <f t="shared" si="421"/>
        <v>800</v>
      </c>
      <c r="DY748" s="523"/>
      <c r="DZ748" s="524">
        <f t="shared" si="422"/>
        <v>800</v>
      </c>
    </row>
    <row r="749" spans="51:130">
      <c r="AY749" s="49" t="s">
        <v>26</v>
      </c>
      <c r="AZ749" s="48" t="s">
        <v>341</v>
      </c>
      <c r="BA749" s="70" t="str">
        <f>CONCATENATE(AY749,".",AZ749)</f>
        <v>Планка Verto-FIT Comfort 160мм.комплект.</v>
      </c>
      <c r="BW749" s="165" t="s">
        <v>607</v>
      </c>
      <c r="BX749" s="247" t="s">
        <v>461</v>
      </c>
      <c r="BY749" s="138" t="str">
        <f t="shared" si="414"/>
        <v>ДП ГЛАСФОРД.5.Трипл. мат</v>
      </c>
      <c r="CA749" s="146" t="s">
        <v>3314</v>
      </c>
      <c r="CB749" s="21"/>
      <c r="CC749" s="21"/>
      <c r="DD749" s="740" t="s">
        <v>5254</v>
      </c>
      <c r="DE749" s="166">
        <v>8280</v>
      </c>
      <c r="DF749" s="528">
        <f t="shared" si="410"/>
        <v>8280</v>
      </c>
      <c r="DG749" s="523"/>
      <c r="DH749" s="524">
        <f t="shared" ref="DH749:DH756" si="423">IF(DG749="",DF749,
IF(AND($DE$10&gt;=VLOOKUP(DG749,$DD$5:$DH$9,2,0),$DE$10&lt;=VLOOKUP(DG749,$DD$5:$DH$9,3,0)),
(DF749*(1-VLOOKUP(DG749,$DD$5:$DH$9,4,0))),
DF749))</f>
        <v>8280</v>
      </c>
      <c r="DP749" s="738" t="s">
        <v>2973</v>
      </c>
      <c r="DQ749" s="166">
        <v>920</v>
      </c>
      <c r="DR749" s="522">
        <f t="shared" si="419"/>
        <v>920</v>
      </c>
      <c r="DS749" s="523"/>
      <c r="DT749" s="524">
        <f t="shared" si="420"/>
        <v>920</v>
      </c>
      <c r="DV749" s="738" t="s">
        <v>4724</v>
      </c>
      <c r="DW749" s="166">
        <v>800</v>
      </c>
      <c r="DX749" s="522">
        <f t="shared" si="421"/>
        <v>800</v>
      </c>
      <c r="DY749" s="523"/>
      <c r="DZ749" s="524">
        <f t="shared" si="422"/>
        <v>800</v>
      </c>
    </row>
    <row r="750" spans="51:130">
      <c r="AY750" s="58" t="s">
        <v>1280</v>
      </c>
      <c r="AZ750" s="48" t="s">
        <v>341</v>
      </c>
      <c r="BA750" s="70" t="str">
        <f>CONCATENATE(AY750,".",AZ750)</f>
        <v>Планка Verto-FIT Comfort 200мм.комплект.</v>
      </c>
      <c r="BW750" s="165" t="s">
        <v>607</v>
      </c>
      <c r="BX750" s="247" t="s">
        <v>460</v>
      </c>
      <c r="BY750" s="138" t="str">
        <f t="shared" si="414"/>
        <v>ДП ГЛАСФОРД.5.Трипл. чер</v>
      </c>
      <c r="CA750" s="146" t="s">
        <v>3314</v>
      </c>
      <c r="CB750" s="783" t="s">
        <v>4325</v>
      </c>
      <c r="CC750" s="138" t="str">
        <f>CONCATENATE(CA750,".",CB750)</f>
        <v>ДП ТРЕНД.фальц..неробоча..Пл Stand +3завіс</v>
      </c>
      <c r="DD750" s="740" t="s">
        <v>5255</v>
      </c>
      <c r="DE750" s="166">
        <v>8280</v>
      </c>
      <c r="DF750" s="528">
        <f t="shared" si="410"/>
        <v>8280</v>
      </c>
      <c r="DG750" s="523"/>
      <c r="DH750" s="524">
        <f t="shared" si="423"/>
        <v>8280</v>
      </c>
      <c r="DP750" s="738" t="s">
        <v>2974</v>
      </c>
      <c r="DQ750" s="166">
        <v>1350</v>
      </c>
      <c r="DR750" s="522">
        <f t="shared" si="419"/>
        <v>1350</v>
      </c>
      <c r="DS750" s="523"/>
      <c r="DT750" s="524">
        <f t="shared" si="420"/>
        <v>1350</v>
      </c>
      <c r="DV750" s="738" t="s">
        <v>4725</v>
      </c>
      <c r="DW750" s="166">
        <v>800</v>
      </c>
      <c r="DX750" s="522">
        <f t="shared" si="421"/>
        <v>800</v>
      </c>
      <c r="DY750" s="523"/>
      <c r="DZ750" s="524">
        <f t="shared" si="422"/>
        <v>800</v>
      </c>
    </row>
    <row r="751" spans="51:130">
      <c r="AY751" s="227"/>
      <c r="AZ751" s="222"/>
      <c r="BA751" s="223"/>
      <c r="BW751" s="108" t="s">
        <v>607</v>
      </c>
      <c r="BX751" s="787" t="s">
        <v>4251</v>
      </c>
      <c r="BY751" s="139" t="str">
        <f t="shared" si="414"/>
        <v>ДП ГЛАСФОРД.5.Дзеркало</v>
      </c>
      <c r="CA751" s="146" t="s">
        <v>3314</v>
      </c>
      <c r="CB751" s="783" t="s">
        <v>4333</v>
      </c>
      <c r="CC751" s="138" t="str">
        <f>CONCATENATE(CA751,".",CB751)</f>
        <v>ДП ТРЕНД.фальц..неробоча..Пл Soft +3завіс</v>
      </c>
      <c r="DD751" s="740" t="s">
        <v>5256</v>
      </c>
      <c r="DE751" s="166">
        <v>8280</v>
      </c>
      <c r="DF751" s="528">
        <f t="shared" si="410"/>
        <v>8280</v>
      </c>
      <c r="DG751" s="523"/>
      <c r="DH751" s="524">
        <f t="shared" si="423"/>
        <v>8280</v>
      </c>
      <c r="DP751" s="739" t="s">
        <v>2975</v>
      </c>
      <c r="DQ751" s="164">
        <v>1350</v>
      </c>
      <c r="DR751" s="525">
        <f t="shared" si="419"/>
        <v>1350</v>
      </c>
      <c r="DS751" s="526"/>
      <c r="DT751" s="527">
        <f t="shared" si="420"/>
        <v>1350</v>
      </c>
      <c r="DV751" s="738" t="s">
        <v>4726</v>
      </c>
      <c r="DW751" s="166">
        <v>800</v>
      </c>
      <c r="DX751" s="522">
        <f t="shared" si="421"/>
        <v>800</v>
      </c>
      <c r="DY751" s="523"/>
      <c r="DZ751" s="524">
        <f t="shared" si="422"/>
        <v>800</v>
      </c>
    </row>
    <row r="752" spans="51:130">
      <c r="AY752" s="48"/>
      <c r="AZ752" s="48"/>
      <c r="BA752" s="48"/>
      <c r="BW752" s="432"/>
      <c r="BX752" s="432"/>
      <c r="BY752" s="432"/>
      <c r="CA752" s="147" t="s">
        <v>3314</v>
      </c>
      <c r="CB752" s="152" t="s">
        <v>4336</v>
      </c>
      <c r="CC752" s="139" t="str">
        <f>CONCATENATE(CA752,".",CB752)</f>
        <v>ДП ТРЕНД.фальц..неробоча..Пл Magnet +3завіс</v>
      </c>
      <c r="DD752" s="740" t="s">
        <v>5257</v>
      </c>
      <c r="DE752" s="166">
        <v>8280</v>
      </c>
      <c r="DF752" s="528">
        <f t="shared" si="410"/>
        <v>8280</v>
      </c>
      <c r="DG752" s="523"/>
      <c r="DH752" s="524">
        <f t="shared" si="423"/>
        <v>8280</v>
      </c>
      <c r="DP752" s="737" t="s">
        <v>4238</v>
      </c>
      <c r="DQ752" s="163">
        <v>0</v>
      </c>
      <c r="DR752" s="528">
        <f t="shared" si="419"/>
        <v>0</v>
      </c>
      <c r="DS752" s="529"/>
      <c r="DT752" s="530">
        <f t="shared" si="420"/>
        <v>0</v>
      </c>
      <c r="DV752" s="739" t="s">
        <v>4727</v>
      </c>
      <c r="DW752" s="166">
        <v>800</v>
      </c>
      <c r="DX752" s="525">
        <f t="shared" si="421"/>
        <v>800</v>
      </c>
      <c r="DY752" s="526"/>
      <c r="DZ752" s="527">
        <f t="shared" si="422"/>
        <v>800</v>
      </c>
    </row>
    <row r="753" spans="51:134">
      <c r="AY753" s="48"/>
      <c r="AZ753" s="48"/>
      <c r="BA753" s="48"/>
      <c r="BW753" s="739" t="s">
        <v>3014</v>
      </c>
      <c r="BX753" s="782" t="s">
        <v>4106</v>
      </c>
      <c r="BY753" s="139" t="str">
        <f t="shared" ref="BY753:BY758" si="424">CONCATENATE(BW753,".",BX753)</f>
        <v>ДП Добір.А.(ні)</v>
      </c>
      <c r="CA753" s="146" t="s">
        <v>3315</v>
      </c>
      <c r="CB753" s="137" t="s">
        <v>4106</v>
      </c>
      <c r="CC753" s="239" t="str">
        <f>CONCATENATE(CA753,".",CB753)</f>
        <v>ДП ТРЕНД.б/з фальц..робоча..(ні)</v>
      </c>
      <c r="DD753" s="740" t="s">
        <v>5258</v>
      </c>
      <c r="DE753" s="166">
        <v>8280</v>
      </c>
      <c r="DF753" s="528">
        <f t="shared" si="410"/>
        <v>8280</v>
      </c>
      <c r="DG753" s="523"/>
      <c r="DH753" s="524">
        <f t="shared" si="423"/>
        <v>8280</v>
      </c>
      <c r="DP753" s="738" t="s">
        <v>4041</v>
      </c>
      <c r="DQ753" s="166">
        <v>920</v>
      </c>
      <c r="DR753" s="522">
        <f t="shared" si="419"/>
        <v>920</v>
      </c>
      <c r="DS753" s="523"/>
      <c r="DT753" s="524">
        <f t="shared" si="420"/>
        <v>920</v>
      </c>
      <c r="DV753" s="739" t="s">
        <v>6389</v>
      </c>
      <c r="DW753" s="164">
        <v>0</v>
      </c>
      <c r="DX753" s="531">
        <f t="shared" si="416"/>
        <v>0</v>
      </c>
      <c r="DY753" s="526"/>
      <c r="DZ753" s="527">
        <f t="shared" si="417"/>
        <v>0</v>
      </c>
    </row>
    <row r="754" spans="51:134">
      <c r="AY754" s="48"/>
      <c r="AZ754" s="48"/>
      <c r="BA754" s="48"/>
      <c r="BW754" s="737" t="s">
        <v>3016</v>
      </c>
      <c r="BX754" s="246" t="s">
        <v>458</v>
      </c>
      <c r="BY754" s="135" t="str">
        <f t="shared" si="424"/>
        <v>ДП Добір.Б.Сатин</v>
      </c>
      <c r="CA754" s="146" t="s">
        <v>3315</v>
      </c>
      <c r="CB754" s="97"/>
      <c r="CC754" s="97"/>
      <c r="DD754" s="740" t="s">
        <v>5259</v>
      </c>
      <c r="DE754" s="166">
        <v>8280</v>
      </c>
      <c r="DF754" s="528">
        <f t="shared" si="410"/>
        <v>8280</v>
      </c>
      <c r="DG754" s="523"/>
      <c r="DH754" s="524">
        <f t="shared" si="423"/>
        <v>8280</v>
      </c>
      <c r="DP754" s="738" t="s">
        <v>2976</v>
      </c>
      <c r="DQ754" s="166">
        <v>920</v>
      </c>
      <c r="DR754" s="522">
        <f t="shared" si="419"/>
        <v>920</v>
      </c>
      <c r="DS754" s="523"/>
      <c r="DT754" s="524">
        <f t="shared" si="420"/>
        <v>920</v>
      </c>
      <c r="DV754" s="738" t="s">
        <v>6390</v>
      </c>
      <c r="DW754" s="166">
        <v>1</v>
      </c>
      <c r="DX754" s="522">
        <f t="shared" si="416"/>
        <v>1</v>
      </c>
      <c r="DY754" s="523"/>
      <c r="DZ754" s="524">
        <f t="shared" si="417"/>
        <v>1</v>
      </c>
    </row>
    <row r="755" spans="51:134">
      <c r="AY755" s="554"/>
      <c r="AZ755" s="554"/>
      <c r="BA755" s="554"/>
      <c r="BW755" s="738" t="s">
        <v>3016</v>
      </c>
      <c r="BX755" s="770" t="s">
        <v>3851</v>
      </c>
      <c r="BY755" s="138" t="str">
        <f t="shared" si="424"/>
        <v>ДП Добір.Б.Графіт</v>
      </c>
      <c r="CA755" s="146" t="s">
        <v>3315</v>
      </c>
      <c r="CB755" s="478" t="s">
        <v>4337</v>
      </c>
      <c r="CC755" s="239" t="str">
        <f>CONCATENATE(CA755,".",CB755)</f>
        <v>ДП ТРЕНД.б/з фальц..робоча..Magnet цл б/з завіс.</v>
      </c>
      <c r="DD755" s="740" t="s">
        <v>5260</v>
      </c>
      <c r="DE755" s="166">
        <v>8280</v>
      </c>
      <c r="DF755" s="528">
        <f t="shared" si="410"/>
        <v>8280</v>
      </c>
      <c r="DG755" s="523"/>
      <c r="DH755" s="524">
        <f t="shared" si="423"/>
        <v>8280</v>
      </c>
      <c r="DP755" s="738" t="s">
        <v>2977</v>
      </c>
      <c r="DQ755" s="166">
        <v>1350</v>
      </c>
      <c r="DR755" s="522">
        <f t="shared" si="419"/>
        <v>1350</v>
      </c>
      <c r="DS755" s="523"/>
      <c r="DT755" s="524">
        <f t="shared" si="420"/>
        <v>1350</v>
      </c>
      <c r="DV755" s="738" t="s">
        <v>6391</v>
      </c>
      <c r="DW755" s="166">
        <v>1</v>
      </c>
      <c r="DX755" s="522">
        <f t="shared" si="416"/>
        <v>1</v>
      </c>
      <c r="DY755" s="523"/>
      <c r="DZ755" s="524">
        <f t="shared" si="417"/>
        <v>1</v>
      </c>
    </row>
    <row r="756" spans="51:134">
      <c r="BW756" s="738" t="s">
        <v>3016</v>
      </c>
      <c r="BX756" s="247" t="s">
        <v>832</v>
      </c>
      <c r="BY756" s="138" t="str">
        <f t="shared" si="424"/>
        <v>ДП Добір.Б.Бронза</v>
      </c>
      <c r="CA756" s="146" t="s">
        <v>3315</v>
      </c>
      <c r="CB756" s="478" t="s">
        <v>4339</v>
      </c>
      <c r="CC756" s="239" t="str">
        <f>CONCATENATE(CA756,".",CB756)</f>
        <v>ДП ТРЕНД.б/з фальц..робоча..Magnet ст б/з завіс.</v>
      </c>
      <c r="DD756" s="741" t="s">
        <v>5261</v>
      </c>
      <c r="DE756" s="164">
        <v>8280</v>
      </c>
      <c r="DF756" s="528">
        <f t="shared" si="410"/>
        <v>8280</v>
      </c>
      <c r="DG756" s="523"/>
      <c r="DH756" s="527">
        <f t="shared" si="423"/>
        <v>8280</v>
      </c>
      <c r="DP756" s="739" t="s">
        <v>2978</v>
      </c>
      <c r="DQ756" s="164">
        <v>1350</v>
      </c>
      <c r="DR756" s="525">
        <f t="shared" si="419"/>
        <v>1350</v>
      </c>
      <c r="DS756" s="526"/>
      <c r="DT756" s="527">
        <f t="shared" si="420"/>
        <v>1350</v>
      </c>
      <c r="DV756" s="738" t="s">
        <v>6392</v>
      </c>
      <c r="DW756" s="166">
        <v>1</v>
      </c>
      <c r="DX756" s="522">
        <f t="shared" si="416"/>
        <v>1</v>
      </c>
      <c r="DY756" s="523"/>
      <c r="DZ756" s="524">
        <f t="shared" si="417"/>
        <v>1</v>
      </c>
    </row>
    <row r="757" spans="51:134">
      <c r="BW757" s="738" t="s">
        <v>3016</v>
      </c>
      <c r="BX757" s="247" t="s">
        <v>461</v>
      </c>
      <c r="BY757" s="138" t="str">
        <f t="shared" si="424"/>
        <v>ДП Добір.Б.Трипл. мат</v>
      </c>
      <c r="CA757" s="146" t="s">
        <v>3315</v>
      </c>
      <c r="CB757" s="97"/>
      <c r="CC757" s="97"/>
      <c r="DD757" s="641"/>
      <c r="DE757" s="642"/>
      <c r="DF757" s="643"/>
      <c r="DG757" s="644"/>
      <c r="DH757" s="645"/>
      <c r="DP757" s="737" t="s">
        <v>4239</v>
      </c>
      <c r="DQ757" s="163">
        <v>0</v>
      </c>
      <c r="DR757" s="528">
        <f t="shared" si="419"/>
        <v>0</v>
      </c>
      <c r="DS757" s="529"/>
      <c r="DT757" s="530">
        <f t="shared" si="420"/>
        <v>0</v>
      </c>
      <c r="DV757" s="738" t="s">
        <v>6393</v>
      </c>
      <c r="DW757" s="166">
        <v>1</v>
      </c>
      <c r="DX757" s="522">
        <f t="shared" si="416"/>
        <v>1</v>
      </c>
      <c r="DY757" s="523"/>
      <c r="DZ757" s="524">
        <f t="shared" si="417"/>
        <v>1</v>
      </c>
    </row>
    <row r="758" spans="51:134">
      <c r="BW758" s="738" t="s">
        <v>3016</v>
      </c>
      <c r="BX758" s="247" t="s">
        <v>460</v>
      </c>
      <c r="BY758" s="138" t="str">
        <f t="shared" si="424"/>
        <v>ДП Добір.Б.Трипл. чер</v>
      </c>
      <c r="CA758" s="146" t="s">
        <v>3315</v>
      </c>
      <c r="CB758" s="478" t="s">
        <v>4343</v>
      </c>
      <c r="CC758" s="239" t="str">
        <f>CONCATENATE(CA758,".",CB758)</f>
        <v>ДП ТРЕНД.б/з фальц..робоча..Magnet цл +2завіс 3D</v>
      </c>
      <c r="DD758" s="744" t="s">
        <v>2899</v>
      </c>
      <c r="DE758" s="163">
        <v>6790.0000000000009</v>
      </c>
      <c r="DF758" s="528">
        <f t="shared" ref="DF758:DF802" si="425">ROUND(((DE758-(DE758/6))/$DD$3)*$DE$3,2)</f>
        <v>6790</v>
      </c>
      <c r="DG758" s="529"/>
      <c r="DH758" s="530">
        <f t="shared" ref="DH758:DH765" si="426">IF(DG758="",DF758,
IF(AND($DE$10&gt;=VLOOKUP(DG758,$DD$5:$DH$9,2,0),$DE$10&lt;=VLOOKUP(DG758,$DD$5:$DH$9,3,0)),
(DF758*(1-VLOOKUP(DG758,$DD$5:$DH$9,4,0))),
DF758))</f>
        <v>6790</v>
      </c>
      <c r="DP758" s="738" t="s">
        <v>4042</v>
      </c>
      <c r="DQ758" s="166">
        <v>920</v>
      </c>
      <c r="DR758" s="522">
        <f t="shared" si="419"/>
        <v>920</v>
      </c>
      <c r="DS758" s="523"/>
      <c r="DT758" s="524">
        <f t="shared" si="420"/>
        <v>920</v>
      </c>
      <c r="DV758" s="738" t="s">
        <v>6394</v>
      </c>
      <c r="DW758" s="166">
        <v>1</v>
      </c>
      <c r="DX758" s="522">
        <f t="shared" si="416"/>
        <v>1</v>
      </c>
      <c r="DY758" s="523"/>
      <c r="DZ758" s="524">
        <f t="shared" si="417"/>
        <v>1</v>
      </c>
    </row>
    <row r="759" spans="51:134">
      <c r="BW759" s="432"/>
      <c r="BX759" s="432"/>
      <c r="BY759" s="432"/>
      <c r="CA759" s="146" t="s">
        <v>3315</v>
      </c>
      <c r="CB759" s="478" t="s">
        <v>4347</v>
      </c>
      <c r="CC759" s="239" t="str">
        <f>CONCATENATE(CA759,".",CB759)</f>
        <v>ДП ТРЕНД.б/з фальц..робоча..Magnet ст +2завіс 3D</v>
      </c>
      <c r="DD759" s="740" t="s">
        <v>2900</v>
      </c>
      <c r="DE759" s="166">
        <v>6790.0000000000009</v>
      </c>
      <c r="DF759" s="522">
        <f t="shared" si="425"/>
        <v>6790</v>
      </c>
      <c r="DG759" s="523"/>
      <c r="DH759" s="524">
        <f t="shared" si="426"/>
        <v>6790</v>
      </c>
      <c r="DP759" s="738" t="s">
        <v>2979</v>
      </c>
      <c r="DQ759" s="166">
        <v>920</v>
      </c>
      <c r="DR759" s="522">
        <f t="shared" si="419"/>
        <v>920</v>
      </c>
      <c r="DS759" s="523"/>
      <c r="DT759" s="524">
        <f t="shared" si="420"/>
        <v>920</v>
      </c>
      <c r="DV759" s="739" t="s">
        <v>6395</v>
      </c>
      <c r="DW759" s="166">
        <v>1</v>
      </c>
      <c r="DX759" s="525">
        <f t="shared" si="416"/>
        <v>1</v>
      </c>
      <c r="DY759" s="526"/>
      <c r="DZ759" s="527">
        <f t="shared" si="417"/>
        <v>1</v>
      </c>
    </row>
    <row r="760" spans="51:134">
      <c r="BW760" s="750" t="s">
        <v>3017</v>
      </c>
      <c r="BX760" s="782" t="s">
        <v>4106</v>
      </c>
      <c r="BY760" s="139" t="str">
        <f t="shared" ref="BY760:BY779" si="427">CONCATENATE(BW760,".",BX760)</f>
        <v>ДП Добір-ЛАДА.Л1/0.(ні)</v>
      </c>
      <c r="CA760" s="146" t="s">
        <v>3315</v>
      </c>
      <c r="CB760" s="97"/>
      <c r="CC760" s="97"/>
      <c r="DD760" s="740" t="s">
        <v>2901</v>
      </c>
      <c r="DE760" s="166">
        <v>6790.0000000000009</v>
      </c>
      <c r="DF760" s="522">
        <f t="shared" si="425"/>
        <v>6790</v>
      </c>
      <c r="DG760" s="523"/>
      <c r="DH760" s="524">
        <f t="shared" si="426"/>
        <v>6790</v>
      </c>
      <c r="DP760" s="738" t="s">
        <v>2980</v>
      </c>
      <c r="DQ760" s="166">
        <v>1350</v>
      </c>
      <c r="DR760" s="522">
        <f t="shared" si="419"/>
        <v>1350</v>
      </c>
      <c r="DS760" s="523"/>
      <c r="DT760" s="524">
        <f t="shared" si="420"/>
        <v>1350</v>
      </c>
      <c r="DV760" s="738" t="s">
        <v>2805</v>
      </c>
      <c r="DW760" s="166">
        <v>0</v>
      </c>
      <c r="DX760" s="522">
        <f t="shared" si="416"/>
        <v>0</v>
      </c>
      <c r="DY760" s="523"/>
      <c r="DZ760" s="524">
        <f t="shared" si="417"/>
        <v>0</v>
      </c>
    </row>
    <row r="761" spans="51:134">
      <c r="BW761" s="751" t="s">
        <v>3020</v>
      </c>
      <c r="BX761" s="246" t="s">
        <v>458</v>
      </c>
      <c r="BY761" s="135" t="str">
        <f t="shared" si="427"/>
        <v>ДП Добір-ЛАДА.Л1/1.Сатин</v>
      </c>
      <c r="CA761" s="146" t="s">
        <v>3315</v>
      </c>
      <c r="CB761" s="478" t="s">
        <v>4349</v>
      </c>
      <c r="CC761" s="239" t="str">
        <f>CONCATENATE(CA761,".",CB761)</f>
        <v>ДП ТРЕНД.б/з фальц..робоча..Magnet цл +3завіс 3D</v>
      </c>
      <c r="DD761" s="740" t="s">
        <v>2902</v>
      </c>
      <c r="DE761" s="166">
        <v>6790.0000000000009</v>
      </c>
      <c r="DF761" s="522">
        <f t="shared" si="425"/>
        <v>6790</v>
      </c>
      <c r="DG761" s="523"/>
      <c r="DH761" s="524">
        <f t="shared" si="426"/>
        <v>6790</v>
      </c>
      <c r="DP761" s="739" t="s">
        <v>2981</v>
      </c>
      <c r="DQ761" s="164">
        <v>1350</v>
      </c>
      <c r="DR761" s="525">
        <f t="shared" si="419"/>
        <v>1350</v>
      </c>
      <c r="DS761" s="526"/>
      <c r="DT761" s="527">
        <f t="shared" si="420"/>
        <v>1350</v>
      </c>
      <c r="DV761" s="739" t="s">
        <v>2806</v>
      </c>
      <c r="DW761" s="164">
        <v>560</v>
      </c>
      <c r="DX761" s="531">
        <f t="shared" si="416"/>
        <v>560</v>
      </c>
      <c r="DY761" s="526"/>
      <c r="DZ761" s="527">
        <f t="shared" si="417"/>
        <v>560</v>
      </c>
    </row>
    <row r="762" spans="51:134">
      <c r="BW762" s="752" t="s">
        <v>3020</v>
      </c>
      <c r="BX762" s="770" t="s">
        <v>3851</v>
      </c>
      <c r="BY762" s="138" t="str">
        <f t="shared" si="427"/>
        <v>ДП Добір-ЛАДА.Л1/1.Графіт</v>
      </c>
      <c r="CA762" s="147" t="s">
        <v>3315</v>
      </c>
      <c r="CB762" s="590" t="s">
        <v>4350</v>
      </c>
      <c r="CC762" s="240" t="str">
        <f>CONCATENATE(CA762,".",CB762)</f>
        <v>ДП ТРЕНД.б/з фальц..робоча..Magnet ст +3завіс 3D</v>
      </c>
      <c r="DD762" s="740" t="s">
        <v>2903</v>
      </c>
      <c r="DE762" s="166">
        <v>6790.0000000000009</v>
      </c>
      <c r="DF762" s="522">
        <f t="shared" si="425"/>
        <v>6790</v>
      </c>
      <c r="DG762" s="523"/>
      <c r="DH762" s="524">
        <f t="shared" si="426"/>
        <v>6790</v>
      </c>
      <c r="DP762" s="737" t="s">
        <v>4240</v>
      </c>
      <c r="DQ762" s="163">
        <v>0</v>
      </c>
      <c r="DR762" s="528">
        <f t="shared" si="419"/>
        <v>0</v>
      </c>
      <c r="DS762" s="529"/>
      <c r="DT762" s="530">
        <f t="shared" si="420"/>
        <v>0</v>
      </c>
      <c r="DV762" s="647"/>
      <c r="DW762" s="648"/>
      <c r="DX762" s="654"/>
      <c r="DY762" s="655"/>
      <c r="DZ762" s="656"/>
    </row>
    <row r="763" spans="51:134">
      <c r="BW763" s="750" t="s">
        <v>3020</v>
      </c>
      <c r="BX763" s="248" t="s">
        <v>832</v>
      </c>
      <c r="BY763" s="139" t="str">
        <f t="shared" si="427"/>
        <v>ДП Добір-ЛАДА.Л1/1.Бронза</v>
      </c>
      <c r="CA763" s="145" t="s">
        <v>3316</v>
      </c>
      <c r="CB763" s="134" t="s">
        <v>4106</v>
      </c>
      <c r="CC763" s="135" t="str">
        <f>CONCATENATE(CA763,".",CB763)</f>
        <v>ДП ТРЕНД.купе..робоча..(ні)</v>
      </c>
      <c r="DD763" s="740" t="s">
        <v>2904</v>
      </c>
      <c r="DE763" s="166">
        <v>6790.0000000000009</v>
      </c>
      <c r="DF763" s="522">
        <f t="shared" si="425"/>
        <v>6790</v>
      </c>
      <c r="DG763" s="523"/>
      <c r="DH763" s="524">
        <f t="shared" si="426"/>
        <v>6790</v>
      </c>
      <c r="DP763" s="738" t="s">
        <v>4043</v>
      </c>
      <c r="DQ763" s="166">
        <v>920</v>
      </c>
      <c r="DR763" s="522">
        <f t="shared" si="419"/>
        <v>920</v>
      </c>
      <c r="DS763" s="523"/>
      <c r="DT763" s="524">
        <f t="shared" si="420"/>
        <v>920</v>
      </c>
      <c r="DV763" s="736" t="s">
        <v>4173</v>
      </c>
      <c r="DW763" s="105">
        <v>0</v>
      </c>
      <c r="DX763" s="403">
        <f t="shared" ref="DX763:DX793" si="428">ROUND(((DW763-(DW763/6))/$DD$3)*$DE$3,2)</f>
        <v>0</v>
      </c>
      <c r="DY763" s="514"/>
      <c r="DZ763" s="511">
        <f t="shared" ref="DZ763:DZ793" si="429">IF(DY763="",DX763,
IF(AND($DW$10&gt;=VLOOKUP(DY763,$DV$5:$DZ$9,2,0),$DW$10&lt;=VLOOKUP(DY763,$DV$5:$DZ$9,3,0)),
(DX763*(1-VLOOKUP(DY763,$DV$5:$DZ$9,4,0))),
DX763))</f>
        <v>0</v>
      </c>
    </row>
    <row r="764" spans="51:134">
      <c r="BW764" s="750" t="s">
        <v>3020</v>
      </c>
      <c r="BX764" s="248" t="s">
        <v>6046</v>
      </c>
      <c r="BY764" s="139" t="str">
        <f>CONCATENATE(BW764,".",BX764)</f>
        <v>ДП Добір-ЛАДА.Л1/1.Лакобель</v>
      </c>
      <c r="CA764" s="146" t="s">
        <v>3316</v>
      </c>
      <c r="CB764" s="21"/>
      <c r="CC764" s="21"/>
      <c r="DD764" s="740" t="s">
        <v>2905</v>
      </c>
      <c r="DE764" s="166">
        <v>6790.0000000000009</v>
      </c>
      <c r="DF764" s="522">
        <f t="shared" si="425"/>
        <v>6790</v>
      </c>
      <c r="DG764" s="523"/>
      <c r="DH764" s="524">
        <f t="shared" si="426"/>
        <v>6790</v>
      </c>
      <c r="DP764" s="738" t="s">
        <v>2982</v>
      </c>
      <c r="DQ764" s="166">
        <v>920</v>
      </c>
      <c r="DR764" s="522">
        <f t="shared" si="419"/>
        <v>920</v>
      </c>
      <c r="DS764" s="523"/>
      <c r="DT764" s="524">
        <f t="shared" si="420"/>
        <v>920</v>
      </c>
      <c r="DV764" s="737" t="s">
        <v>5898</v>
      </c>
      <c r="DW764" s="163">
        <v>0</v>
      </c>
      <c r="DX764" s="528">
        <f t="shared" si="428"/>
        <v>0</v>
      </c>
      <c r="DY764" s="529"/>
      <c r="DZ764" s="530">
        <f t="shared" si="429"/>
        <v>0</v>
      </c>
    </row>
    <row r="765" spans="51:134">
      <c r="BW765" s="750" t="s">
        <v>3021</v>
      </c>
      <c r="BX765" s="782" t="s">
        <v>4106</v>
      </c>
      <c r="BY765" s="139" t="str">
        <f t="shared" si="427"/>
        <v>ДП Добір-ЛАДА.Л3/0.(ні)</v>
      </c>
      <c r="CA765" s="146" t="s">
        <v>3316</v>
      </c>
      <c r="CB765" s="137" t="s">
        <v>462</v>
      </c>
      <c r="CC765" s="138" t="str">
        <f>CONCATENATE(CA765,".",CB765)</f>
        <v>ДП ТРЕНД.купе..робоча..Ручка-Захват</v>
      </c>
      <c r="DD765" s="740" t="s">
        <v>2906</v>
      </c>
      <c r="DE765" s="166">
        <v>6790.0000000000009</v>
      </c>
      <c r="DF765" s="522">
        <f t="shared" si="425"/>
        <v>6790</v>
      </c>
      <c r="DG765" s="523"/>
      <c r="DH765" s="524">
        <f t="shared" si="426"/>
        <v>6790</v>
      </c>
      <c r="DP765" s="738" t="s">
        <v>2983</v>
      </c>
      <c r="DQ765" s="166">
        <v>1350</v>
      </c>
      <c r="DR765" s="522">
        <f t="shared" si="419"/>
        <v>1350</v>
      </c>
      <c r="DS765" s="523"/>
      <c r="DT765" s="524">
        <f t="shared" si="420"/>
        <v>1350</v>
      </c>
      <c r="DV765" s="737" t="s">
        <v>5899</v>
      </c>
      <c r="DW765" s="166">
        <v>0</v>
      </c>
      <c r="DX765" s="522">
        <f>ROUND(((DW765-(DW765/6))/$DD$3)*$DE$3,2)</f>
        <v>0</v>
      </c>
      <c r="DY765" s="523"/>
      <c r="DZ765" s="524">
        <f>IF(DY765="",DX765,
IF(AND($DW$10&gt;=VLOOKUP(DY765,$DV$5:$DZ$9,2,0),$DW$10&lt;=VLOOKUP(DY765,$DV$5:$DZ$9,3,0)),
(DX765*(1-VLOOKUP(DY765,$DV$5:$DZ$9,4,0))),
DX765))</f>
        <v>0</v>
      </c>
    </row>
    <row r="766" spans="51:134">
      <c r="BW766" s="751" t="s">
        <v>3022</v>
      </c>
      <c r="BX766" s="246" t="s">
        <v>458</v>
      </c>
      <c r="BY766" s="135" t="str">
        <f t="shared" si="427"/>
        <v>ДП Добір-ЛАДА.Л3/1.Сатин</v>
      </c>
      <c r="CA766" s="146" t="s">
        <v>3316</v>
      </c>
      <c r="CB766" s="137" t="s">
        <v>684</v>
      </c>
      <c r="CC766" s="138" t="str">
        <f>CONCATENATE(CA766,".",CB766)</f>
        <v>ДП ТРЕНД.купе..робоча..Ручка-Замок</v>
      </c>
      <c r="DD766" s="741" t="s">
        <v>2907</v>
      </c>
      <c r="DE766" s="164">
        <v>6790.0000000000009</v>
      </c>
      <c r="DF766" s="531">
        <f t="shared" si="425"/>
        <v>6790</v>
      </c>
      <c r="DG766" s="526"/>
      <c r="DH766" s="527">
        <f>IF(DG766="",DF766,
IF(AND($DE$10&gt;=VLOOKUP(DG766,$DD$5:$DH$9,2,0),$DE$10&lt;=VLOOKUP(DG766,$DD$5:$DH$9,3,0)),
(DF766*(1-VLOOKUP(DG766,$DD$5:$DH$9,4,0))),
DF766))</f>
        <v>6790</v>
      </c>
      <c r="DP766" s="739" t="s">
        <v>2984</v>
      </c>
      <c r="DQ766" s="164">
        <v>1350</v>
      </c>
      <c r="DR766" s="525">
        <f t="shared" si="419"/>
        <v>1350</v>
      </c>
      <c r="DS766" s="526"/>
      <c r="DT766" s="527">
        <f t="shared" si="420"/>
        <v>1350</v>
      </c>
      <c r="DV766" s="738" t="s">
        <v>5900</v>
      </c>
      <c r="DW766" s="166">
        <v>0</v>
      </c>
      <c r="DX766" s="522">
        <f t="shared" si="428"/>
        <v>0</v>
      </c>
      <c r="DY766" s="523"/>
      <c r="DZ766" s="524">
        <f t="shared" si="429"/>
        <v>0</v>
      </c>
    </row>
    <row r="767" spans="51:134">
      <c r="BW767" s="752" t="s">
        <v>3022</v>
      </c>
      <c r="BX767" s="770" t="s">
        <v>3851</v>
      </c>
      <c r="BY767" s="138" t="str">
        <f t="shared" si="427"/>
        <v>ДП Добір-ЛАДА.Л3/1.Графіт</v>
      </c>
      <c r="CA767" s="432"/>
      <c r="CB767" s="222"/>
      <c r="CC767" s="223"/>
      <c r="DD767" s="740" t="s">
        <v>2908</v>
      </c>
      <c r="DE767" s="166">
        <v>7660</v>
      </c>
      <c r="DF767" s="531">
        <f t="shared" si="425"/>
        <v>7660</v>
      </c>
      <c r="DG767" s="523"/>
      <c r="DH767" s="527">
        <f t="shared" ref="DH767:DH802" si="430">IF(DG767="",DF767,
IF(AND($DE$10&gt;=VLOOKUP(DG767,$DD$5:$DH$9,2,0),$DE$10&lt;=VLOOKUP(DG767,$DD$5:$DH$9,3,0)),
(DF767*(1-VLOOKUP(DG767,$DD$5:$DH$9,4,0))),
DF767))</f>
        <v>7660</v>
      </c>
      <c r="DP767" s="737" t="s">
        <v>4241</v>
      </c>
      <c r="DQ767" s="163">
        <v>0</v>
      </c>
      <c r="DR767" s="528">
        <f t="shared" si="419"/>
        <v>0</v>
      </c>
      <c r="DS767" s="529"/>
      <c r="DT767" s="530">
        <f t="shared" si="420"/>
        <v>0</v>
      </c>
      <c r="DV767" s="738" t="s">
        <v>5901</v>
      </c>
      <c r="DW767" s="166">
        <v>0</v>
      </c>
      <c r="DX767" s="522">
        <f>ROUND(((DW767-(DW767/6))/$DD$3)*$DE$3,2)</f>
        <v>0</v>
      </c>
      <c r="DY767" s="523"/>
      <c r="DZ767" s="524">
        <f>IF(DY767="",DX767,
IF(AND($DW$10&gt;=VLOOKUP(DY767,$DV$5:$DZ$9,2,0),$DW$10&lt;=VLOOKUP(DY767,$DV$5:$DZ$9,3,0)),
(DX767*(1-VLOOKUP(DY767,$DV$5:$DZ$9,4,0))),
DX767))</f>
        <v>0</v>
      </c>
    </row>
    <row r="768" spans="51:134">
      <c r="BW768" s="750" t="s">
        <v>3022</v>
      </c>
      <c r="BX768" s="248" t="s">
        <v>832</v>
      </c>
      <c r="BY768" s="139" t="str">
        <f t="shared" si="427"/>
        <v>ДП Добір-ЛАДА.Л3/1.Бронза</v>
      </c>
      <c r="CA768" s="146" t="s">
        <v>3317</v>
      </c>
      <c r="CB768" s="137" t="s">
        <v>4106</v>
      </c>
      <c r="CC768" s="138" t="str">
        <f>CONCATENATE(CA768,".",CB768)</f>
        <v>ДП МОДЕРН.фальц..робоча..(ні)</v>
      </c>
      <c r="DD768" s="740" t="s">
        <v>2909</v>
      </c>
      <c r="DE768" s="166">
        <v>7660</v>
      </c>
      <c r="DF768" s="531">
        <f t="shared" si="425"/>
        <v>7660</v>
      </c>
      <c r="DG768" s="523"/>
      <c r="DH768" s="527">
        <f t="shared" si="430"/>
        <v>7660</v>
      </c>
      <c r="DP768" s="738" t="s">
        <v>4044</v>
      </c>
      <c r="DQ768" s="166">
        <v>920</v>
      </c>
      <c r="DR768" s="522">
        <f t="shared" si="419"/>
        <v>920</v>
      </c>
      <c r="DS768" s="523"/>
      <c r="DT768" s="524">
        <f t="shared" si="420"/>
        <v>920</v>
      </c>
      <c r="DV768" s="738" t="s">
        <v>5902</v>
      </c>
      <c r="DW768" s="166">
        <v>0</v>
      </c>
      <c r="DX768" s="522">
        <f t="shared" si="428"/>
        <v>0</v>
      </c>
      <c r="DY768" s="523"/>
      <c r="DZ768" s="524">
        <f t="shared" si="429"/>
        <v>0</v>
      </c>
      <c r="EB768" s="836"/>
      <c r="EC768" s="771"/>
      <c r="ED768" s="837"/>
    </row>
    <row r="769" spans="75:134">
      <c r="BW769" s="750" t="s">
        <v>3022</v>
      </c>
      <c r="BX769" s="248" t="s">
        <v>6046</v>
      </c>
      <c r="BY769" s="139" t="str">
        <f>CONCATENATE(BW769,".",BX769)</f>
        <v>ДП Добір-ЛАДА.Л3/1.Лакобель</v>
      </c>
      <c r="CA769" s="146" t="s">
        <v>3317</v>
      </c>
      <c r="CB769" s="21"/>
      <c r="CC769" s="21"/>
      <c r="DD769" s="740" t="s">
        <v>2910</v>
      </c>
      <c r="DE769" s="166">
        <v>7660</v>
      </c>
      <c r="DF769" s="531">
        <f t="shared" si="425"/>
        <v>7660</v>
      </c>
      <c r="DG769" s="523"/>
      <c r="DH769" s="527">
        <f t="shared" si="430"/>
        <v>7660</v>
      </c>
      <c r="DP769" s="738" t="s">
        <v>2985</v>
      </c>
      <c r="DQ769" s="166">
        <v>920</v>
      </c>
      <c r="DR769" s="522">
        <f t="shared" si="419"/>
        <v>920</v>
      </c>
      <c r="DS769" s="523"/>
      <c r="DT769" s="524">
        <f t="shared" si="420"/>
        <v>920</v>
      </c>
      <c r="DV769" s="738" t="s">
        <v>5903</v>
      </c>
      <c r="DW769" s="166">
        <v>0</v>
      </c>
      <c r="DX769" s="522">
        <f>ROUND(((DW769-(DW769/6))/$DD$3)*$DE$3,2)</f>
        <v>0</v>
      </c>
      <c r="DY769" s="523"/>
      <c r="DZ769" s="524">
        <f>IF(DY769="",DX769,
IF(AND($DW$10&gt;=VLOOKUP(DY769,$DV$5:$DZ$9,2,0),$DW$10&lt;=VLOOKUP(DY769,$DV$5:$DZ$9,3,0)),
(DX769*(1-VLOOKUP(DY769,$DV$5:$DZ$9,4,0))),
DX769))</f>
        <v>0</v>
      </c>
      <c r="EB769" s="838"/>
      <c r="EC769" s="839"/>
      <c r="ED769" s="840"/>
    </row>
    <row r="770" spans="75:134">
      <c r="BW770" s="751" t="s">
        <v>3023</v>
      </c>
      <c r="BX770" s="246" t="s">
        <v>458</v>
      </c>
      <c r="BY770" s="135" t="str">
        <f t="shared" si="427"/>
        <v>ДП Добір-ЛАДА.Л3/2.Сатин</v>
      </c>
      <c r="CA770" s="146" t="s">
        <v>3317</v>
      </c>
      <c r="CB770" s="783" t="s">
        <v>5754</v>
      </c>
      <c r="CC770" s="138" t="str">
        <f t="shared" ref="CC770:CC775" si="431">CONCATENATE(CA770,".",CB770)</f>
        <v>ДП МОДЕРН.фальц..робоча..Stand цл Лів +3завіс</v>
      </c>
      <c r="DD770" s="740" t="s">
        <v>2911</v>
      </c>
      <c r="DE770" s="166">
        <v>7660</v>
      </c>
      <c r="DF770" s="531">
        <f t="shared" si="425"/>
        <v>7660</v>
      </c>
      <c r="DG770" s="523"/>
      <c r="DH770" s="527">
        <f t="shared" si="430"/>
        <v>7660</v>
      </c>
      <c r="DP770" s="738" t="s">
        <v>2986</v>
      </c>
      <c r="DQ770" s="166">
        <v>1350</v>
      </c>
      <c r="DR770" s="522">
        <f t="shared" si="419"/>
        <v>1350</v>
      </c>
      <c r="DS770" s="523"/>
      <c r="DT770" s="524">
        <f t="shared" si="420"/>
        <v>1350</v>
      </c>
      <c r="DV770" s="738" t="s">
        <v>4728</v>
      </c>
      <c r="DW770" s="166">
        <v>550</v>
      </c>
      <c r="DX770" s="522">
        <f t="shared" si="428"/>
        <v>550</v>
      </c>
      <c r="DY770" s="523"/>
      <c r="DZ770" s="524">
        <f t="shared" si="429"/>
        <v>550</v>
      </c>
      <c r="EB770" s="836"/>
      <c r="EC770" s="771"/>
      <c r="ED770" s="837"/>
    </row>
    <row r="771" spans="75:134">
      <c r="BW771" s="752" t="s">
        <v>3023</v>
      </c>
      <c r="BX771" s="770" t="s">
        <v>3851</v>
      </c>
      <c r="BY771" s="138" t="str">
        <f t="shared" si="427"/>
        <v>ДП Добір-ЛАДА.Л3/2.Графіт</v>
      </c>
      <c r="CA771" s="146" t="s">
        <v>3317</v>
      </c>
      <c r="CB771" s="783" t="s">
        <v>5755</v>
      </c>
      <c r="CC771" s="138" t="str">
        <f t="shared" si="431"/>
        <v>ДП МОДЕРН.фальц..робоча..Stand цл Пр +3завіс</v>
      </c>
      <c r="DD771" s="740" t="s">
        <v>2912</v>
      </c>
      <c r="DE771" s="166">
        <v>7660</v>
      </c>
      <c r="DF771" s="531">
        <f t="shared" si="425"/>
        <v>7660</v>
      </c>
      <c r="DG771" s="523"/>
      <c r="DH771" s="527">
        <f t="shared" si="430"/>
        <v>7660</v>
      </c>
      <c r="DP771" s="739" t="s">
        <v>2987</v>
      </c>
      <c r="DQ771" s="164">
        <v>1350</v>
      </c>
      <c r="DR771" s="525">
        <f t="shared" si="419"/>
        <v>1350</v>
      </c>
      <c r="DS771" s="526"/>
      <c r="DT771" s="527">
        <f t="shared" si="420"/>
        <v>1350</v>
      </c>
      <c r="DV771" s="738" t="s">
        <v>4729</v>
      </c>
      <c r="DW771" s="166">
        <v>550</v>
      </c>
      <c r="DX771" s="522">
        <f t="shared" si="428"/>
        <v>550</v>
      </c>
      <c r="DY771" s="523"/>
      <c r="DZ771" s="524">
        <f t="shared" si="429"/>
        <v>550</v>
      </c>
      <c r="EB771" s="838"/>
      <c r="EC771" s="839"/>
      <c r="ED771" s="840"/>
    </row>
    <row r="772" spans="75:134">
      <c r="BW772" s="750" t="s">
        <v>3023</v>
      </c>
      <c r="BX772" s="248" t="s">
        <v>832</v>
      </c>
      <c r="BY772" s="139" t="str">
        <f t="shared" si="427"/>
        <v>ДП Добір-ЛАДА.Л3/2.Бронза</v>
      </c>
      <c r="CA772" s="146" t="s">
        <v>3317</v>
      </c>
      <c r="CB772" s="783" t="s">
        <v>5756</v>
      </c>
      <c r="CC772" s="138" t="str">
        <f t="shared" si="431"/>
        <v>ДП МОДЕРН.фальц..робоча..Stand кл Лів +3завіс</v>
      </c>
      <c r="DD772" s="740" t="s">
        <v>2913</v>
      </c>
      <c r="DE772" s="166">
        <v>7660</v>
      </c>
      <c r="DF772" s="531">
        <f t="shared" si="425"/>
        <v>7660</v>
      </c>
      <c r="DG772" s="523"/>
      <c r="DH772" s="527">
        <f t="shared" si="430"/>
        <v>7660</v>
      </c>
      <c r="DP772" s="538"/>
      <c r="DQ772" s="539"/>
      <c r="DR772" s="650"/>
      <c r="DS772" s="651"/>
      <c r="DT772" s="652"/>
      <c r="DV772" s="738" t="s">
        <v>4730</v>
      </c>
      <c r="DW772" s="166">
        <v>800</v>
      </c>
      <c r="DX772" s="522">
        <f>ROUND(((DW772-(DW772/6))/$DD$3)*$DE$3,2)</f>
        <v>800</v>
      </c>
      <c r="DY772" s="523"/>
      <c r="DZ772" s="524">
        <f>IF(DY772="",DX772,
IF(AND($DW$10&gt;=VLOOKUP(DY772,$DV$5:$DZ$9,2,0),$DW$10&lt;=VLOOKUP(DY772,$DV$5:$DZ$9,3,0)),
(DX772*(1-VLOOKUP(DY772,$DV$5:$DZ$9,4,0))),
DX772))</f>
        <v>800</v>
      </c>
    </row>
    <row r="773" spans="75:134">
      <c r="BW773" s="750" t="s">
        <v>3023</v>
      </c>
      <c r="BX773" s="248" t="s">
        <v>6046</v>
      </c>
      <c r="BY773" s="139" t="str">
        <f>CONCATENATE(BW773,".",BX773)</f>
        <v>ДП Добір-ЛАДА.Л3/2.Лакобель</v>
      </c>
      <c r="CA773" s="146" t="s">
        <v>3317</v>
      </c>
      <c r="CB773" s="783" t="s">
        <v>5757</v>
      </c>
      <c r="CC773" s="138" t="str">
        <f t="shared" si="431"/>
        <v>ДП МОДЕРН.фальц..робоча..Stand кл Пр +3завіс</v>
      </c>
      <c r="DD773" s="740" t="s">
        <v>2914</v>
      </c>
      <c r="DE773" s="166">
        <v>7660</v>
      </c>
      <c r="DF773" s="531">
        <f t="shared" si="425"/>
        <v>7660</v>
      </c>
      <c r="DG773" s="523"/>
      <c r="DH773" s="527">
        <f t="shared" si="430"/>
        <v>7660</v>
      </c>
      <c r="DP773" s="162" t="s">
        <v>46</v>
      </c>
      <c r="DQ773" s="163">
        <v>0</v>
      </c>
      <c r="DR773" s="528">
        <f t="shared" ref="DR773:DR802" si="432">ROUND(((DQ773-(DQ773/6))/$DD$3)*$DE$3,2)</f>
        <v>0</v>
      </c>
      <c r="DS773" s="529"/>
      <c r="DT773" s="530">
        <f t="shared" ref="DT773:DT802" si="433">IF(DS773="",DR773,
IF(AND($DQ$10&gt;=VLOOKUP(DS773,$DP$5:$DT$9,2,0),$DQ$10&lt;=VLOOKUP(DS773,$DP$5:$DT$9,3,0)),
(DR773*(1-VLOOKUP(DS773,$DP$5:$DT$9,4,0))),
DR773))</f>
        <v>0</v>
      </c>
      <c r="DV773" s="739" t="s">
        <v>4731</v>
      </c>
      <c r="DW773" s="164">
        <v>800</v>
      </c>
      <c r="DX773" s="525">
        <f>ROUND(((DW773-(DW773/6))/$DD$3)*$DE$3,2)</f>
        <v>800</v>
      </c>
      <c r="DY773" s="526"/>
      <c r="DZ773" s="527">
        <f>IF(DY773="",DX773,
IF(AND($DW$10&gt;=VLOOKUP(DY773,$DV$5:$DZ$9,2,0),$DW$10&lt;=VLOOKUP(DY773,$DV$5:$DZ$9,3,0)),
(DX773*(1-VLOOKUP(DY773,$DV$5:$DZ$9,4,0))),
DX773))</f>
        <v>800</v>
      </c>
    </row>
    <row r="774" spans="75:134">
      <c r="BW774" s="750" t="s">
        <v>3024</v>
      </c>
      <c r="BX774" s="782" t="s">
        <v>4106</v>
      </c>
      <c r="BY774" s="139" t="str">
        <f t="shared" si="427"/>
        <v>ДП Добір-ЛАДА.Л4/0.(ні)</v>
      </c>
      <c r="CA774" s="146" t="s">
        <v>3317</v>
      </c>
      <c r="CB774" s="783" t="s">
        <v>5758</v>
      </c>
      <c r="CC774" s="138" t="str">
        <f t="shared" si="431"/>
        <v>ДП МОДЕРН.фальц..робоча..Stand ст Лів +3завіс</v>
      </c>
      <c r="DD774" s="740" t="s">
        <v>2915</v>
      </c>
      <c r="DE774" s="166">
        <v>7660</v>
      </c>
      <c r="DF774" s="531">
        <f t="shared" si="425"/>
        <v>7660</v>
      </c>
      <c r="DG774" s="523"/>
      <c r="DH774" s="527">
        <f t="shared" si="430"/>
        <v>7660</v>
      </c>
      <c r="DP774" s="738" t="s">
        <v>4045</v>
      </c>
      <c r="DQ774" s="166">
        <v>1650</v>
      </c>
      <c r="DR774" s="522">
        <f t="shared" si="432"/>
        <v>1650</v>
      </c>
      <c r="DS774" s="523"/>
      <c r="DT774" s="524">
        <f t="shared" si="433"/>
        <v>1650</v>
      </c>
      <c r="DV774" s="738" t="s">
        <v>6404</v>
      </c>
      <c r="DW774" s="166">
        <v>1</v>
      </c>
      <c r="DX774" s="522">
        <f t="shared" si="428"/>
        <v>1</v>
      </c>
      <c r="DY774" s="523"/>
      <c r="DZ774" s="524">
        <f t="shared" si="429"/>
        <v>1</v>
      </c>
    </row>
    <row r="775" spans="75:134">
      <c r="BW775" s="751" t="s">
        <v>3025</v>
      </c>
      <c r="BX775" s="246" t="s">
        <v>458</v>
      </c>
      <c r="BY775" s="135" t="str">
        <f t="shared" si="427"/>
        <v>ДП Добір-ЛАДА.Л4/1.Сатин</v>
      </c>
      <c r="CA775" s="146" t="s">
        <v>3317</v>
      </c>
      <c r="CB775" s="783" t="s">
        <v>5759</v>
      </c>
      <c r="CC775" s="138" t="str">
        <f t="shared" si="431"/>
        <v>ДП МОДЕРН.фальц..робоча..Stand ст Пр +3завіс</v>
      </c>
      <c r="DD775" s="741" t="s">
        <v>2916</v>
      </c>
      <c r="DE775" s="164">
        <v>7660</v>
      </c>
      <c r="DF775" s="531">
        <f t="shared" si="425"/>
        <v>7660</v>
      </c>
      <c r="DG775" s="526"/>
      <c r="DH775" s="527">
        <f t="shared" si="430"/>
        <v>7660</v>
      </c>
      <c r="DP775" s="165" t="s">
        <v>152</v>
      </c>
      <c r="DQ775" s="166">
        <v>1650</v>
      </c>
      <c r="DR775" s="522">
        <f t="shared" si="432"/>
        <v>1650</v>
      </c>
      <c r="DS775" s="523"/>
      <c r="DT775" s="524">
        <f t="shared" si="433"/>
        <v>1650</v>
      </c>
      <c r="DV775" s="739" t="s">
        <v>6396</v>
      </c>
      <c r="DW775" s="164">
        <v>1</v>
      </c>
      <c r="DX775" s="525">
        <f t="shared" si="428"/>
        <v>1</v>
      </c>
      <c r="DY775" s="526"/>
      <c r="DZ775" s="527">
        <f t="shared" si="429"/>
        <v>1</v>
      </c>
    </row>
    <row r="776" spans="75:134">
      <c r="BW776" s="752" t="s">
        <v>3025</v>
      </c>
      <c r="BX776" s="770" t="s">
        <v>3851</v>
      </c>
      <c r="BY776" s="138" t="str">
        <f t="shared" si="427"/>
        <v>ДП Добір-ЛАДА.Л4/1.Графіт</v>
      </c>
      <c r="CA776" s="146" t="s">
        <v>3317</v>
      </c>
      <c r="CC776" s="138"/>
      <c r="DD776" s="740" t="s">
        <v>2917</v>
      </c>
      <c r="DE776" s="166">
        <v>7890</v>
      </c>
      <c r="DF776" s="531">
        <f t="shared" si="425"/>
        <v>7890</v>
      </c>
      <c r="DG776" s="523"/>
      <c r="DH776" s="527">
        <f t="shared" si="430"/>
        <v>7890</v>
      </c>
      <c r="DP776" s="165" t="s">
        <v>47</v>
      </c>
      <c r="DQ776" s="166">
        <v>2070</v>
      </c>
      <c r="DR776" s="522">
        <f t="shared" si="432"/>
        <v>2070</v>
      </c>
      <c r="DS776" s="523"/>
      <c r="DT776" s="524">
        <f t="shared" si="433"/>
        <v>2070</v>
      </c>
      <c r="DV776" s="737" t="s">
        <v>4732</v>
      </c>
      <c r="DW776" s="163">
        <v>0</v>
      </c>
      <c r="DX776" s="528">
        <f t="shared" si="428"/>
        <v>0</v>
      </c>
      <c r="DY776" s="529"/>
      <c r="DZ776" s="530">
        <f t="shared" si="429"/>
        <v>0</v>
      </c>
    </row>
    <row r="777" spans="75:134">
      <c r="BW777" s="750" t="s">
        <v>3025</v>
      </c>
      <c r="BX777" s="248" t="s">
        <v>832</v>
      </c>
      <c r="BY777" s="139" t="str">
        <f t="shared" si="427"/>
        <v>ДП Добір-ЛАДА.Л4/1.Бронза</v>
      </c>
      <c r="CA777" s="146" t="s">
        <v>3317</v>
      </c>
      <c r="CB777" s="137" t="s">
        <v>4304</v>
      </c>
      <c r="CC777" s="138" t="str">
        <f>CONCATENATE(CA777,".",CB777)</f>
        <v>ДП МОДЕРН.фальц..робоча..Soft цл +3завіс</v>
      </c>
      <c r="DD777" s="740" t="s">
        <v>2918</v>
      </c>
      <c r="DE777" s="166">
        <v>7890</v>
      </c>
      <c r="DF777" s="531">
        <f t="shared" si="425"/>
        <v>7890</v>
      </c>
      <c r="DG777" s="523"/>
      <c r="DH777" s="527">
        <f t="shared" si="430"/>
        <v>7890</v>
      </c>
      <c r="DP777" s="165" t="s">
        <v>48</v>
      </c>
      <c r="DQ777" s="166">
        <v>2070</v>
      </c>
      <c r="DR777" s="522">
        <f t="shared" si="432"/>
        <v>2070</v>
      </c>
      <c r="DS777" s="523"/>
      <c r="DT777" s="524">
        <f t="shared" si="433"/>
        <v>2070</v>
      </c>
      <c r="DV777" s="738" t="s">
        <v>4733</v>
      </c>
      <c r="DW777" s="166">
        <v>0</v>
      </c>
      <c r="DX777" s="522">
        <f t="shared" si="428"/>
        <v>0</v>
      </c>
      <c r="DY777" s="523"/>
      <c r="DZ777" s="524">
        <f t="shared" si="429"/>
        <v>0</v>
      </c>
    </row>
    <row r="778" spans="75:134">
      <c r="BW778" s="750" t="s">
        <v>3025</v>
      </c>
      <c r="BX778" s="248" t="s">
        <v>6046</v>
      </c>
      <c r="BY778" s="139" t="str">
        <f>CONCATENATE(BW778,".",BX778)</f>
        <v>ДП Добір-ЛАДА.Л4/1.Лакобель</v>
      </c>
      <c r="CA778" s="146" t="s">
        <v>3317</v>
      </c>
      <c r="CB778" s="137" t="s">
        <v>4307</v>
      </c>
      <c r="CC778" s="138" t="str">
        <f>CONCATENATE(CA778,".",CB778)</f>
        <v>ДП МОДЕРН.фальц..робоча..Soft ст +3завіс</v>
      </c>
      <c r="DD778" s="740" t="s">
        <v>2919</v>
      </c>
      <c r="DE778" s="166">
        <v>7890</v>
      </c>
      <c r="DF778" s="531">
        <f t="shared" si="425"/>
        <v>7890</v>
      </c>
      <c r="DG778" s="523"/>
      <c r="DH778" s="527">
        <f t="shared" si="430"/>
        <v>7890</v>
      </c>
      <c r="DP778" s="739" t="s">
        <v>4252</v>
      </c>
      <c r="DQ778" s="166">
        <v>5400</v>
      </c>
      <c r="DR778" s="525">
        <f t="shared" si="432"/>
        <v>5400</v>
      </c>
      <c r="DS778" s="526"/>
      <c r="DT778" s="527">
        <f t="shared" si="433"/>
        <v>5400</v>
      </c>
      <c r="DV778" s="739" t="s">
        <v>4734</v>
      </c>
      <c r="DW778" s="164">
        <v>0</v>
      </c>
      <c r="DX778" s="531">
        <f t="shared" ref="DX778:DX784" si="434">ROUND(((DW778-(DW778/6))/$DD$3)*$DE$3,2)</f>
        <v>0</v>
      </c>
      <c r="DY778" s="526"/>
      <c r="DZ778" s="527">
        <f t="shared" ref="DZ778:DZ784" si="435">IF(DY778="",DX778,
IF(AND($DW$10&gt;=VLOOKUP(DY778,$DV$5:$DZ$9,2,0),$DW$10&lt;=VLOOKUP(DY778,$DV$5:$DZ$9,3,0)),
(DX778*(1-VLOOKUP(DY778,$DV$5:$DZ$9,4,0))),
DX778))</f>
        <v>0</v>
      </c>
    </row>
    <row r="779" spans="75:134">
      <c r="BW779" s="750" t="s">
        <v>3026</v>
      </c>
      <c r="BX779" s="782" t="s">
        <v>4106</v>
      </c>
      <c r="BY779" s="139" t="str">
        <f t="shared" si="427"/>
        <v>ДП Добір-ЛАДА.Л5/0.(ні)</v>
      </c>
      <c r="CA779" s="146" t="s">
        <v>3317</v>
      </c>
      <c r="CB779" s="21"/>
      <c r="CC779" s="21"/>
      <c r="DD779" s="740" t="s">
        <v>2920</v>
      </c>
      <c r="DE779" s="166">
        <v>7890</v>
      </c>
      <c r="DF779" s="531">
        <f t="shared" si="425"/>
        <v>7890</v>
      </c>
      <c r="DG779" s="523"/>
      <c r="DH779" s="527">
        <f t="shared" si="430"/>
        <v>7890</v>
      </c>
      <c r="DP779" s="737" t="s">
        <v>4242</v>
      </c>
      <c r="DQ779" s="163">
        <v>0</v>
      </c>
      <c r="DR779" s="528">
        <f t="shared" si="432"/>
        <v>0</v>
      </c>
      <c r="DS779" s="529"/>
      <c r="DT779" s="530">
        <f t="shared" si="433"/>
        <v>0</v>
      </c>
      <c r="DV779" s="738" t="s">
        <v>4735</v>
      </c>
      <c r="DW779" s="166">
        <v>800</v>
      </c>
      <c r="DX779" s="522">
        <f t="shared" si="434"/>
        <v>800</v>
      </c>
      <c r="DY779" s="523"/>
      <c r="DZ779" s="524">
        <f t="shared" si="435"/>
        <v>800</v>
      </c>
    </row>
    <row r="780" spans="75:134">
      <c r="BW780" s="751" t="s">
        <v>3027</v>
      </c>
      <c r="BX780" s="246" t="s">
        <v>458</v>
      </c>
      <c r="BY780" s="135" t="str">
        <f t="shared" ref="BY780:BY787" si="436">CONCATENATE(BW780,".",BX780)</f>
        <v>ДП Добір-ЛАДА.Л5/1.Сатин</v>
      </c>
      <c r="CA780" s="146" t="s">
        <v>3317</v>
      </c>
      <c r="CB780" s="137" t="s">
        <v>4316</v>
      </c>
      <c r="CC780" s="138" t="str">
        <f>CONCATENATE(CA780,".",CB780)</f>
        <v>ДП МОДЕРН.фальц..робоча..Magnet цл +3завіс</v>
      </c>
      <c r="DD780" s="740" t="s">
        <v>2921</v>
      </c>
      <c r="DE780" s="166">
        <v>7890</v>
      </c>
      <c r="DF780" s="531">
        <f t="shared" si="425"/>
        <v>7890</v>
      </c>
      <c r="DG780" s="523"/>
      <c r="DH780" s="527">
        <f t="shared" si="430"/>
        <v>7890</v>
      </c>
      <c r="DP780" s="738" t="s">
        <v>4046</v>
      </c>
      <c r="DQ780" s="166">
        <v>1650</v>
      </c>
      <c r="DR780" s="522">
        <f t="shared" si="432"/>
        <v>1650</v>
      </c>
      <c r="DS780" s="523"/>
      <c r="DT780" s="524">
        <f t="shared" si="433"/>
        <v>1650</v>
      </c>
      <c r="DV780" s="738" t="s">
        <v>4736</v>
      </c>
      <c r="DW780" s="166">
        <v>800</v>
      </c>
      <c r="DX780" s="522">
        <f t="shared" si="434"/>
        <v>800</v>
      </c>
      <c r="DY780" s="523"/>
      <c r="DZ780" s="524">
        <f t="shared" si="435"/>
        <v>800</v>
      </c>
    </row>
    <row r="781" spans="75:134">
      <c r="BW781" s="752" t="s">
        <v>3027</v>
      </c>
      <c r="BX781" s="770" t="s">
        <v>3851</v>
      </c>
      <c r="BY781" s="138" t="str">
        <f t="shared" si="436"/>
        <v>ДП Добір-ЛАДА.Л5/1.Графіт</v>
      </c>
      <c r="CA781" s="147" t="s">
        <v>3317</v>
      </c>
      <c r="CB781" s="62" t="s">
        <v>4319</v>
      </c>
      <c r="CC781" s="139" t="str">
        <f>CONCATENATE(CA781,".",CB781)</f>
        <v>ДП МОДЕРН.фальц..робоча..Magnet ст +3завіс</v>
      </c>
      <c r="DD781" s="740" t="s">
        <v>2922</v>
      </c>
      <c r="DE781" s="166">
        <v>7890</v>
      </c>
      <c r="DF781" s="531">
        <f t="shared" si="425"/>
        <v>7890</v>
      </c>
      <c r="DG781" s="523"/>
      <c r="DH781" s="527">
        <f t="shared" si="430"/>
        <v>7890</v>
      </c>
      <c r="DP781" s="165" t="s">
        <v>153</v>
      </c>
      <c r="DQ781" s="166">
        <v>1650</v>
      </c>
      <c r="DR781" s="522">
        <f t="shared" si="432"/>
        <v>1650</v>
      </c>
      <c r="DS781" s="523"/>
      <c r="DT781" s="524">
        <f t="shared" si="433"/>
        <v>1650</v>
      </c>
      <c r="DV781" s="738" t="s">
        <v>4737</v>
      </c>
      <c r="DW781" s="166">
        <v>800</v>
      </c>
      <c r="DX781" s="522">
        <f t="shared" si="434"/>
        <v>800</v>
      </c>
      <c r="DY781" s="523"/>
      <c r="DZ781" s="524">
        <f t="shared" si="435"/>
        <v>800</v>
      </c>
    </row>
    <row r="782" spans="75:134">
      <c r="BW782" s="750" t="s">
        <v>3027</v>
      </c>
      <c r="BX782" s="248" t="s">
        <v>832</v>
      </c>
      <c r="BY782" s="139" t="str">
        <f t="shared" si="436"/>
        <v>ДП Добір-ЛАДА.Л5/1.Бронза</v>
      </c>
      <c r="CA782" s="145" t="s">
        <v>3318</v>
      </c>
      <c r="CB782" s="134" t="s">
        <v>4106</v>
      </c>
      <c r="CC782" s="135" t="str">
        <f>CONCATENATE(CA782,".",CB782)</f>
        <v>ДП МОДЕРН.фальц..неробоча..(ні)</v>
      </c>
      <c r="DD782" s="740" t="s">
        <v>2923</v>
      </c>
      <c r="DE782" s="166">
        <v>7890</v>
      </c>
      <c r="DF782" s="531">
        <f t="shared" si="425"/>
        <v>7890</v>
      </c>
      <c r="DG782" s="523"/>
      <c r="DH782" s="527">
        <f t="shared" si="430"/>
        <v>7890</v>
      </c>
      <c r="DP782" s="165" t="s">
        <v>908</v>
      </c>
      <c r="DQ782" s="166">
        <v>2070</v>
      </c>
      <c r="DR782" s="522">
        <f t="shared" si="432"/>
        <v>2070</v>
      </c>
      <c r="DS782" s="523"/>
      <c r="DT782" s="524">
        <f t="shared" si="433"/>
        <v>2070</v>
      </c>
      <c r="DV782" s="738" t="s">
        <v>4738</v>
      </c>
      <c r="DW782" s="166">
        <v>800</v>
      </c>
      <c r="DX782" s="522">
        <f t="shared" si="434"/>
        <v>800</v>
      </c>
      <c r="DY782" s="523"/>
      <c r="DZ782" s="524">
        <f t="shared" si="435"/>
        <v>800</v>
      </c>
    </row>
    <row r="783" spans="75:134">
      <c r="BW783" s="750" t="s">
        <v>3027</v>
      </c>
      <c r="BX783" s="248" t="s">
        <v>6046</v>
      </c>
      <c r="BY783" s="139" t="str">
        <f>CONCATENATE(BW783,".",BX783)</f>
        <v>ДП Добір-ЛАДА.Л5/1.Лакобель</v>
      </c>
      <c r="CA783" s="146" t="s">
        <v>3318</v>
      </c>
      <c r="CB783" s="21"/>
      <c r="CC783" s="21"/>
      <c r="DD783" s="740" t="s">
        <v>2924</v>
      </c>
      <c r="DE783" s="166">
        <v>7890</v>
      </c>
      <c r="DF783" s="531">
        <f t="shared" si="425"/>
        <v>7890</v>
      </c>
      <c r="DG783" s="523"/>
      <c r="DH783" s="527">
        <f t="shared" si="430"/>
        <v>7890</v>
      </c>
      <c r="DP783" s="165" t="s">
        <v>909</v>
      </c>
      <c r="DQ783" s="166">
        <v>2070</v>
      </c>
      <c r="DR783" s="522">
        <f t="shared" si="432"/>
        <v>2070</v>
      </c>
      <c r="DS783" s="523"/>
      <c r="DT783" s="524">
        <f t="shared" si="433"/>
        <v>2070</v>
      </c>
      <c r="DV783" s="738" t="s">
        <v>4739</v>
      </c>
      <c r="DW783" s="166">
        <v>800</v>
      </c>
      <c r="DX783" s="522">
        <f t="shared" si="434"/>
        <v>800</v>
      </c>
      <c r="DY783" s="523"/>
      <c r="DZ783" s="524">
        <f t="shared" si="435"/>
        <v>800</v>
      </c>
    </row>
    <row r="784" spans="75:134">
      <c r="BW784" s="750" t="s">
        <v>3028</v>
      </c>
      <c r="BX784" s="782" t="s">
        <v>4106</v>
      </c>
      <c r="BY784" s="139" t="str">
        <f t="shared" si="436"/>
        <v>ДП Добір-ЛАДА.Л6/0.(ні)</v>
      </c>
      <c r="CA784" s="146" t="s">
        <v>3318</v>
      </c>
      <c r="CB784" s="783" t="s">
        <v>4325</v>
      </c>
      <c r="CC784" s="138" t="str">
        <f>CONCATENATE(CA784,".",CB784)</f>
        <v>ДП МОДЕРН.фальц..неробоча..Пл Stand +3завіс</v>
      </c>
      <c r="DD784" s="741" t="s">
        <v>2925</v>
      </c>
      <c r="DE784" s="164">
        <v>7890</v>
      </c>
      <c r="DF784" s="531">
        <f t="shared" si="425"/>
        <v>7890</v>
      </c>
      <c r="DG784" s="526"/>
      <c r="DH784" s="527">
        <f t="shared" si="430"/>
        <v>7890</v>
      </c>
      <c r="DP784" s="739" t="s">
        <v>4253</v>
      </c>
      <c r="DQ784" s="166">
        <v>5400</v>
      </c>
      <c r="DR784" s="525">
        <f t="shared" si="432"/>
        <v>5400</v>
      </c>
      <c r="DS784" s="526"/>
      <c r="DT784" s="527">
        <f t="shared" si="433"/>
        <v>5400</v>
      </c>
      <c r="DV784" s="739" t="s">
        <v>4740</v>
      </c>
      <c r="DW784" s="166">
        <v>800</v>
      </c>
      <c r="DX784" s="525">
        <f t="shared" si="434"/>
        <v>800</v>
      </c>
      <c r="DY784" s="526"/>
      <c r="DZ784" s="527">
        <f t="shared" si="435"/>
        <v>800</v>
      </c>
    </row>
    <row r="785" spans="75:130">
      <c r="BW785" s="751" t="s">
        <v>3029</v>
      </c>
      <c r="BX785" s="246" t="s">
        <v>458</v>
      </c>
      <c r="BY785" s="135" t="str">
        <f t="shared" si="436"/>
        <v>ДП Добір-ЛАДА.Л6/1.Сатин</v>
      </c>
      <c r="CA785" s="146" t="s">
        <v>3318</v>
      </c>
      <c r="CB785" s="783" t="s">
        <v>4333</v>
      </c>
      <c r="CC785" s="138" t="str">
        <f>CONCATENATE(CA785,".",CB785)</f>
        <v>ДП МОДЕРН.фальц..неробоча..Пл Soft +3завіс</v>
      </c>
      <c r="DD785" s="740" t="s">
        <v>2926</v>
      </c>
      <c r="DE785" s="166">
        <v>8470</v>
      </c>
      <c r="DF785" s="531">
        <f t="shared" si="425"/>
        <v>8470</v>
      </c>
      <c r="DG785" s="523"/>
      <c r="DH785" s="527">
        <f t="shared" si="430"/>
        <v>8470</v>
      </c>
      <c r="DP785" s="737" t="s">
        <v>4243</v>
      </c>
      <c r="DQ785" s="163">
        <v>0</v>
      </c>
      <c r="DR785" s="528">
        <f t="shared" si="432"/>
        <v>0</v>
      </c>
      <c r="DS785" s="529"/>
      <c r="DT785" s="530">
        <f t="shared" si="433"/>
        <v>0</v>
      </c>
      <c r="DV785" s="739" t="s">
        <v>6397</v>
      </c>
      <c r="DW785" s="164">
        <v>0</v>
      </c>
      <c r="DX785" s="531">
        <f t="shared" si="428"/>
        <v>0</v>
      </c>
      <c r="DY785" s="526"/>
      <c r="DZ785" s="527">
        <f t="shared" si="429"/>
        <v>0</v>
      </c>
    </row>
    <row r="786" spans="75:130">
      <c r="BW786" s="752" t="s">
        <v>3029</v>
      </c>
      <c r="BX786" s="770" t="s">
        <v>3851</v>
      </c>
      <c r="BY786" s="138" t="str">
        <f t="shared" si="436"/>
        <v>ДП Добір-ЛАДА.Л6/1.Графіт</v>
      </c>
      <c r="CA786" s="147" t="s">
        <v>3318</v>
      </c>
      <c r="CB786" s="152" t="s">
        <v>4336</v>
      </c>
      <c r="CC786" s="139" t="str">
        <f>CONCATENATE(CA786,".",CB786)</f>
        <v>ДП МОДЕРН.фальц..неробоча..Пл Magnet +3завіс</v>
      </c>
      <c r="DD786" s="740" t="s">
        <v>2927</v>
      </c>
      <c r="DE786" s="166">
        <v>8470</v>
      </c>
      <c r="DF786" s="531">
        <f t="shared" si="425"/>
        <v>8470</v>
      </c>
      <c r="DG786" s="523"/>
      <c r="DH786" s="527">
        <f t="shared" si="430"/>
        <v>8470</v>
      </c>
      <c r="DP786" s="738" t="s">
        <v>4047</v>
      </c>
      <c r="DQ786" s="166">
        <v>1650</v>
      </c>
      <c r="DR786" s="522">
        <f t="shared" si="432"/>
        <v>1650</v>
      </c>
      <c r="DS786" s="523"/>
      <c r="DT786" s="524">
        <f t="shared" si="433"/>
        <v>1650</v>
      </c>
      <c r="DV786" s="738" t="s">
        <v>6398</v>
      </c>
      <c r="DW786" s="166">
        <v>1</v>
      </c>
      <c r="DX786" s="522">
        <f t="shared" si="428"/>
        <v>1</v>
      </c>
      <c r="DY786" s="523"/>
      <c r="DZ786" s="524">
        <f t="shared" si="429"/>
        <v>1</v>
      </c>
    </row>
    <row r="787" spans="75:130">
      <c r="BW787" s="750" t="s">
        <v>3029</v>
      </c>
      <c r="BX787" s="248" t="s">
        <v>832</v>
      </c>
      <c r="BY787" s="139" t="str">
        <f t="shared" si="436"/>
        <v>ДП Добір-ЛАДА.Л6/1.Бронза</v>
      </c>
      <c r="CA787" s="146" t="s">
        <v>3319</v>
      </c>
      <c r="CB787" s="137" t="s">
        <v>4106</v>
      </c>
      <c r="CC787" s="239" t="str">
        <f>CONCATENATE(CA787,".",CB787)</f>
        <v>ДП МОДЕРН.б/з фальц..робоча..(ні)</v>
      </c>
      <c r="DD787" s="740" t="s">
        <v>2928</v>
      </c>
      <c r="DE787" s="166">
        <v>8470</v>
      </c>
      <c r="DF787" s="531">
        <f t="shared" si="425"/>
        <v>8470</v>
      </c>
      <c r="DG787" s="523"/>
      <c r="DH787" s="527">
        <f t="shared" si="430"/>
        <v>8470</v>
      </c>
      <c r="DP787" s="165" t="s">
        <v>154</v>
      </c>
      <c r="DQ787" s="166">
        <v>1650</v>
      </c>
      <c r="DR787" s="522">
        <f t="shared" si="432"/>
        <v>1650</v>
      </c>
      <c r="DS787" s="523"/>
      <c r="DT787" s="524">
        <f t="shared" si="433"/>
        <v>1650</v>
      </c>
      <c r="DV787" s="738" t="s">
        <v>6399</v>
      </c>
      <c r="DW787" s="166">
        <v>1</v>
      </c>
      <c r="DX787" s="522">
        <f t="shared" si="428"/>
        <v>1</v>
      </c>
      <c r="DY787" s="523"/>
      <c r="DZ787" s="524">
        <f t="shared" si="429"/>
        <v>1</v>
      </c>
    </row>
    <row r="788" spans="75:130">
      <c r="BW788" s="750" t="s">
        <v>3029</v>
      </c>
      <c r="BX788" s="248" t="s">
        <v>6046</v>
      </c>
      <c r="BY788" s="139" t="str">
        <f>CONCATENATE(BW788,".",BX788)</f>
        <v>ДП Добір-ЛАДА.Л6/1.Лакобель</v>
      </c>
      <c r="CA788" s="146" t="s">
        <v>3319</v>
      </c>
      <c r="CB788" s="97"/>
      <c r="CC788" s="97"/>
      <c r="DD788" s="740" t="s">
        <v>2929</v>
      </c>
      <c r="DE788" s="166">
        <v>8470</v>
      </c>
      <c r="DF788" s="531">
        <f t="shared" si="425"/>
        <v>8470</v>
      </c>
      <c r="DG788" s="523"/>
      <c r="DH788" s="527">
        <f t="shared" si="430"/>
        <v>8470</v>
      </c>
      <c r="DP788" s="165" t="s">
        <v>910</v>
      </c>
      <c r="DQ788" s="166">
        <v>2070</v>
      </c>
      <c r="DR788" s="522">
        <f t="shared" si="432"/>
        <v>2070</v>
      </c>
      <c r="DS788" s="523"/>
      <c r="DT788" s="524">
        <f t="shared" si="433"/>
        <v>2070</v>
      </c>
      <c r="DV788" s="738" t="s">
        <v>6400</v>
      </c>
      <c r="DW788" s="166">
        <v>1</v>
      </c>
      <c r="DX788" s="522">
        <f t="shared" si="428"/>
        <v>1</v>
      </c>
      <c r="DY788" s="523"/>
      <c r="DZ788" s="524">
        <f t="shared" si="429"/>
        <v>1</v>
      </c>
    </row>
    <row r="789" spans="75:130">
      <c r="BW789" s="432"/>
      <c r="BX789" s="432"/>
      <c r="BY789" s="432"/>
      <c r="CA789" s="146" t="s">
        <v>3319</v>
      </c>
      <c r="CB789" s="478" t="s">
        <v>4337</v>
      </c>
      <c r="CC789" s="239" t="str">
        <f>CONCATENATE(CA789,".",CB789)</f>
        <v>ДП МОДЕРН.б/з фальц..робоча..Magnet цл б/з завіс.</v>
      </c>
      <c r="DD789" s="740" t="s">
        <v>2930</v>
      </c>
      <c r="DE789" s="166">
        <v>8470</v>
      </c>
      <c r="DF789" s="531">
        <f t="shared" si="425"/>
        <v>8470</v>
      </c>
      <c r="DG789" s="523"/>
      <c r="DH789" s="527">
        <f t="shared" si="430"/>
        <v>8470</v>
      </c>
      <c r="DP789" s="165" t="s">
        <v>911</v>
      </c>
      <c r="DQ789" s="166">
        <v>2070</v>
      </c>
      <c r="DR789" s="522">
        <f t="shared" si="432"/>
        <v>2070</v>
      </c>
      <c r="DS789" s="523"/>
      <c r="DT789" s="524">
        <f t="shared" si="433"/>
        <v>2070</v>
      </c>
      <c r="DV789" s="738" t="s">
        <v>6401</v>
      </c>
      <c r="DW789" s="166">
        <v>1</v>
      </c>
      <c r="DX789" s="522">
        <f t="shared" si="428"/>
        <v>1</v>
      </c>
      <c r="DY789" s="523"/>
      <c r="DZ789" s="524">
        <f t="shared" si="429"/>
        <v>1</v>
      </c>
    </row>
    <row r="790" spans="75:130">
      <c r="BW790" s="250" t="s">
        <v>306</v>
      </c>
      <c r="BX790" s="770" t="s">
        <v>4248</v>
      </c>
      <c r="BY790" s="138" t="str">
        <f t="shared" ref="BY790:BY798" si="437">CONCATENATE(BW790,".",BX790)</f>
        <v>ФР Standard.1.Фільонка</v>
      </c>
      <c r="CA790" s="146" t="s">
        <v>3319</v>
      </c>
      <c r="CB790" s="478" t="s">
        <v>4339</v>
      </c>
      <c r="CC790" s="239" t="str">
        <f>CONCATENATE(CA790,".",CB790)</f>
        <v>ДП МОДЕРН.б/з фальц..робоча..Magnet ст б/з завіс.</v>
      </c>
      <c r="DD790" s="740" t="s">
        <v>2931</v>
      </c>
      <c r="DE790" s="166">
        <v>8470</v>
      </c>
      <c r="DF790" s="531">
        <f t="shared" si="425"/>
        <v>8470</v>
      </c>
      <c r="DG790" s="523"/>
      <c r="DH790" s="527">
        <f t="shared" si="430"/>
        <v>8470</v>
      </c>
      <c r="DP790" s="739" t="s">
        <v>4254</v>
      </c>
      <c r="DQ790" s="166">
        <v>5400</v>
      </c>
      <c r="DR790" s="525">
        <f t="shared" si="432"/>
        <v>5400</v>
      </c>
      <c r="DS790" s="526"/>
      <c r="DT790" s="527">
        <f t="shared" si="433"/>
        <v>5400</v>
      </c>
      <c r="DV790" s="738" t="s">
        <v>6402</v>
      </c>
      <c r="DW790" s="166">
        <v>1</v>
      </c>
      <c r="DX790" s="522">
        <f t="shared" si="428"/>
        <v>1</v>
      </c>
      <c r="DY790" s="523"/>
      <c r="DZ790" s="524">
        <f t="shared" si="429"/>
        <v>1</v>
      </c>
    </row>
    <row r="791" spans="75:130">
      <c r="BW791" s="250" t="s">
        <v>306</v>
      </c>
      <c r="BX791" s="247"/>
      <c r="BY791" s="138"/>
      <c r="CA791" s="146" t="s">
        <v>3319</v>
      </c>
      <c r="CB791" s="97"/>
      <c r="CC791" s="97"/>
      <c r="DD791" s="740" t="s">
        <v>2932</v>
      </c>
      <c r="DE791" s="166">
        <v>8470</v>
      </c>
      <c r="DF791" s="531">
        <f t="shared" si="425"/>
        <v>8470</v>
      </c>
      <c r="DG791" s="523"/>
      <c r="DH791" s="527">
        <f t="shared" si="430"/>
        <v>8470</v>
      </c>
      <c r="DP791" s="737" t="s">
        <v>4244</v>
      </c>
      <c r="DQ791" s="163">
        <v>0</v>
      </c>
      <c r="DR791" s="528">
        <f t="shared" si="432"/>
        <v>0</v>
      </c>
      <c r="DS791" s="529"/>
      <c r="DT791" s="530">
        <f t="shared" si="433"/>
        <v>0</v>
      </c>
      <c r="DV791" s="739" t="s">
        <v>6403</v>
      </c>
      <c r="DW791" s="166">
        <v>1</v>
      </c>
      <c r="DX791" s="525">
        <f t="shared" si="428"/>
        <v>1</v>
      </c>
      <c r="DY791" s="526"/>
      <c r="DZ791" s="527">
        <f t="shared" si="429"/>
        <v>1</v>
      </c>
    </row>
    <row r="792" spans="75:130">
      <c r="BW792" s="250" t="s">
        <v>306</v>
      </c>
      <c r="BX792" s="247" t="s">
        <v>459</v>
      </c>
      <c r="BY792" s="138" t="str">
        <f t="shared" si="437"/>
        <v>ФР Standard.1.Кризет</v>
      </c>
      <c r="CA792" s="146" t="s">
        <v>3319</v>
      </c>
      <c r="CB792" s="478" t="s">
        <v>4343</v>
      </c>
      <c r="CC792" s="239" t="str">
        <f>CONCATENATE(CA792,".",CB792)</f>
        <v>ДП МОДЕРН.б/з фальц..робоча..Magnet цл +2завіс 3D</v>
      </c>
      <c r="DD792" s="740" t="s">
        <v>2933</v>
      </c>
      <c r="DE792" s="166">
        <v>8470</v>
      </c>
      <c r="DF792" s="531">
        <f t="shared" si="425"/>
        <v>8470</v>
      </c>
      <c r="DG792" s="523"/>
      <c r="DH792" s="527">
        <f t="shared" si="430"/>
        <v>8470</v>
      </c>
      <c r="DP792" s="738" t="s">
        <v>4048</v>
      </c>
      <c r="DQ792" s="166">
        <v>1650</v>
      </c>
      <c r="DR792" s="522">
        <f t="shared" si="432"/>
        <v>1650</v>
      </c>
      <c r="DS792" s="523"/>
      <c r="DT792" s="524">
        <f t="shared" si="433"/>
        <v>1650</v>
      </c>
      <c r="DV792" s="165" t="s">
        <v>1159</v>
      </c>
      <c r="DW792" s="166">
        <v>0</v>
      </c>
      <c r="DX792" s="522">
        <f t="shared" si="428"/>
        <v>0</v>
      </c>
      <c r="DY792" s="523"/>
      <c r="DZ792" s="524">
        <f t="shared" si="429"/>
        <v>0</v>
      </c>
    </row>
    <row r="793" spans="75:130">
      <c r="BW793" s="250" t="s">
        <v>306</v>
      </c>
      <c r="BX793" s="247" t="s">
        <v>458</v>
      </c>
      <c r="BY793" s="138" t="str">
        <f>CONCATENATE(BW793,".",BX793)</f>
        <v>ФР Standard.1.Сатин</v>
      </c>
      <c r="CA793" s="146" t="s">
        <v>3319</v>
      </c>
      <c r="CB793" s="478" t="s">
        <v>4347</v>
      </c>
      <c r="CC793" s="239" t="str">
        <f>CONCATENATE(CA793,".",CB793)</f>
        <v>ДП МОДЕРН.б/з фальц..робоча..Magnet ст +2завіс 3D</v>
      </c>
      <c r="DD793" s="741" t="s">
        <v>2934</v>
      </c>
      <c r="DE793" s="164">
        <v>8470</v>
      </c>
      <c r="DF793" s="531">
        <f t="shared" si="425"/>
        <v>8470</v>
      </c>
      <c r="DG793" s="526"/>
      <c r="DH793" s="527">
        <f t="shared" si="430"/>
        <v>8470</v>
      </c>
      <c r="DP793" s="165" t="s">
        <v>155</v>
      </c>
      <c r="DQ793" s="166">
        <v>1650</v>
      </c>
      <c r="DR793" s="522">
        <f t="shared" si="432"/>
        <v>1650</v>
      </c>
      <c r="DS793" s="523"/>
      <c r="DT793" s="524">
        <f t="shared" si="433"/>
        <v>1650</v>
      </c>
      <c r="DV793" s="108" t="s">
        <v>1158</v>
      </c>
      <c r="DW793" s="164">
        <v>560</v>
      </c>
      <c r="DX793" s="531">
        <f t="shared" si="428"/>
        <v>560</v>
      </c>
      <c r="DY793" s="526"/>
      <c r="DZ793" s="527">
        <f t="shared" si="429"/>
        <v>560</v>
      </c>
    </row>
    <row r="794" spans="75:130">
      <c r="BW794" s="250" t="s">
        <v>306</v>
      </c>
      <c r="BX794" s="770" t="s">
        <v>4203</v>
      </c>
      <c r="BY794" s="138" t="str">
        <f>CONCATENATE(BW794,".",BX794)</f>
        <v>ФР Standard.1.Жалюзі</v>
      </c>
      <c r="CA794" s="146" t="s">
        <v>3319</v>
      </c>
      <c r="CB794" s="97"/>
      <c r="CC794" s="97"/>
      <c r="DD794" s="740" t="s">
        <v>5262</v>
      </c>
      <c r="DE794" s="166">
        <v>8870</v>
      </c>
      <c r="DF794" s="531">
        <f t="shared" si="425"/>
        <v>8870</v>
      </c>
      <c r="DG794" s="523"/>
      <c r="DH794" s="527">
        <f t="shared" si="430"/>
        <v>8870</v>
      </c>
      <c r="DP794" s="165" t="s">
        <v>912</v>
      </c>
      <c r="DQ794" s="166">
        <v>2070</v>
      </c>
      <c r="DR794" s="522">
        <f t="shared" si="432"/>
        <v>2070</v>
      </c>
      <c r="DS794" s="523"/>
      <c r="DT794" s="524">
        <f t="shared" si="433"/>
        <v>2070</v>
      </c>
      <c r="DV794" s="647"/>
      <c r="DW794" s="648"/>
      <c r="DX794" s="654"/>
      <c r="DY794" s="655"/>
      <c r="DZ794" s="656"/>
    </row>
    <row r="795" spans="75:130">
      <c r="BW795" s="250" t="s">
        <v>306</v>
      </c>
      <c r="BX795" s="770" t="s">
        <v>3851</v>
      </c>
      <c r="BY795" s="138" t="str">
        <f t="shared" si="437"/>
        <v>ФР Standard.1.Графіт</v>
      </c>
      <c r="CA795" s="146" t="s">
        <v>3319</v>
      </c>
      <c r="CB795" s="478" t="s">
        <v>4349</v>
      </c>
      <c r="CC795" s="239" t="str">
        <f>CONCATENATE(CA795,".",CB795)</f>
        <v>ДП МОДЕРН.б/з фальц..робоча..Magnet цл +3завіс 3D</v>
      </c>
      <c r="DD795" s="740" t="s">
        <v>5263</v>
      </c>
      <c r="DE795" s="166">
        <v>8870</v>
      </c>
      <c r="DF795" s="531">
        <f t="shared" si="425"/>
        <v>8870</v>
      </c>
      <c r="DG795" s="523"/>
      <c r="DH795" s="527">
        <f t="shared" si="430"/>
        <v>8870</v>
      </c>
      <c r="DP795" s="165" t="s">
        <v>913</v>
      </c>
      <c r="DQ795" s="166">
        <v>2070</v>
      </c>
      <c r="DR795" s="522">
        <f t="shared" si="432"/>
        <v>2070</v>
      </c>
      <c r="DS795" s="523"/>
      <c r="DT795" s="524">
        <f t="shared" si="433"/>
        <v>2070</v>
      </c>
      <c r="DV795" s="736" t="s">
        <v>4174</v>
      </c>
      <c r="DW795" s="105">
        <v>0</v>
      </c>
      <c r="DX795" s="403">
        <f t="shared" ref="DX795:DX825" si="438">ROUND(((DW795-(DW795/6))/$DD$3)*$DE$3,2)</f>
        <v>0</v>
      </c>
      <c r="DY795" s="514"/>
      <c r="DZ795" s="511">
        <f t="shared" ref="DZ795:DZ825" si="439">IF(DY795="",DX795,
IF(AND($DW$10&gt;=VLOOKUP(DY795,$DV$5:$DZ$9,2,0),$DW$10&lt;=VLOOKUP(DY795,$DV$5:$DZ$9,3,0)),
(DX795*(1-VLOOKUP(DY795,$DV$5:$DZ$9,4,0))),
DX795))</f>
        <v>0</v>
      </c>
    </row>
    <row r="796" spans="75:130">
      <c r="BW796" s="250" t="s">
        <v>306</v>
      </c>
      <c r="BX796" s="247" t="s">
        <v>832</v>
      </c>
      <c r="BY796" s="138" t="str">
        <f t="shared" si="437"/>
        <v>ФР Standard.1.Бронза</v>
      </c>
      <c r="CA796" s="147" t="s">
        <v>3319</v>
      </c>
      <c r="CB796" s="590" t="s">
        <v>4350</v>
      </c>
      <c r="CC796" s="240" t="str">
        <f>CONCATENATE(CA796,".",CB796)</f>
        <v>ДП МОДЕРН.б/з фальц..робоча..Magnet ст +3завіс 3D</v>
      </c>
      <c r="DD796" s="740" t="s">
        <v>5264</v>
      </c>
      <c r="DE796" s="166">
        <v>8870</v>
      </c>
      <c r="DF796" s="531">
        <f t="shared" si="425"/>
        <v>8870</v>
      </c>
      <c r="DG796" s="523"/>
      <c r="DH796" s="527">
        <f t="shared" si="430"/>
        <v>8870</v>
      </c>
      <c r="DP796" s="739" t="s">
        <v>4255</v>
      </c>
      <c r="DQ796" s="166">
        <v>5400</v>
      </c>
      <c r="DR796" s="525">
        <f t="shared" si="432"/>
        <v>5400</v>
      </c>
      <c r="DS796" s="526"/>
      <c r="DT796" s="527">
        <f t="shared" si="433"/>
        <v>5400</v>
      </c>
      <c r="DV796" s="737" t="s">
        <v>5904</v>
      </c>
      <c r="DW796" s="163">
        <v>0</v>
      </c>
      <c r="DX796" s="528">
        <f t="shared" si="438"/>
        <v>0</v>
      </c>
      <c r="DY796" s="529"/>
      <c r="DZ796" s="530">
        <f t="shared" si="439"/>
        <v>0</v>
      </c>
    </row>
    <row r="797" spans="75:130">
      <c r="BW797" s="250" t="s">
        <v>306</v>
      </c>
      <c r="BX797" s="770" t="s">
        <v>4220</v>
      </c>
      <c r="BY797" s="138" t="str">
        <f>CONCATENATE(BW797,".",BX797)</f>
        <v>ФР Standard.1.Малюнок</v>
      </c>
      <c r="CA797" s="145" t="s">
        <v>3320</v>
      </c>
      <c r="CB797" s="134" t="s">
        <v>4106</v>
      </c>
      <c r="CC797" s="135" t="str">
        <f>CONCATENATE(CA797,".",CB797)</f>
        <v>ДП МОДЕРН.купе..робоча..(ні)</v>
      </c>
      <c r="DD797" s="740" t="s">
        <v>5265</v>
      </c>
      <c r="DE797" s="166">
        <v>8870</v>
      </c>
      <c r="DF797" s="531">
        <f t="shared" si="425"/>
        <v>8870</v>
      </c>
      <c r="DG797" s="523"/>
      <c r="DH797" s="527">
        <f t="shared" si="430"/>
        <v>8870</v>
      </c>
      <c r="DP797" s="737" t="s">
        <v>4245</v>
      </c>
      <c r="DQ797" s="163">
        <v>0</v>
      </c>
      <c r="DR797" s="528">
        <f t="shared" si="432"/>
        <v>0</v>
      </c>
      <c r="DS797" s="529"/>
      <c r="DT797" s="530">
        <f t="shared" si="433"/>
        <v>0</v>
      </c>
      <c r="DV797" s="737" t="s">
        <v>5905</v>
      </c>
      <c r="DW797" s="166">
        <v>0</v>
      </c>
      <c r="DX797" s="522">
        <f>ROUND(((DW797-(DW797/6))/$DD$3)*$DE$3,2)</f>
        <v>0</v>
      </c>
      <c r="DY797" s="523"/>
      <c r="DZ797" s="524">
        <f>IF(DY797="",DX797,
IF(AND($DW$10&gt;=VLOOKUP(DY797,$DV$5:$DZ$9,2,0),$DW$10&lt;=VLOOKUP(DY797,$DV$5:$DZ$9,3,0)),
(DX797*(1-VLOOKUP(DY797,$DV$5:$DZ$9,4,0))),
DX797))</f>
        <v>0</v>
      </c>
    </row>
    <row r="798" spans="75:130">
      <c r="BW798" s="249" t="s">
        <v>306</v>
      </c>
      <c r="BX798" s="782" t="s">
        <v>4251</v>
      </c>
      <c r="BY798" s="139" t="str">
        <f t="shared" si="437"/>
        <v>ФР Standard.1.Дзеркало</v>
      </c>
      <c r="CA798" s="146" t="s">
        <v>3320</v>
      </c>
      <c r="CB798" s="21"/>
      <c r="CC798" s="21"/>
      <c r="DD798" s="740" t="s">
        <v>5266</v>
      </c>
      <c r="DE798" s="166">
        <v>8870</v>
      </c>
      <c r="DF798" s="531">
        <f t="shared" si="425"/>
        <v>8870</v>
      </c>
      <c r="DG798" s="523"/>
      <c r="DH798" s="527">
        <f t="shared" si="430"/>
        <v>8870</v>
      </c>
      <c r="DP798" s="738" t="s">
        <v>4049</v>
      </c>
      <c r="DQ798" s="166">
        <v>1650</v>
      </c>
      <c r="DR798" s="522">
        <f t="shared" si="432"/>
        <v>1650</v>
      </c>
      <c r="DS798" s="523"/>
      <c r="DT798" s="524">
        <f t="shared" si="433"/>
        <v>1650</v>
      </c>
      <c r="DV798" s="738" t="s">
        <v>5906</v>
      </c>
      <c r="DW798" s="166">
        <v>0</v>
      </c>
      <c r="DX798" s="522">
        <f t="shared" si="438"/>
        <v>0</v>
      </c>
      <c r="DY798" s="523"/>
      <c r="DZ798" s="524">
        <f t="shared" si="439"/>
        <v>0</v>
      </c>
    </row>
    <row r="799" spans="75:130">
      <c r="BW799" s="432"/>
      <c r="BX799" s="432"/>
      <c r="BY799" s="432"/>
      <c r="CA799" s="146" t="s">
        <v>3320</v>
      </c>
      <c r="CB799" s="137" t="s">
        <v>462</v>
      </c>
      <c r="CC799" s="138" t="str">
        <f>CONCATENATE(CA799,".",CB799)</f>
        <v>ДП МОДЕРН.купе..робоча..Ручка-Захват</v>
      </c>
      <c r="DD799" s="740" t="s">
        <v>5267</v>
      </c>
      <c r="DE799" s="166">
        <v>8870</v>
      </c>
      <c r="DF799" s="531">
        <f t="shared" si="425"/>
        <v>8870</v>
      </c>
      <c r="DG799" s="523"/>
      <c r="DH799" s="527">
        <f t="shared" si="430"/>
        <v>8870</v>
      </c>
      <c r="DP799" s="165" t="s">
        <v>156</v>
      </c>
      <c r="DQ799" s="166">
        <v>1650</v>
      </c>
      <c r="DR799" s="522">
        <f t="shared" si="432"/>
        <v>1650</v>
      </c>
      <c r="DS799" s="523"/>
      <c r="DT799" s="524">
        <f t="shared" si="433"/>
        <v>1650</v>
      </c>
      <c r="DV799" s="738" t="s">
        <v>5907</v>
      </c>
      <c r="DW799" s="166">
        <v>0</v>
      </c>
      <c r="DX799" s="522">
        <f>ROUND(((DW799-(DW799/6))/$DD$3)*$DE$3,2)</f>
        <v>0</v>
      </c>
      <c r="DY799" s="523"/>
      <c r="DZ799" s="524">
        <f>IF(DY799="",DX799,
IF(AND($DW$10&gt;=VLOOKUP(DY799,$DV$5:$DZ$9,2,0),$DW$10&lt;=VLOOKUP(DY799,$DV$5:$DZ$9,3,0)),
(DX799*(1-VLOOKUP(DY799,$DV$5:$DZ$9,4,0))),
DX799))</f>
        <v>0</v>
      </c>
    </row>
    <row r="800" spans="75:130">
      <c r="BW800" s="251" t="s">
        <v>307</v>
      </c>
      <c r="BX800" s="786" t="s">
        <v>4248</v>
      </c>
      <c r="BY800" s="135" t="str">
        <f>CONCATENATE(BW800,".",BX800)</f>
        <v>ФР Verto-FIT.A.Фільонка</v>
      </c>
      <c r="CA800" s="146" t="s">
        <v>3320</v>
      </c>
      <c r="CB800" s="137" t="s">
        <v>684</v>
      </c>
      <c r="CC800" s="138" t="str">
        <f>CONCATENATE(CA800,".",CB800)</f>
        <v>ДП МОДЕРН.купе..робоча..Ручка-Замок</v>
      </c>
      <c r="DD800" s="740" t="s">
        <v>5268</v>
      </c>
      <c r="DE800" s="166">
        <v>8870</v>
      </c>
      <c r="DF800" s="531">
        <f t="shared" si="425"/>
        <v>8870</v>
      </c>
      <c r="DG800" s="523"/>
      <c r="DH800" s="527">
        <f t="shared" si="430"/>
        <v>8870</v>
      </c>
      <c r="DP800" s="165" t="s">
        <v>914</v>
      </c>
      <c r="DQ800" s="166">
        <v>2070</v>
      </c>
      <c r="DR800" s="522">
        <f t="shared" si="432"/>
        <v>2070</v>
      </c>
      <c r="DS800" s="523"/>
      <c r="DT800" s="524">
        <f t="shared" si="433"/>
        <v>2070</v>
      </c>
      <c r="DV800" s="738" t="s">
        <v>5908</v>
      </c>
      <c r="DW800" s="166">
        <v>0</v>
      </c>
      <c r="DX800" s="522">
        <f t="shared" si="438"/>
        <v>0</v>
      </c>
      <c r="DY800" s="523"/>
      <c r="DZ800" s="524">
        <f t="shared" si="439"/>
        <v>0</v>
      </c>
    </row>
    <row r="801" spans="75:130">
      <c r="BW801" s="250" t="s">
        <v>307</v>
      </c>
      <c r="BX801" s="247"/>
      <c r="BY801" s="138"/>
      <c r="CA801" s="432"/>
      <c r="CB801" s="222"/>
      <c r="CC801" s="223"/>
      <c r="DD801" s="740" t="s">
        <v>5269</v>
      </c>
      <c r="DE801" s="166">
        <v>8870</v>
      </c>
      <c r="DF801" s="531">
        <f t="shared" si="425"/>
        <v>8870</v>
      </c>
      <c r="DG801" s="523"/>
      <c r="DH801" s="527">
        <f t="shared" si="430"/>
        <v>8870</v>
      </c>
      <c r="DP801" s="165" t="s">
        <v>915</v>
      </c>
      <c r="DQ801" s="166">
        <v>2070</v>
      </c>
      <c r="DR801" s="522">
        <f t="shared" si="432"/>
        <v>2070</v>
      </c>
      <c r="DS801" s="523"/>
      <c r="DT801" s="524">
        <f t="shared" si="433"/>
        <v>2070</v>
      </c>
      <c r="DV801" s="738" t="s">
        <v>5909</v>
      </c>
      <c r="DW801" s="166">
        <v>0</v>
      </c>
      <c r="DX801" s="522">
        <f>ROUND(((DW801-(DW801/6))/$DD$3)*$DE$3,2)</f>
        <v>0</v>
      </c>
      <c r="DY801" s="523"/>
      <c r="DZ801" s="524">
        <f>IF(DY801="",DX801,
IF(AND($DW$10&gt;=VLOOKUP(DY801,$DV$5:$DZ$9,2,0),$DW$10&lt;=VLOOKUP(DY801,$DV$5:$DZ$9,3,0)),
(DX801*(1-VLOOKUP(DY801,$DV$5:$DZ$9,4,0))),
DX801))</f>
        <v>0</v>
      </c>
    </row>
    <row r="802" spans="75:130">
      <c r="BW802" s="250" t="s">
        <v>307</v>
      </c>
      <c r="BX802" s="247" t="s">
        <v>459</v>
      </c>
      <c r="BY802" s="138" t="str">
        <f t="shared" ref="BY802:BY809" si="440">CONCATENATE(BW802,".",BX802)</f>
        <v>ФР Verto-FIT.A.Кризет</v>
      </c>
      <c r="CA802" s="742" t="s">
        <v>3321</v>
      </c>
      <c r="CB802" s="137" t="s">
        <v>4106</v>
      </c>
      <c r="CC802" s="138" t="str">
        <f>CONCATENATE(CA802,".",CB802)</f>
        <v>ДП ПОЛЛО.фальц..робоча..(ні)</v>
      </c>
      <c r="DD802" s="741" t="s">
        <v>5270</v>
      </c>
      <c r="DE802" s="164">
        <v>8870</v>
      </c>
      <c r="DF802" s="531">
        <f t="shared" si="425"/>
        <v>8870</v>
      </c>
      <c r="DG802" s="523"/>
      <c r="DH802" s="527">
        <f t="shared" si="430"/>
        <v>8870</v>
      </c>
      <c r="DP802" s="739" t="s">
        <v>4256</v>
      </c>
      <c r="DQ802" s="166">
        <v>5400</v>
      </c>
      <c r="DR802" s="525">
        <f t="shared" si="432"/>
        <v>5400</v>
      </c>
      <c r="DS802" s="526"/>
      <c r="DT802" s="527">
        <f t="shared" si="433"/>
        <v>5400</v>
      </c>
      <c r="DV802" s="738" t="s">
        <v>4741</v>
      </c>
      <c r="DW802" s="166">
        <v>550</v>
      </c>
      <c r="DX802" s="522">
        <f t="shared" si="438"/>
        <v>550</v>
      </c>
      <c r="DY802" s="523"/>
      <c r="DZ802" s="524">
        <f t="shared" si="439"/>
        <v>550</v>
      </c>
    </row>
    <row r="803" spans="75:130">
      <c r="BW803" s="250" t="s">
        <v>307</v>
      </c>
      <c r="BX803" s="247" t="s">
        <v>458</v>
      </c>
      <c r="BY803" s="138" t="str">
        <f t="shared" si="440"/>
        <v>ФР Verto-FIT.A.Сатин</v>
      </c>
      <c r="CA803" s="742" t="s">
        <v>3321</v>
      </c>
      <c r="CB803" s="21"/>
      <c r="CC803" s="21"/>
      <c r="DD803" s="641"/>
      <c r="DE803" s="642"/>
      <c r="DF803" s="643"/>
      <c r="DG803" s="644"/>
      <c r="DH803" s="645"/>
      <c r="DP803" s="538"/>
      <c r="DQ803" s="539"/>
      <c r="DR803" s="650"/>
      <c r="DS803" s="651"/>
      <c r="DT803" s="652"/>
      <c r="DV803" s="738" t="s">
        <v>4742</v>
      </c>
      <c r="DW803" s="166">
        <v>550</v>
      </c>
      <c r="DX803" s="522">
        <f t="shared" si="438"/>
        <v>550</v>
      </c>
      <c r="DY803" s="523"/>
      <c r="DZ803" s="524">
        <f t="shared" si="439"/>
        <v>550</v>
      </c>
    </row>
    <row r="804" spans="75:130">
      <c r="BW804" s="250" t="s">
        <v>307</v>
      </c>
      <c r="BX804" s="770" t="s">
        <v>4203</v>
      </c>
      <c r="BY804" s="138" t="str">
        <f t="shared" si="440"/>
        <v>ФР Verto-FIT.A.Жалюзі</v>
      </c>
      <c r="CA804" s="742" t="s">
        <v>3321</v>
      </c>
      <c r="CB804" s="783" t="s">
        <v>5754</v>
      </c>
      <c r="CC804" s="138" t="str">
        <f t="shared" ref="CC804:CC809" si="441">CONCATENATE(CA804,".",CB804)</f>
        <v>ДП ПОЛЛО.фальц..робоча..Stand цл Лів +3завіс</v>
      </c>
      <c r="DD804" s="744" t="s">
        <v>2826</v>
      </c>
      <c r="DE804" s="163">
        <v>5880</v>
      </c>
      <c r="DF804" s="528">
        <f>ROUND(((DE804-(DE804/6))/$DD$3)*$DE$3,2)</f>
        <v>5880</v>
      </c>
      <c r="DG804" s="529" t="s">
        <v>6466</v>
      </c>
      <c r="DH804" s="530">
        <f t="shared" ref="DH804:DH853" ca="1" si="442">IF(DG804="",DF804,
IF(AND($DE$10&gt;=VLOOKUP(DG804,$DD$5:$DH$9,2,0),$DE$10&lt;=VLOOKUP(DG804,$DD$5:$DH$9,3,0)),
(DF804*(1-VLOOKUP(DG804,$DD$5:$DH$9,4,0))),
DF804))</f>
        <v>5880</v>
      </c>
      <c r="DP804" s="736" t="s">
        <v>4192</v>
      </c>
      <c r="DQ804" s="105">
        <v>0</v>
      </c>
      <c r="DR804" s="403">
        <f t="shared" ref="DR804:DR809" si="443">ROUND(((DQ804-(DQ804/6))/$DD$3)*$DE$3,2)</f>
        <v>0</v>
      </c>
      <c r="DS804" s="514"/>
      <c r="DT804" s="511">
        <f t="shared" ref="DT804:DT809" si="444">IF(DS804="",DR804,
IF(AND($DQ$10&gt;=VLOOKUP(DS804,$DP$5:$DT$9,2,0),$DQ$10&lt;=VLOOKUP(DS804,$DP$5:$DT$9,3,0)),
(DR804*(1-VLOOKUP(DS804,$DP$5:$DT$9,4,0))),
DR804))</f>
        <v>0</v>
      </c>
      <c r="DV804" s="738" t="s">
        <v>4743</v>
      </c>
      <c r="DW804" s="166">
        <v>800</v>
      </c>
      <c r="DX804" s="522">
        <f>ROUND(((DW804-(DW804/6))/$DD$3)*$DE$3,2)</f>
        <v>800</v>
      </c>
      <c r="DY804" s="523"/>
      <c r="DZ804" s="524">
        <f>IF(DY804="",DX804,
IF(AND($DW$10&gt;=VLOOKUP(DY804,$DV$5:$DZ$9,2,0),$DW$10&lt;=VLOOKUP(DY804,$DV$5:$DZ$9,3,0)),
(DX804*(1-VLOOKUP(DY804,$DV$5:$DZ$9,4,0))),
DX804))</f>
        <v>800</v>
      </c>
    </row>
    <row r="805" spans="75:130">
      <c r="BW805" s="250" t="s">
        <v>307</v>
      </c>
      <c r="BX805" s="770" t="s">
        <v>3851</v>
      </c>
      <c r="BY805" s="138" t="str">
        <f t="shared" si="440"/>
        <v>ФР Verto-FIT.A.Графіт</v>
      </c>
      <c r="CA805" s="742" t="s">
        <v>3321</v>
      </c>
      <c r="CB805" s="783" t="s">
        <v>5755</v>
      </c>
      <c r="CC805" s="138" t="str">
        <f t="shared" si="441"/>
        <v>ДП ПОЛЛО.фальц..робоча..Stand цл Пр +3завіс</v>
      </c>
      <c r="DD805" s="740" t="s">
        <v>2827</v>
      </c>
      <c r="DE805" s="166">
        <v>5880</v>
      </c>
      <c r="DF805" s="528">
        <f t="shared" ref="DF805:DF853" si="445">ROUND(((DE805-(DE805/6))/$DD$3)*$DE$3,2)</f>
        <v>5880</v>
      </c>
      <c r="DG805" s="529" t="s">
        <v>6466</v>
      </c>
      <c r="DH805" s="530">
        <f t="shared" ca="1" si="442"/>
        <v>5880</v>
      </c>
      <c r="DP805" s="737" t="s">
        <v>3030</v>
      </c>
      <c r="DQ805" s="163">
        <v>0</v>
      </c>
      <c r="DR805" s="528">
        <f t="shared" si="443"/>
        <v>0</v>
      </c>
      <c r="DS805" s="529"/>
      <c r="DT805" s="530">
        <f t="shared" si="444"/>
        <v>0</v>
      </c>
      <c r="DV805" s="739" t="s">
        <v>4744</v>
      </c>
      <c r="DW805" s="164">
        <v>800</v>
      </c>
      <c r="DX805" s="525">
        <f>ROUND(((DW805-(DW805/6))/$DD$3)*$DE$3,2)</f>
        <v>800</v>
      </c>
      <c r="DY805" s="526"/>
      <c r="DZ805" s="527">
        <f>IF(DY805="",DX805,
IF(AND($DW$10&gt;=VLOOKUP(DY805,$DV$5:$DZ$9,2,0),$DW$10&lt;=VLOOKUP(DY805,$DV$5:$DZ$9,3,0)),
(DX805*(1-VLOOKUP(DY805,$DV$5:$DZ$9,4,0))),
DX805))</f>
        <v>800</v>
      </c>
    </row>
    <row r="806" spans="75:130">
      <c r="BW806" s="250" t="s">
        <v>307</v>
      </c>
      <c r="BX806" s="247" t="s">
        <v>832</v>
      </c>
      <c r="BY806" s="138" t="str">
        <f t="shared" si="440"/>
        <v>ФР Verto-FIT.A.Бронза</v>
      </c>
      <c r="CA806" s="742" t="s">
        <v>3321</v>
      </c>
      <c r="CB806" s="783" t="s">
        <v>5756</v>
      </c>
      <c r="CC806" s="138" t="str">
        <f t="shared" si="441"/>
        <v>ДП ПОЛЛО.фальц..робоча..Stand кл Лів +3завіс</v>
      </c>
      <c r="DD806" s="740" t="s">
        <v>2828</v>
      </c>
      <c r="DE806" s="166">
        <v>5880</v>
      </c>
      <c r="DF806" s="528">
        <f t="shared" si="445"/>
        <v>5880</v>
      </c>
      <c r="DG806" s="529" t="s">
        <v>6466</v>
      </c>
      <c r="DH806" s="530">
        <f t="shared" ca="1" si="442"/>
        <v>5880</v>
      </c>
      <c r="DP806" s="738" t="s">
        <v>4050</v>
      </c>
      <c r="DQ806" s="166">
        <v>740</v>
      </c>
      <c r="DR806" s="522">
        <f t="shared" si="443"/>
        <v>740</v>
      </c>
      <c r="DS806" s="523"/>
      <c r="DT806" s="524">
        <f t="shared" si="444"/>
        <v>740</v>
      </c>
      <c r="DV806" s="738" t="s">
        <v>6405</v>
      </c>
      <c r="DW806" s="166">
        <v>1</v>
      </c>
      <c r="DX806" s="522">
        <f t="shared" si="438"/>
        <v>1</v>
      </c>
      <c r="DY806" s="523"/>
      <c r="DZ806" s="524">
        <f t="shared" si="439"/>
        <v>1</v>
      </c>
    </row>
    <row r="807" spans="75:130">
      <c r="BW807" s="250" t="s">
        <v>307</v>
      </c>
      <c r="BX807" s="770" t="s">
        <v>4220</v>
      </c>
      <c r="BY807" s="138" t="str">
        <f>CONCATENATE(BW807,".",BX807)</f>
        <v>ФР Verto-FIT.A.Малюнок</v>
      </c>
      <c r="CA807" s="742" t="s">
        <v>3321</v>
      </c>
      <c r="CB807" s="783" t="s">
        <v>5757</v>
      </c>
      <c r="CC807" s="138" t="str">
        <f t="shared" si="441"/>
        <v>ДП ПОЛЛО.фальц..робоча..Stand кл Пр +3завіс</v>
      </c>
      <c r="DD807" s="740" t="s">
        <v>2829</v>
      </c>
      <c r="DE807" s="166">
        <v>5880</v>
      </c>
      <c r="DF807" s="528">
        <f t="shared" si="445"/>
        <v>5880</v>
      </c>
      <c r="DG807" s="529" t="s">
        <v>6466</v>
      </c>
      <c r="DH807" s="530">
        <f t="shared" ca="1" si="442"/>
        <v>5880</v>
      </c>
      <c r="DP807" s="738" t="s">
        <v>3031</v>
      </c>
      <c r="DQ807" s="166">
        <v>740</v>
      </c>
      <c r="DR807" s="522">
        <f t="shared" si="443"/>
        <v>740</v>
      </c>
      <c r="DS807" s="523"/>
      <c r="DT807" s="524">
        <f t="shared" si="444"/>
        <v>740</v>
      </c>
      <c r="DV807" s="739" t="s">
        <v>6406</v>
      </c>
      <c r="DW807" s="164">
        <v>1</v>
      </c>
      <c r="DX807" s="525">
        <f t="shared" si="438"/>
        <v>1</v>
      </c>
      <c r="DY807" s="526"/>
      <c r="DZ807" s="527">
        <f t="shared" si="439"/>
        <v>1</v>
      </c>
    </row>
    <row r="808" spans="75:130">
      <c r="BW808" s="249" t="s">
        <v>307</v>
      </c>
      <c r="BX808" s="782" t="s">
        <v>4251</v>
      </c>
      <c r="BY808" s="139" t="str">
        <f t="shared" si="440"/>
        <v>ФР Verto-FIT.A.Дзеркало</v>
      </c>
      <c r="CA808" s="742" t="s">
        <v>3321</v>
      </c>
      <c r="CB808" s="783" t="s">
        <v>5758</v>
      </c>
      <c r="CC808" s="138" t="str">
        <f t="shared" si="441"/>
        <v>ДП ПОЛЛО.фальц..робоча..Stand ст Лів +3завіс</v>
      </c>
      <c r="DD808" s="740" t="s">
        <v>2830</v>
      </c>
      <c r="DE808" s="166">
        <v>5880</v>
      </c>
      <c r="DF808" s="528">
        <f t="shared" si="445"/>
        <v>5880</v>
      </c>
      <c r="DG808" s="529" t="s">
        <v>6466</v>
      </c>
      <c r="DH808" s="530">
        <f t="shared" ca="1" si="442"/>
        <v>5880</v>
      </c>
      <c r="DP808" s="738" t="s">
        <v>3032</v>
      </c>
      <c r="DQ808" s="166">
        <v>1130</v>
      </c>
      <c r="DR808" s="522">
        <f t="shared" si="443"/>
        <v>1130</v>
      </c>
      <c r="DS808" s="523"/>
      <c r="DT808" s="524">
        <f t="shared" si="444"/>
        <v>1130</v>
      </c>
      <c r="DV808" s="737" t="s">
        <v>4745</v>
      </c>
      <c r="DW808" s="163">
        <v>0</v>
      </c>
      <c r="DX808" s="528">
        <f t="shared" si="438"/>
        <v>0</v>
      </c>
      <c r="DY808" s="529"/>
      <c r="DZ808" s="530">
        <f t="shared" si="439"/>
        <v>0</v>
      </c>
    </row>
    <row r="809" spans="75:130">
      <c r="BW809" s="251" t="s">
        <v>308</v>
      </c>
      <c r="BX809" s="786" t="s">
        <v>4248</v>
      </c>
      <c r="BY809" s="135" t="str">
        <f t="shared" si="440"/>
        <v>ФР Verto-FIT.B.Фільонка</v>
      </c>
      <c r="CA809" s="742" t="s">
        <v>3321</v>
      </c>
      <c r="CB809" s="783" t="s">
        <v>5759</v>
      </c>
      <c r="CC809" s="138" t="str">
        <f t="shared" si="441"/>
        <v>ДП ПОЛЛО.фальц..робоча..Stand ст Пр +3завіс</v>
      </c>
      <c r="DD809" s="740" t="s">
        <v>2831</v>
      </c>
      <c r="DE809" s="166">
        <v>5880</v>
      </c>
      <c r="DF809" s="528">
        <f t="shared" si="445"/>
        <v>5880</v>
      </c>
      <c r="DG809" s="529" t="s">
        <v>6466</v>
      </c>
      <c r="DH809" s="530">
        <f t="shared" ca="1" si="442"/>
        <v>5880</v>
      </c>
      <c r="DP809" s="739" t="s">
        <v>3033</v>
      </c>
      <c r="DQ809" s="164">
        <v>1130</v>
      </c>
      <c r="DR809" s="525">
        <f t="shared" si="443"/>
        <v>1130</v>
      </c>
      <c r="DS809" s="526"/>
      <c r="DT809" s="527">
        <f t="shared" si="444"/>
        <v>1130</v>
      </c>
      <c r="DV809" s="738" t="s">
        <v>4746</v>
      </c>
      <c r="DW809" s="166">
        <v>0</v>
      </c>
      <c r="DX809" s="522">
        <f t="shared" si="438"/>
        <v>0</v>
      </c>
      <c r="DY809" s="523"/>
      <c r="DZ809" s="524">
        <f t="shared" si="439"/>
        <v>0</v>
      </c>
    </row>
    <row r="810" spans="75:130">
      <c r="BW810" s="250" t="s">
        <v>308</v>
      </c>
      <c r="BX810" s="247"/>
      <c r="BY810" s="138"/>
      <c r="CA810" s="742" t="s">
        <v>3321</v>
      </c>
      <c r="CC810" s="138"/>
      <c r="DD810" s="740" t="s">
        <v>2832</v>
      </c>
      <c r="DE810" s="166">
        <v>5880</v>
      </c>
      <c r="DF810" s="528">
        <f t="shared" si="445"/>
        <v>5880</v>
      </c>
      <c r="DG810" s="529" t="s">
        <v>6466</v>
      </c>
      <c r="DH810" s="530">
        <f t="shared" ca="1" si="442"/>
        <v>5880</v>
      </c>
      <c r="DP810" s="538"/>
      <c r="DQ810" s="539"/>
      <c r="DR810" s="650"/>
      <c r="DS810" s="651"/>
      <c r="DT810" s="652"/>
      <c r="DV810" s="739" t="s">
        <v>4747</v>
      </c>
      <c r="DW810" s="164">
        <v>0</v>
      </c>
      <c r="DX810" s="531">
        <f t="shared" ref="DX810:DX816" si="446">ROUND(((DW810-(DW810/6))/$DD$3)*$DE$3,2)</f>
        <v>0</v>
      </c>
      <c r="DY810" s="526"/>
      <c r="DZ810" s="527">
        <f t="shared" ref="DZ810:DZ816" si="447">IF(DY810="",DX810,
IF(AND($DW$10&gt;=VLOOKUP(DY810,$DV$5:$DZ$9,2,0),$DW$10&lt;=VLOOKUP(DY810,$DV$5:$DZ$9,3,0)),
(DX810*(1-VLOOKUP(DY810,$DV$5:$DZ$9,4,0))),
DX810))</f>
        <v>0</v>
      </c>
    </row>
    <row r="811" spans="75:130">
      <c r="BW811" s="250" t="s">
        <v>308</v>
      </c>
      <c r="BX811" s="247" t="s">
        <v>459</v>
      </c>
      <c r="BY811" s="138" t="str">
        <f t="shared" ref="BY811:BY818" si="448">CONCATENATE(BW811,".",BX811)</f>
        <v>ФР Verto-FIT.B.Кризет</v>
      </c>
      <c r="CA811" s="742" t="s">
        <v>3321</v>
      </c>
      <c r="CB811" s="137" t="s">
        <v>4304</v>
      </c>
      <c r="CC811" s="138" t="str">
        <f>CONCATENATE(CA811,".",CB811)</f>
        <v>ДП ПОЛЛО.фальц..робоча..Soft цл +3завіс</v>
      </c>
      <c r="DD811" s="740" t="s">
        <v>2833</v>
      </c>
      <c r="DE811" s="166">
        <v>5880</v>
      </c>
      <c r="DF811" s="528">
        <f t="shared" si="445"/>
        <v>5880</v>
      </c>
      <c r="DG811" s="529" t="s">
        <v>6466</v>
      </c>
      <c r="DH811" s="530">
        <f t="shared" ca="1" si="442"/>
        <v>5880</v>
      </c>
      <c r="DP811" s="736" t="s">
        <v>4193</v>
      </c>
      <c r="DQ811" s="164">
        <v>0</v>
      </c>
      <c r="DR811" s="531">
        <f t="shared" ref="DR811:DR838" si="449">ROUND(((DQ811-(DQ811/6))/$DD$3)*$DE$3,2)</f>
        <v>0</v>
      </c>
      <c r="DS811" s="526"/>
      <c r="DT811" s="527">
        <f t="shared" ref="DT811:DT838" si="450">IF(DS811="",DR811,
IF(AND($DQ$10&gt;=VLOOKUP(DS811,$DP$5:$DT$9,2,0),$DQ$10&lt;=VLOOKUP(DS811,$DP$5:$DT$9,3,0)),
(DR811*(1-VLOOKUP(DS811,$DP$5:$DT$9,4,0))),
DR811))</f>
        <v>0</v>
      </c>
      <c r="DV811" s="738" t="s">
        <v>4748</v>
      </c>
      <c r="DW811" s="166">
        <v>800</v>
      </c>
      <c r="DX811" s="522">
        <f t="shared" si="446"/>
        <v>800</v>
      </c>
      <c r="DY811" s="523"/>
      <c r="DZ811" s="524">
        <f t="shared" si="447"/>
        <v>800</v>
      </c>
    </row>
    <row r="812" spans="75:130">
      <c r="BW812" s="250" t="s">
        <v>308</v>
      </c>
      <c r="BX812" s="247" t="s">
        <v>458</v>
      </c>
      <c r="BY812" s="138" t="str">
        <f t="shared" si="448"/>
        <v>ФР Verto-FIT.B.Сатин</v>
      </c>
      <c r="CA812" s="742" t="s">
        <v>3321</v>
      </c>
      <c r="CB812" s="137" t="s">
        <v>4307</v>
      </c>
      <c r="CC812" s="138" t="str">
        <f>CONCATENATE(CA812,".",CB812)</f>
        <v>ДП ПОЛЛО.фальц..робоча..Soft ст +3завіс</v>
      </c>
      <c r="DD812" s="740" t="s">
        <v>2834</v>
      </c>
      <c r="DE812" s="166">
        <v>5880</v>
      </c>
      <c r="DF812" s="528">
        <f t="shared" si="445"/>
        <v>5880</v>
      </c>
      <c r="DG812" s="529" t="s">
        <v>6466</v>
      </c>
      <c r="DH812" s="530">
        <f t="shared" ca="1" si="442"/>
        <v>5880</v>
      </c>
      <c r="DP812" s="738" t="s">
        <v>3034</v>
      </c>
      <c r="DQ812" s="166">
        <v>0</v>
      </c>
      <c r="DR812" s="522">
        <f t="shared" si="449"/>
        <v>0</v>
      </c>
      <c r="DS812" s="523"/>
      <c r="DT812" s="524">
        <f t="shared" si="450"/>
        <v>0</v>
      </c>
      <c r="DV812" s="738" t="s">
        <v>4749</v>
      </c>
      <c r="DW812" s="166">
        <v>800</v>
      </c>
      <c r="DX812" s="522">
        <f t="shared" si="446"/>
        <v>800</v>
      </c>
      <c r="DY812" s="523"/>
      <c r="DZ812" s="524">
        <f t="shared" si="447"/>
        <v>800</v>
      </c>
    </row>
    <row r="813" spans="75:130">
      <c r="BW813" s="250" t="s">
        <v>308</v>
      </c>
      <c r="BX813" s="770" t="s">
        <v>4203</v>
      </c>
      <c r="BY813" s="138" t="str">
        <f t="shared" si="448"/>
        <v>ФР Verto-FIT.B.Жалюзі</v>
      </c>
      <c r="CA813" s="742" t="s">
        <v>3321</v>
      </c>
      <c r="CB813" s="21"/>
      <c r="CC813" s="21"/>
      <c r="DD813" s="741" t="s">
        <v>2835</v>
      </c>
      <c r="DE813" s="164">
        <v>5880</v>
      </c>
      <c r="DF813" s="528">
        <f t="shared" si="445"/>
        <v>5880</v>
      </c>
      <c r="DG813" s="529" t="s">
        <v>6466</v>
      </c>
      <c r="DH813" s="530">
        <f t="shared" ca="1" si="442"/>
        <v>5880</v>
      </c>
      <c r="DP813" s="738" t="s">
        <v>4051</v>
      </c>
      <c r="DQ813" s="166">
        <v>510</v>
      </c>
      <c r="DR813" s="522">
        <f t="shared" si="449"/>
        <v>510</v>
      </c>
      <c r="DS813" s="523"/>
      <c r="DT813" s="524">
        <f t="shared" si="450"/>
        <v>510</v>
      </c>
      <c r="DV813" s="738" t="s">
        <v>4750</v>
      </c>
      <c r="DW813" s="166">
        <v>800</v>
      </c>
      <c r="DX813" s="522">
        <f t="shared" si="446"/>
        <v>800</v>
      </c>
      <c r="DY813" s="523"/>
      <c r="DZ813" s="524">
        <f t="shared" si="447"/>
        <v>800</v>
      </c>
    </row>
    <row r="814" spans="75:130">
      <c r="BW814" s="250" t="s">
        <v>308</v>
      </c>
      <c r="BX814" s="770" t="s">
        <v>3851</v>
      </c>
      <c r="BY814" s="138" t="str">
        <f t="shared" si="448"/>
        <v>ФР Verto-FIT.B.Графіт</v>
      </c>
      <c r="CA814" s="742" t="s">
        <v>3321</v>
      </c>
      <c r="CB814" s="137" t="s">
        <v>4316</v>
      </c>
      <c r="CC814" s="138" t="str">
        <f>CONCATENATE(CA814,".",CB814)</f>
        <v>ДП ПОЛЛО.фальц..робоча..Magnet цл +3завіс</v>
      </c>
      <c r="DD814" s="740" t="s">
        <v>2836</v>
      </c>
      <c r="DE814" s="166">
        <v>6700.0000000000009</v>
      </c>
      <c r="DF814" s="528">
        <f t="shared" si="445"/>
        <v>6700</v>
      </c>
      <c r="DG814" s="529" t="s">
        <v>6466</v>
      </c>
      <c r="DH814" s="530">
        <f t="shared" ca="1" si="442"/>
        <v>6700</v>
      </c>
      <c r="DP814" s="739" t="s">
        <v>3035</v>
      </c>
      <c r="DQ814" s="164">
        <v>510</v>
      </c>
      <c r="DR814" s="531">
        <f t="shared" si="449"/>
        <v>510</v>
      </c>
      <c r="DS814" s="526"/>
      <c r="DT814" s="527">
        <f t="shared" si="450"/>
        <v>510</v>
      </c>
      <c r="DV814" s="738" t="s">
        <v>4751</v>
      </c>
      <c r="DW814" s="166">
        <v>800</v>
      </c>
      <c r="DX814" s="522">
        <f t="shared" si="446"/>
        <v>800</v>
      </c>
      <c r="DY814" s="523"/>
      <c r="DZ814" s="524">
        <f t="shared" si="447"/>
        <v>800</v>
      </c>
    </row>
    <row r="815" spans="75:130">
      <c r="BW815" s="250" t="s">
        <v>308</v>
      </c>
      <c r="BX815" s="247" t="s">
        <v>832</v>
      </c>
      <c r="BY815" s="138" t="str">
        <f t="shared" si="448"/>
        <v>ФР Verto-FIT.B.Бронза</v>
      </c>
      <c r="CA815" s="424" t="s">
        <v>3321</v>
      </c>
      <c r="CB815" s="62" t="s">
        <v>4319</v>
      </c>
      <c r="CC815" s="139" t="str">
        <f>CONCATENATE(CA815,".",CB815)</f>
        <v>ДП ПОЛЛО.фальц..робоча..Magnet ст +3завіс</v>
      </c>
      <c r="DD815" s="740" t="s">
        <v>2837</v>
      </c>
      <c r="DE815" s="166">
        <v>6700.0000000000009</v>
      </c>
      <c r="DF815" s="528">
        <f t="shared" si="445"/>
        <v>6700</v>
      </c>
      <c r="DG815" s="529" t="s">
        <v>6466</v>
      </c>
      <c r="DH815" s="530">
        <f t="shared" ca="1" si="442"/>
        <v>6700</v>
      </c>
      <c r="DP815" s="739" t="s">
        <v>6058</v>
      </c>
      <c r="DQ815" s="164">
        <v>510</v>
      </c>
      <c r="DR815" s="531">
        <f>ROUND(((DQ815-(DQ815/6))/$DD$3)*$DE$3,2)</f>
        <v>510</v>
      </c>
      <c r="DS815" s="526"/>
      <c r="DT815" s="527">
        <f>IF(DS815="",DR815,
IF(AND($DQ$10&gt;=VLOOKUP(DS815,$DP$5:$DT$9,2,0),$DQ$10&lt;=VLOOKUP(DS815,$DP$5:$DT$9,3,0)),
(DR815*(1-VLOOKUP(DS815,$DP$5:$DT$9,4,0))),
DR815))</f>
        <v>510</v>
      </c>
      <c r="DV815" s="738" t="s">
        <v>4752</v>
      </c>
      <c r="DW815" s="166">
        <v>800</v>
      </c>
      <c r="DX815" s="522">
        <f t="shared" si="446"/>
        <v>800</v>
      </c>
      <c r="DY815" s="523"/>
      <c r="DZ815" s="524">
        <f t="shared" si="447"/>
        <v>800</v>
      </c>
    </row>
    <row r="816" spans="75:130">
      <c r="BW816" s="250" t="s">
        <v>308</v>
      </c>
      <c r="BX816" s="770" t="s">
        <v>4220</v>
      </c>
      <c r="BY816" s="138" t="str">
        <f>CONCATENATE(BW816,".",BX816)</f>
        <v>ФР Verto-FIT.B.Малюнок</v>
      </c>
      <c r="CA816" s="746" t="s">
        <v>3322</v>
      </c>
      <c r="CB816" s="134" t="s">
        <v>4106</v>
      </c>
      <c r="CC816" s="135" t="str">
        <f>CONCATENATE(CA816,".",CB816)</f>
        <v>ДП ПОЛЛО.фальц..неробоча..(ні)</v>
      </c>
      <c r="DD816" s="740" t="s">
        <v>2838</v>
      </c>
      <c r="DE816" s="166">
        <v>6700.0000000000009</v>
      </c>
      <c r="DF816" s="528">
        <f t="shared" si="445"/>
        <v>6700</v>
      </c>
      <c r="DG816" s="529" t="s">
        <v>6466</v>
      </c>
      <c r="DH816" s="530">
        <f t="shared" ca="1" si="442"/>
        <v>6700</v>
      </c>
      <c r="DP816" s="739" t="s">
        <v>4194</v>
      </c>
      <c r="DQ816" s="164">
        <v>0</v>
      </c>
      <c r="DR816" s="531">
        <f t="shared" si="449"/>
        <v>0</v>
      </c>
      <c r="DS816" s="526"/>
      <c r="DT816" s="527">
        <f t="shared" si="450"/>
        <v>0</v>
      </c>
      <c r="DV816" s="739" t="s">
        <v>4753</v>
      </c>
      <c r="DW816" s="166">
        <v>800</v>
      </c>
      <c r="DX816" s="525">
        <f t="shared" si="446"/>
        <v>800</v>
      </c>
      <c r="DY816" s="526"/>
      <c r="DZ816" s="527">
        <f t="shared" si="447"/>
        <v>800</v>
      </c>
    </row>
    <row r="817" spans="75:130">
      <c r="BW817" s="249" t="s">
        <v>308</v>
      </c>
      <c r="BX817" s="782" t="s">
        <v>4251</v>
      </c>
      <c r="BY817" s="139" t="str">
        <f t="shared" si="448"/>
        <v>ФР Verto-FIT.B.Дзеркало</v>
      </c>
      <c r="CA817" s="742" t="s">
        <v>3322</v>
      </c>
      <c r="CB817" s="21"/>
      <c r="CC817" s="21"/>
      <c r="DD817" s="740" t="s">
        <v>2839</v>
      </c>
      <c r="DE817" s="166">
        <v>6700.0000000000009</v>
      </c>
      <c r="DF817" s="528">
        <f t="shared" si="445"/>
        <v>6700</v>
      </c>
      <c r="DG817" s="529" t="s">
        <v>6466</v>
      </c>
      <c r="DH817" s="530">
        <f t="shared" ca="1" si="442"/>
        <v>6700</v>
      </c>
      <c r="DP817" s="738" t="s">
        <v>3036</v>
      </c>
      <c r="DQ817" s="166">
        <v>0</v>
      </c>
      <c r="DR817" s="522">
        <f t="shared" si="449"/>
        <v>0</v>
      </c>
      <c r="DS817" s="523"/>
      <c r="DT817" s="524">
        <f t="shared" si="450"/>
        <v>0</v>
      </c>
      <c r="DV817" s="739" t="s">
        <v>6407</v>
      </c>
      <c r="DW817" s="164">
        <v>0</v>
      </c>
      <c r="DX817" s="531">
        <f t="shared" si="438"/>
        <v>0</v>
      </c>
      <c r="DY817" s="526"/>
      <c r="DZ817" s="527">
        <f t="shared" si="439"/>
        <v>0</v>
      </c>
    </row>
    <row r="818" spans="75:130">
      <c r="BW818" s="251" t="s">
        <v>1291</v>
      </c>
      <c r="BX818" s="786" t="s">
        <v>4248</v>
      </c>
      <c r="BY818" s="135" t="str">
        <f t="shared" si="448"/>
        <v>ФР Verto-FIT.B+.Фільонка</v>
      </c>
      <c r="CA818" s="742" t="s">
        <v>3322</v>
      </c>
      <c r="CB818" s="783" t="s">
        <v>4325</v>
      </c>
      <c r="CC818" s="138" t="str">
        <f>CONCATENATE(CA818,".",CB818)</f>
        <v>ДП ПОЛЛО.фальц..неробоча..Пл Stand +3завіс</v>
      </c>
      <c r="DD818" s="740" t="s">
        <v>2840</v>
      </c>
      <c r="DE818" s="166">
        <v>6700.0000000000009</v>
      </c>
      <c r="DF818" s="528">
        <f t="shared" si="445"/>
        <v>6700</v>
      </c>
      <c r="DG818" s="529" t="s">
        <v>6466</v>
      </c>
      <c r="DH818" s="530">
        <f t="shared" ca="1" si="442"/>
        <v>6700</v>
      </c>
      <c r="DP818" s="738" t="s">
        <v>4052</v>
      </c>
      <c r="DQ818" s="166">
        <v>510</v>
      </c>
      <c r="DR818" s="522">
        <f t="shared" si="449"/>
        <v>510</v>
      </c>
      <c r="DS818" s="523"/>
      <c r="DT818" s="524">
        <f t="shared" si="450"/>
        <v>510</v>
      </c>
      <c r="DV818" s="738" t="s">
        <v>6408</v>
      </c>
      <c r="DW818" s="166">
        <v>1</v>
      </c>
      <c r="DX818" s="522">
        <f t="shared" si="438"/>
        <v>1</v>
      </c>
      <c r="DY818" s="523"/>
      <c r="DZ818" s="524">
        <f t="shared" si="439"/>
        <v>1</v>
      </c>
    </row>
    <row r="819" spans="75:130">
      <c r="BW819" s="250" t="s">
        <v>1291</v>
      </c>
      <c r="BX819" s="247"/>
      <c r="BY819" s="138"/>
      <c r="CA819" s="742" t="s">
        <v>3322</v>
      </c>
      <c r="CB819" s="783" t="s">
        <v>4333</v>
      </c>
      <c r="CC819" s="138" t="str">
        <f>CONCATENATE(CA819,".",CB819)</f>
        <v>ДП ПОЛЛО.фальц..неробоча..Пл Soft +3завіс</v>
      </c>
      <c r="DD819" s="740" t="s">
        <v>2841</v>
      </c>
      <c r="DE819" s="166">
        <v>6700.0000000000009</v>
      </c>
      <c r="DF819" s="528">
        <f t="shared" si="445"/>
        <v>6700</v>
      </c>
      <c r="DG819" s="529" t="s">
        <v>6466</v>
      </c>
      <c r="DH819" s="530">
        <f t="shared" ca="1" si="442"/>
        <v>6700</v>
      </c>
      <c r="DP819" s="739" t="s">
        <v>3037</v>
      </c>
      <c r="DQ819" s="164">
        <v>510</v>
      </c>
      <c r="DR819" s="531">
        <f t="shared" si="449"/>
        <v>510</v>
      </c>
      <c r="DS819" s="526"/>
      <c r="DT819" s="527">
        <f t="shared" si="450"/>
        <v>510</v>
      </c>
      <c r="DV819" s="738" t="s">
        <v>6409</v>
      </c>
      <c r="DW819" s="166">
        <v>1</v>
      </c>
      <c r="DX819" s="522">
        <f t="shared" si="438"/>
        <v>1</v>
      </c>
      <c r="DY819" s="523"/>
      <c r="DZ819" s="524">
        <f t="shared" si="439"/>
        <v>1</v>
      </c>
    </row>
    <row r="820" spans="75:130">
      <c r="BW820" s="250" t="s">
        <v>1291</v>
      </c>
      <c r="BX820" s="247" t="s">
        <v>459</v>
      </c>
      <c r="BY820" s="138" t="str">
        <f t="shared" ref="BY820:BY826" si="451">CONCATENATE(BW820,".",BX820)</f>
        <v>ФР Verto-FIT.B+.Кризет</v>
      </c>
      <c r="CA820" s="424" t="s">
        <v>3322</v>
      </c>
      <c r="CB820" s="152" t="s">
        <v>4336</v>
      </c>
      <c r="CC820" s="139" t="str">
        <f>CONCATENATE(CA820,".",CB820)</f>
        <v>ДП ПОЛЛО.фальц..неробоча..Пл Magnet +3завіс</v>
      </c>
      <c r="DD820" s="740" t="s">
        <v>2842</v>
      </c>
      <c r="DE820" s="166">
        <v>6700.0000000000009</v>
      </c>
      <c r="DF820" s="528">
        <f t="shared" si="445"/>
        <v>6700</v>
      </c>
      <c r="DG820" s="529" t="s">
        <v>6466</v>
      </c>
      <c r="DH820" s="530">
        <f t="shared" ca="1" si="442"/>
        <v>6700</v>
      </c>
      <c r="DP820" s="739" t="s">
        <v>6059</v>
      </c>
      <c r="DQ820" s="164">
        <v>510</v>
      </c>
      <c r="DR820" s="531">
        <f>ROUND(((DQ820-(DQ820/6))/$DD$3)*$DE$3,2)</f>
        <v>510</v>
      </c>
      <c r="DS820" s="526"/>
      <c r="DT820" s="527">
        <f>IF(DS820="",DR820,
IF(AND($DQ$10&gt;=VLOOKUP(DS820,$DP$5:$DT$9,2,0),$DQ$10&lt;=VLOOKUP(DS820,$DP$5:$DT$9,3,0)),
(DR820*(1-VLOOKUP(DS820,$DP$5:$DT$9,4,0))),
DR820))</f>
        <v>510</v>
      </c>
      <c r="DV820" s="738" t="s">
        <v>6410</v>
      </c>
      <c r="DW820" s="166">
        <v>1</v>
      </c>
      <c r="DX820" s="522">
        <f t="shared" si="438"/>
        <v>1</v>
      </c>
      <c r="DY820" s="523"/>
      <c r="DZ820" s="524">
        <f t="shared" si="439"/>
        <v>1</v>
      </c>
    </row>
    <row r="821" spans="75:130">
      <c r="BW821" s="250" t="s">
        <v>1291</v>
      </c>
      <c r="BX821" s="247" t="s">
        <v>458</v>
      </c>
      <c r="BY821" s="138" t="str">
        <f t="shared" si="451"/>
        <v>ФР Verto-FIT.B+.Сатин</v>
      </c>
      <c r="CA821" s="146" t="s">
        <v>3323</v>
      </c>
      <c r="CB821" s="137" t="s">
        <v>4106</v>
      </c>
      <c r="CC821" s="239" t="str">
        <f>CONCATENATE(CA821,".",CB821)</f>
        <v>ДП ПОЛЛО.б/з фальц..робоча..(ні)</v>
      </c>
      <c r="DD821" s="740" t="s">
        <v>2843</v>
      </c>
      <c r="DE821" s="166">
        <v>6700.0000000000009</v>
      </c>
      <c r="DF821" s="528">
        <f t="shared" si="445"/>
        <v>6700</v>
      </c>
      <c r="DG821" s="529" t="s">
        <v>6466</v>
      </c>
      <c r="DH821" s="530">
        <f t="shared" ca="1" si="442"/>
        <v>6700</v>
      </c>
      <c r="DP821" s="738" t="s">
        <v>3038</v>
      </c>
      <c r="DQ821" s="166">
        <v>0</v>
      </c>
      <c r="DR821" s="522">
        <f t="shared" si="449"/>
        <v>0</v>
      </c>
      <c r="DS821" s="523"/>
      <c r="DT821" s="524">
        <f t="shared" si="450"/>
        <v>0</v>
      </c>
      <c r="DV821" s="738" t="s">
        <v>6411</v>
      </c>
      <c r="DW821" s="166">
        <v>1</v>
      </c>
      <c r="DX821" s="522">
        <f t="shared" si="438"/>
        <v>1</v>
      </c>
      <c r="DY821" s="523"/>
      <c r="DZ821" s="524">
        <f t="shared" si="439"/>
        <v>1</v>
      </c>
    </row>
    <row r="822" spans="75:130">
      <c r="BW822" s="250" t="s">
        <v>1291</v>
      </c>
      <c r="BX822" s="770" t="s">
        <v>4203</v>
      </c>
      <c r="BY822" s="138" t="str">
        <f t="shared" si="451"/>
        <v>ФР Verto-FIT.B+.Жалюзі</v>
      </c>
      <c r="CA822" s="146" t="s">
        <v>3323</v>
      </c>
      <c r="CB822" s="97"/>
      <c r="CC822" s="97"/>
      <c r="DD822" s="740" t="s">
        <v>2844</v>
      </c>
      <c r="DE822" s="166">
        <v>6700.0000000000009</v>
      </c>
      <c r="DF822" s="528">
        <f t="shared" si="445"/>
        <v>6700</v>
      </c>
      <c r="DG822" s="529" t="s">
        <v>6466</v>
      </c>
      <c r="DH822" s="530">
        <f t="shared" ca="1" si="442"/>
        <v>6700</v>
      </c>
      <c r="DP822" s="738" t="s">
        <v>4053</v>
      </c>
      <c r="DQ822" s="166">
        <v>510</v>
      </c>
      <c r="DR822" s="522">
        <f t="shared" si="449"/>
        <v>510</v>
      </c>
      <c r="DS822" s="523"/>
      <c r="DT822" s="524">
        <f t="shared" si="450"/>
        <v>510</v>
      </c>
      <c r="DV822" s="738" t="s">
        <v>6412</v>
      </c>
      <c r="DW822" s="166">
        <v>1</v>
      </c>
      <c r="DX822" s="522">
        <f t="shared" si="438"/>
        <v>1</v>
      </c>
      <c r="DY822" s="523"/>
      <c r="DZ822" s="524">
        <f t="shared" si="439"/>
        <v>1</v>
      </c>
    </row>
    <row r="823" spans="75:130">
      <c r="BW823" s="250" t="s">
        <v>1291</v>
      </c>
      <c r="BX823" s="770" t="s">
        <v>3851</v>
      </c>
      <c r="BY823" s="138" t="str">
        <f t="shared" si="451"/>
        <v>ФР Verto-FIT.B+.Графіт</v>
      </c>
      <c r="CA823" s="146" t="s">
        <v>3323</v>
      </c>
      <c r="CB823" s="478" t="s">
        <v>4337</v>
      </c>
      <c r="CC823" s="239" t="str">
        <f>CONCATENATE(CA823,".",CB823)</f>
        <v>ДП ПОЛЛО.б/з фальц..робоча..Magnet цл б/з завіс.</v>
      </c>
      <c r="DD823" s="741" t="s">
        <v>2845</v>
      </c>
      <c r="DE823" s="164">
        <v>6700.0000000000009</v>
      </c>
      <c r="DF823" s="528">
        <f t="shared" si="445"/>
        <v>6700</v>
      </c>
      <c r="DG823" s="529" t="s">
        <v>6466</v>
      </c>
      <c r="DH823" s="530">
        <f t="shared" ca="1" si="442"/>
        <v>6700</v>
      </c>
      <c r="DP823" s="739" t="s">
        <v>3039</v>
      </c>
      <c r="DQ823" s="164">
        <v>510</v>
      </c>
      <c r="DR823" s="531">
        <f t="shared" si="449"/>
        <v>510</v>
      </c>
      <c r="DS823" s="526"/>
      <c r="DT823" s="527">
        <f t="shared" si="450"/>
        <v>510</v>
      </c>
      <c r="DV823" s="739" t="s">
        <v>6413</v>
      </c>
      <c r="DW823" s="166">
        <v>1</v>
      </c>
      <c r="DX823" s="525">
        <f t="shared" si="438"/>
        <v>1</v>
      </c>
      <c r="DY823" s="526"/>
      <c r="DZ823" s="527">
        <f t="shared" si="439"/>
        <v>1</v>
      </c>
    </row>
    <row r="824" spans="75:130">
      <c r="BW824" s="250" t="s">
        <v>1291</v>
      </c>
      <c r="BX824" s="247" t="s">
        <v>832</v>
      </c>
      <c r="BY824" s="138" t="str">
        <f t="shared" si="451"/>
        <v>ФР Verto-FIT.B+.Бронза</v>
      </c>
      <c r="CA824" s="146" t="s">
        <v>3323</v>
      </c>
      <c r="CB824" s="478" t="s">
        <v>4339</v>
      </c>
      <c r="CC824" s="239" t="str">
        <f>CONCATENATE(CA824,".",CB824)</f>
        <v>ДП ПОЛЛО.б/з фальц..робоча..Magnet ст б/з завіс.</v>
      </c>
      <c r="DD824" s="740" t="s">
        <v>2846</v>
      </c>
      <c r="DE824" s="166">
        <v>7010</v>
      </c>
      <c r="DF824" s="528">
        <f t="shared" si="445"/>
        <v>7010</v>
      </c>
      <c r="DG824" s="529" t="s">
        <v>6466</v>
      </c>
      <c r="DH824" s="530">
        <f t="shared" ca="1" si="442"/>
        <v>7010</v>
      </c>
      <c r="DP824" s="739" t="s">
        <v>6060</v>
      </c>
      <c r="DQ824" s="164">
        <v>510</v>
      </c>
      <c r="DR824" s="531">
        <f>ROUND(((DQ824-(DQ824/6))/$DD$3)*$DE$3,2)</f>
        <v>510</v>
      </c>
      <c r="DS824" s="526"/>
      <c r="DT824" s="527">
        <f>IF(DS824="",DR824,
IF(AND($DQ$10&gt;=VLOOKUP(DS824,$DP$5:$DT$9,2,0),$DQ$10&lt;=VLOOKUP(DS824,$DP$5:$DT$9,3,0)),
(DR824*(1-VLOOKUP(DS824,$DP$5:$DT$9,4,0))),
DR824))</f>
        <v>510</v>
      </c>
      <c r="DV824" s="165" t="s">
        <v>1160</v>
      </c>
      <c r="DW824" s="166">
        <v>0</v>
      </c>
      <c r="DX824" s="522">
        <f t="shared" si="438"/>
        <v>0</v>
      </c>
      <c r="DY824" s="523"/>
      <c r="DZ824" s="524">
        <f t="shared" si="439"/>
        <v>0</v>
      </c>
    </row>
    <row r="825" spans="75:130">
      <c r="BW825" s="250" t="s">
        <v>1291</v>
      </c>
      <c r="BX825" s="770" t="s">
        <v>4220</v>
      </c>
      <c r="BY825" s="138" t="str">
        <f>CONCATENATE(BW825,".",BX825)</f>
        <v>ФР Verto-FIT.B+.Малюнок</v>
      </c>
      <c r="CA825" s="146" t="s">
        <v>3323</v>
      </c>
      <c r="CB825" s="97"/>
      <c r="CC825" s="97"/>
      <c r="DD825" s="740" t="s">
        <v>2847</v>
      </c>
      <c r="DE825" s="166">
        <v>7010</v>
      </c>
      <c r="DF825" s="528">
        <f t="shared" si="445"/>
        <v>7010</v>
      </c>
      <c r="DG825" s="529" t="s">
        <v>6466</v>
      </c>
      <c r="DH825" s="530">
        <f t="shared" ca="1" si="442"/>
        <v>7010</v>
      </c>
      <c r="DP825" s="739" t="s">
        <v>4195</v>
      </c>
      <c r="DQ825" s="164">
        <v>0</v>
      </c>
      <c r="DR825" s="531">
        <f t="shared" si="449"/>
        <v>0</v>
      </c>
      <c r="DS825" s="526"/>
      <c r="DT825" s="527">
        <f t="shared" si="450"/>
        <v>0</v>
      </c>
      <c r="DV825" s="108" t="s">
        <v>1161</v>
      </c>
      <c r="DW825" s="164">
        <v>560</v>
      </c>
      <c r="DX825" s="531">
        <f t="shared" si="438"/>
        <v>560</v>
      </c>
      <c r="DY825" s="526"/>
      <c r="DZ825" s="527">
        <f t="shared" si="439"/>
        <v>560</v>
      </c>
    </row>
    <row r="826" spans="75:130">
      <c r="BW826" s="249" t="s">
        <v>1291</v>
      </c>
      <c r="BX826" s="782" t="s">
        <v>4251</v>
      </c>
      <c r="BY826" s="139" t="str">
        <f t="shared" si="451"/>
        <v>ФР Verto-FIT.B+.Дзеркало</v>
      </c>
      <c r="CA826" s="146" t="s">
        <v>3323</v>
      </c>
      <c r="CB826" s="478" t="s">
        <v>4343</v>
      </c>
      <c r="CC826" s="239" t="str">
        <f>CONCATENATE(CA826,".",CB826)</f>
        <v>ДП ПОЛЛО.б/з фальц..робоча..Magnet цл +2завіс 3D</v>
      </c>
      <c r="DD826" s="740" t="s">
        <v>2848</v>
      </c>
      <c r="DE826" s="166">
        <v>7010</v>
      </c>
      <c r="DF826" s="528">
        <f t="shared" si="445"/>
        <v>7010</v>
      </c>
      <c r="DG826" s="529" t="s">
        <v>6466</v>
      </c>
      <c r="DH826" s="530">
        <f t="shared" ca="1" si="442"/>
        <v>7010</v>
      </c>
      <c r="DP826" s="738" t="s">
        <v>3040</v>
      </c>
      <c r="DQ826" s="166">
        <v>0</v>
      </c>
      <c r="DR826" s="522">
        <f t="shared" si="449"/>
        <v>0</v>
      </c>
      <c r="DS826" s="523"/>
      <c r="DT826" s="524">
        <f t="shared" si="450"/>
        <v>0</v>
      </c>
      <c r="DV826" s="647"/>
      <c r="DW826" s="648"/>
      <c r="DX826" s="654"/>
      <c r="DY826" s="655"/>
      <c r="DZ826" s="656"/>
    </row>
    <row r="827" spans="75:130">
      <c r="BW827" s="251" t="s">
        <v>309</v>
      </c>
      <c r="BX827" s="786" t="s">
        <v>4248</v>
      </c>
      <c r="BY827" s="135" t="str">
        <f>CONCATENATE(BW827,".",BX827)</f>
        <v>ФР Verto-FIT.C.Фільонка</v>
      </c>
      <c r="CA827" s="146" t="s">
        <v>3323</v>
      </c>
      <c r="CB827" s="478" t="s">
        <v>4347</v>
      </c>
      <c r="CC827" s="239" t="str">
        <f>CONCATENATE(CA827,".",CB827)</f>
        <v>ДП ПОЛЛО.б/з фальц..робоча..Magnet ст +2завіс 3D</v>
      </c>
      <c r="DD827" s="740" t="s">
        <v>2849</v>
      </c>
      <c r="DE827" s="166">
        <v>7010</v>
      </c>
      <c r="DF827" s="528">
        <f t="shared" si="445"/>
        <v>7010</v>
      </c>
      <c r="DG827" s="529" t="s">
        <v>6466</v>
      </c>
      <c r="DH827" s="530">
        <f t="shared" ca="1" si="442"/>
        <v>7010</v>
      </c>
      <c r="DP827" s="738" t="s">
        <v>4054</v>
      </c>
      <c r="DQ827" s="166">
        <v>510</v>
      </c>
      <c r="DR827" s="522">
        <f t="shared" si="449"/>
        <v>510</v>
      </c>
      <c r="DS827" s="523"/>
      <c r="DT827" s="524">
        <f t="shared" si="450"/>
        <v>510</v>
      </c>
      <c r="DV827" s="736" t="s">
        <v>4175</v>
      </c>
      <c r="DW827" s="105">
        <v>0</v>
      </c>
      <c r="DX827" s="403">
        <f t="shared" ref="DX827:DX857" si="452">ROUND(((DW827-(DW827/6))/$DD$3)*$DE$3,2)</f>
        <v>0</v>
      </c>
      <c r="DY827" s="514"/>
      <c r="DZ827" s="511">
        <f t="shared" ref="DZ827:DZ857" si="453">IF(DY827="",DX827,
IF(AND($DW$10&gt;=VLOOKUP(DY827,$DV$5:$DZ$9,2,0),$DW$10&lt;=VLOOKUP(DY827,$DV$5:$DZ$9,3,0)),
(DX827*(1-VLOOKUP(DY827,$DV$5:$DZ$9,4,0))),
DX827))</f>
        <v>0</v>
      </c>
    </row>
    <row r="828" spans="75:130">
      <c r="BW828" s="250" t="s">
        <v>309</v>
      </c>
      <c r="BX828" s="247"/>
      <c r="BY828" s="138"/>
      <c r="CA828" s="146" t="s">
        <v>3323</v>
      </c>
      <c r="CB828" s="97"/>
      <c r="CC828" s="97"/>
      <c r="DD828" s="740" t="s">
        <v>2850</v>
      </c>
      <c r="DE828" s="166">
        <v>7010</v>
      </c>
      <c r="DF828" s="528">
        <f t="shared" si="445"/>
        <v>7010</v>
      </c>
      <c r="DG828" s="529" t="s">
        <v>6466</v>
      </c>
      <c r="DH828" s="530">
        <f t="shared" ca="1" si="442"/>
        <v>7010</v>
      </c>
      <c r="DP828" s="739" t="s">
        <v>3041</v>
      </c>
      <c r="DQ828" s="164">
        <v>510</v>
      </c>
      <c r="DR828" s="531">
        <f t="shared" si="449"/>
        <v>510</v>
      </c>
      <c r="DS828" s="526"/>
      <c r="DT828" s="527">
        <f t="shared" si="450"/>
        <v>510</v>
      </c>
      <c r="DV828" s="737" t="s">
        <v>5910</v>
      </c>
      <c r="DW828" s="163">
        <v>0</v>
      </c>
      <c r="DX828" s="528">
        <f t="shared" si="452"/>
        <v>0</v>
      </c>
      <c r="DY828" s="529"/>
      <c r="DZ828" s="530">
        <f t="shared" si="453"/>
        <v>0</v>
      </c>
    </row>
    <row r="829" spans="75:130">
      <c r="BW829" s="250" t="s">
        <v>309</v>
      </c>
      <c r="BX829" s="247" t="s">
        <v>459</v>
      </c>
      <c r="BY829" s="138" t="str">
        <f t="shared" ref="BY829:BY835" si="454">CONCATENATE(BW829,".",BX829)</f>
        <v>ФР Verto-FIT.C.Кризет</v>
      </c>
      <c r="CA829" s="146" t="s">
        <v>3323</v>
      </c>
      <c r="CB829" s="478" t="s">
        <v>4349</v>
      </c>
      <c r="CC829" s="239" t="str">
        <f>CONCATENATE(CA829,".",CB829)</f>
        <v>ДП ПОЛЛО.б/з фальц..робоча..Magnet цл +3завіс 3D</v>
      </c>
      <c r="DD829" s="740" t="s">
        <v>2851</v>
      </c>
      <c r="DE829" s="166">
        <v>7010</v>
      </c>
      <c r="DF829" s="528">
        <f t="shared" si="445"/>
        <v>7010</v>
      </c>
      <c r="DG829" s="529" t="s">
        <v>6466</v>
      </c>
      <c r="DH829" s="530">
        <f t="shared" ca="1" si="442"/>
        <v>7010</v>
      </c>
      <c r="DP829" s="739" t="s">
        <v>6061</v>
      </c>
      <c r="DQ829" s="164">
        <v>510</v>
      </c>
      <c r="DR829" s="531">
        <f>ROUND(((DQ829-(DQ829/6))/$DD$3)*$DE$3,2)</f>
        <v>510</v>
      </c>
      <c r="DS829" s="526"/>
      <c r="DT829" s="527">
        <f>IF(DS829="",DR829,
IF(AND($DQ$10&gt;=VLOOKUP(DS829,$DP$5:$DT$9,2,0),$DQ$10&lt;=VLOOKUP(DS829,$DP$5:$DT$9,3,0)),
(DR829*(1-VLOOKUP(DS829,$DP$5:$DT$9,4,0))),
DR829))</f>
        <v>510</v>
      </c>
      <c r="DV829" s="737" t="s">
        <v>5911</v>
      </c>
      <c r="DW829" s="166">
        <v>0</v>
      </c>
      <c r="DX829" s="522">
        <f>ROUND(((DW829-(DW829/6))/$DD$3)*$DE$3,2)</f>
        <v>0</v>
      </c>
      <c r="DY829" s="523"/>
      <c r="DZ829" s="524">
        <f>IF(DY829="",DX829,
IF(AND($DW$10&gt;=VLOOKUP(DY829,$DV$5:$DZ$9,2,0),$DW$10&lt;=VLOOKUP(DY829,$DV$5:$DZ$9,3,0)),
(DX829*(1-VLOOKUP(DY829,$DV$5:$DZ$9,4,0))),
DX829))</f>
        <v>0</v>
      </c>
    </row>
    <row r="830" spans="75:130">
      <c r="BW830" s="250" t="s">
        <v>309</v>
      </c>
      <c r="BX830" s="247" t="s">
        <v>458</v>
      </c>
      <c r="BY830" s="138" t="str">
        <f t="shared" si="454"/>
        <v>ФР Verto-FIT.C.Сатин</v>
      </c>
      <c r="CA830" s="147" t="s">
        <v>3323</v>
      </c>
      <c r="CB830" s="590" t="s">
        <v>4350</v>
      </c>
      <c r="CC830" s="240" t="str">
        <f>CONCATENATE(CA830,".",CB830)</f>
        <v>ДП ПОЛЛО.б/з фальц..робоча..Magnet ст +3завіс 3D</v>
      </c>
      <c r="DD830" s="740" t="s">
        <v>2852</v>
      </c>
      <c r="DE830" s="166">
        <v>7010</v>
      </c>
      <c r="DF830" s="528">
        <f t="shared" si="445"/>
        <v>7010</v>
      </c>
      <c r="DG830" s="529" t="s">
        <v>6466</v>
      </c>
      <c r="DH830" s="530">
        <f t="shared" ca="1" si="442"/>
        <v>7010</v>
      </c>
      <c r="DP830" s="739" t="s">
        <v>4196</v>
      </c>
      <c r="DQ830" s="164">
        <v>0</v>
      </c>
      <c r="DR830" s="531">
        <f t="shared" si="449"/>
        <v>0</v>
      </c>
      <c r="DS830" s="526"/>
      <c r="DT830" s="527">
        <f t="shared" si="450"/>
        <v>0</v>
      </c>
      <c r="DV830" s="738" t="s">
        <v>5912</v>
      </c>
      <c r="DW830" s="166">
        <v>0</v>
      </c>
      <c r="DX830" s="522">
        <f t="shared" si="452"/>
        <v>0</v>
      </c>
      <c r="DY830" s="523"/>
      <c r="DZ830" s="524">
        <f t="shared" si="453"/>
        <v>0</v>
      </c>
    </row>
    <row r="831" spans="75:130">
      <c r="BW831" s="250" t="s">
        <v>309</v>
      </c>
      <c r="BX831" s="770" t="s">
        <v>4203</v>
      </c>
      <c r="BY831" s="138" t="str">
        <f t="shared" si="454"/>
        <v>ФР Verto-FIT.C.Жалюзі</v>
      </c>
      <c r="CA831" s="746" t="s">
        <v>3324</v>
      </c>
      <c r="CB831" s="134" t="s">
        <v>4106</v>
      </c>
      <c r="CC831" s="135" t="str">
        <f>CONCATENATE(CA831,".",CB831)</f>
        <v>ДП ПОЛЛО.купе..робоча..(ні)</v>
      </c>
      <c r="DD831" s="740" t="s">
        <v>2853</v>
      </c>
      <c r="DE831" s="166">
        <v>7010</v>
      </c>
      <c r="DF831" s="528">
        <f t="shared" si="445"/>
        <v>7010</v>
      </c>
      <c r="DG831" s="529" t="s">
        <v>6466</v>
      </c>
      <c r="DH831" s="530">
        <f t="shared" ca="1" si="442"/>
        <v>7010</v>
      </c>
      <c r="DP831" s="738" t="s">
        <v>3042</v>
      </c>
      <c r="DQ831" s="166">
        <v>0</v>
      </c>
      <c r="DR831" s="522">
        <f t="shared" si="449"/>
        <v>0</v>
      </c>
      <c r="DS831" s="523"/>
      <c r="DT831" s="524">
        <f t="shared" si="450"/>
        <v>0</v>
      </c>
      <c r="DV831" s="738" t="s">
        <v>5913</v>
      </c>
      <c r="DW831" s="166">
        <v>0</v>
      </c>
      <c r="DX831" s="522">
        <f>ROUND(((DW831-(DW831/6))/$DD$3)*$DE$3,2)</f>
        <v>0</v>
      </c>
      <c r="DY831" s="523"/>
      <c r="DZ831" s="524">
        <f>IF(DY831="",DX831,
IF(AND($DW$10&gt;=VLOOKUP(DY831,$DV$5:$DZ$9,2,0),$DW$10&lt;=VLOOKUP(DY831,$DV$5:$DZ$9,3,0)),
(DX831*(1-VLOOKUP(DY831,$DV$5:$DZ$9,4,0))),
DX831))</f>
        <v>0</v>
      </c>
    </row>
    <row r="832" spans="75:130">
      <c r="BW832" s="250" t="s">
        <v>309</v>
      </c>
      <c r="BX832" s="770" t="s">
        <v>3851</v>
      </c>
      <c r="BY832" s="138" t="str">
        <f t="shared" si="454"/>
        <v>ФР Verto-FIT.C.Графіт</v>
      </c>
      <c r="CA832" s="742" t="s">
        <v>3324</v>
      </c>
      <c r="CB832" s="21"/>
      <c r="CC832" s="21"/>
      <c r="DD832" s="740" t="s">
        <v>2854</v>
      </c>
      <c r="DE832" s="166">
        <v>7010</v>
      </c>
      <c r="DF832" s="528">
        <f t="shared" si="445"/>
        <v>7010</v>
      </c>
      <c r="DG832" s="529" t="s">
        <v>6466</v>
      </c>
      <c r="DH832" s="530">
        <f t="shared" ca="1" si="442"/>
        <v>7010</v>
      </c>
      <c r="DP832" s="738" t="s">
        <v>4055</v>
      </c>
      <c r="DQ832" s="166">
        <v>510</v>
      </c>
      <c r="DR832" s="522">
        <f t="shared" si="449"/>
        <v>510</v>
      </c>
      <c r="DS832" s="523"/>
      <c r="DT832" s="524">
        <f t="shared" si="450"/>
        <v>510</v>
      </c>
      <c r="DV832" s="738" t="s">
        <v>5914</v>
      </c>
      <c r="DW832" s="166">
        <v>0</v>
      </c>
      <c r="DX832" s="522">
        <f t="shared" si="452"/>
        <v>0</v>
      </c>
      <c r="DY832" s="523"/>
      <c r="DZ832" s="524">
        <f t="shared" si="453"/>
        <v>0</v>
      </c>
    </row>
    <row r="833" spans="75:130">
      <c r="BW833" s="250" t="s">
        <v>309</v>
      </c>
      <c r="BX833" s="247" t="s">
        <v>832</v>
      </c>
      <c r="BY833" s="138" t="str">
        <f t="shared" si="454"/>
        <v>ФР Verto-FIT.C.Бронза</v>
      </c>
      <c r="CA833" s="742" t="s">
        <v>3324</v>
      </c>
      <c r="CB833" s="137" t="s">
        <v>462</v>
      </c>
      <c r="CC833" s="138" t="str">
        <f>CONCATENATE(CA833,".",CB833)</f>
        <v>ДП ПОЛЛО.купе..робоча..Ручка-Захват</v>
      </c>
      <c r="DD833" s="741" t="s">
        <v>2855</v>
      </c>
      <c r="DE833" s="164">
        <v>7010</v>
      </c>
      <c r="DF833" s="528">
        <f t="shared" si="445"/>
        <v>7010</v>
      </c>
      <c r="DG833" s="529" t="s">
        <v>6466</v>
      </c>
      <c r="DH833" s="530">
        <f t="shared" ca="1" si="442"/>
        <v>7010</v>
      </c>
      <c r="DP833" s="739" t="s">
        <v>3043</v>
      </c>
      <c r="DQ833" s="164">
        <v>510</v>
      </c>
      <c r="DR833" s="531">
        <f t="shared" si="449"/>
        <v>510</v>
      </c>
      <c r="DS833" s="526"/>
      <c r="DT833" s="527">
        <f t="shared" si="450"/>
        <v>510</v>
      </c>
      <c r="DV833" s="738" t="s">
        <v>5915</v>
      </c>
      <c r="DW833" s="166">
        <v>0</v>
      </c>
      <c r="DX833" s="522">
        <f>ROUND(((DW833-(DW833/6))/$DD$3)*$DE$3,2)</f>
        <v>0</v>
      </c>
      <c r="DY833" s="523"/>
      <c r="DZ833" s="524">
        <f>IF(DY833="",DX833,
IF(AND($DW$10&gt;=VLOOKUP(DY833,$DV$5:$DZ$9,2,0),$DW$10&lt;=VLOOKUP(DY833,$DV$5:$DZ$9,3,0)),
(DX833*(1-VLOOKUP(DY833,$DV$5:$DZ$9,4,0))),
DX833))</f>
        <v>0</v>
      </c>
    </row>
    <row r="834" spans="75:130">
      <c r="BW834" s="250" t="s">
        <v>309</v>
      </c>
      <c r="BX834" s="770" t="s">
        <v>4220</v>
      </c>
      <c r="BY834" s="138" t="str">
        <f>CONCATENATE(BW834,".",BX834)</f>
        <v>ФР Verto-FIT.C.Малюнок</v>
      </c>
      <c r="CA834" s="742" t="s">
        <v>3324</v>
      </c>
      <c r="CB834" s="137" t="s">
        <v>684</v>
      </c>
      <c r="CC834" s="138" t="str">
        <f>CONCATENATE(CA834,".",CB834)</f>
        <v>ДП ПОЛЛО.купе..робоча..Ручка-Замок</v>
      </c>
      <c r="DD834" s="740" t="s">
        <v>2856</v>
      </c>
      <c r="DE834" s="166">
        <v>7680</v>
      </c>
      <c r="DF834" s="528">
        <f t="shared" si="445"/>
        <v>7680</v>
      </c>
      <c r="DG834" s="529" t="s">
        <v>6466</v>
      </c>
      <c r="DH834" s="530">
        <f t="shared" ca="1" si="442"/>
        <v>7680</v>
      </c>
      <c r="DP834" s="739" t="s">
        <v>6062</v>
      </c>
      <c r="DQ834" s="164">
        <v>510</v>
      </c>
      <c r="DR834" s="531">
        <f>ROUND(((DQ834-(DQ834/6))/$DD$3)*$DE$3,2)</f>
        <v>510</v>
      </c>
      <c r="DS834" s="526"/>
      <c r="DT834" s="527">
        <f>IF(DS834="",DR834,
IF(AND($DQ$10&gt;=VLOOKUP(DS834,$DP$5:$DT$9,2,0),$DQ$10&lt;=VLOOKUP(DS834,$DP$5:$DT$9,3,0)),
(DR834*(1-VLOOKUP(DS834,$DP$5:$DT$9,4,0))),
DR834))</f>
        <v>510</v>
      </c>
      <c r="DV834" s="738" t="s">
        <v>4754</v>
      </c>
      <c r="DW834" s="166">
        <v>550</v>
      </c>
      <c r="DX834" s="522">
        <f t="shared" si="452"/>
        <v>550</v>
      </c>
      <c r="DY834" s="523"/>
      <c r="DZ834" s="524">
        <f t="shared" si="453"/>
        <v>550</v>
      </c>
    </row>
    <row r="835" spans="75:130">
      <c r="BW835" s="249" t="s">
        <v>309</v>
      </c>
      <c r="BX835" s="782" t="s">
        <v>4251</v>
      </c>
      <c r="BY835" s="139" t="str">
        <f t="shared" si="454"/>
        <v>ФР Verto-FIT.C.Дзеркало</v>
      </c>
      <c r="CA835" s="432"/>
      <c r="CB835" s="222"/>
      <c r="CC835" s="223"/>
      <c r="DD835" s="740" t="s">
        <v>2857</v>
      </c>
      <c r="DE835" s="166">
        <v>7680</v>
      </c>
      <c r="DF835" s="528">
        <f t="shared" si="445"/>
        <v>7680</v>
      </c>
      <c r="DG835" s="529" t="s">
        <v>6466</v>
      </c>
      <c r="DH835" s="530">
        <f t="shared" ca="1" si="442"/>
        <v>7680</v>
      </c>
      <c r="DP835" s="739" t="s">
        <v>4197</v>
      </c>
      <c r="DQ835" s="164">
        <v>0</v>
      </c>
      <c r="DR835" s="531">
        <f t="shared" si="449"/>
        <v>0</v>
      </c>
      <c r="DS835" s="526"/>
      <c r="DT835" s="527">
        <f t="shared" si="450"/>
        <v>0</v>
      </c>
      <c r="DV835" s="738" t="s">
        <v>4755</v>
      </c>
      <c r="DW835" s="166">
        <v>550</v>
      </c>
      <c r="DX835" s="522">
        <f t="shared" si="452"/>
        <v>550</v>
      </c>
      <c r="DY835" s="523"/>
      <c r="DZ835" s="524">
        <f t="shared" si="453"/>
        <v>550</v>
      </c>
    </row>
    <row r="836" spans="75:130">
      <c r="BW836" s="251" t="s">
        <v>310</v>
      </c>
      <c r="BX836" s="786" t="s">
        <v>4248</v>
      </c>
      <c r="BY836" s="135" t="str">
        <f>CONCATENATE(BW836,".",BX836)</f>
        <v>ФР Verto-FIT.D.Фільонка</v>
      </c>
      <c r="CA836" s="742" t="s">
        <v>3325</v>
      </c>
      <c r="CB836" s="137" t="s">
        <v>4106</v>
      </c>
      <c r="CC836" s="138" t="str">
        <f>CONCATENATE(CA836,".",CB836)</f>
        <v>ДП Лінея.фальц,.робоча..(ні)</v>
      </c>
      <c r="DD836" s="740" t="s">
        <v>2858</v>
      </c>
      <c r="DE836" s="166">
        <v>7680</v>
      </c>
      <c r="DF836" s="528">
        <f t="shared" si="445"/>
        <v>7680</v>
      </c>
      <c r="DG836" s="529" t="s">
        <v>6466</v>
      </c>
      <c r="DH836" s="530">
        <f t="shared" ca="1" si="442"/>
        <v>7680</v>
      </c>
      <c r="DP836" s="738" t="s">
        <v>3044</v>
      </c>
      <c r="DQ836" s="166">
        <v>0</v>
      </c>
      <c r="DR836" s="522">
        <f t="shared" si="449"/>
        <v>0</v>
      </c>
      <c r="DS836" s="523"/>
      <c r="DT836" s="524">
        <f t="shared" si="450"/>
        <v>0</v>
      </c>
      <c r="DV836" s="738" t="s">
        <v>4756</v>
      </c>
      <c r="DW836" s="166">
        <v>800</v>
      </c>
      <c r="DX836" s="522">
        <f>ROUND(((DW836-(DW836/6))/$DD$3)*$DE$3,2)</f>
        <v>800</v>
      </c>
      <c r="DY836" s="523"/>
      <c r="DZ836" s="524">
        <f>IF(DY836="",DX836,
IF(AND($DW$10&gt;=VLOOKUP(DY836,$DV$5:$DZ$9,2,0),$DW$10&lt;=VLOOKUP(DY836,$DV$5:$DZ$9,3,0)),
(DX836*(1-VLOOKUP(DY836,$DV$5:$DZ$9,4,0))),
DX836))</f>
        <v>800</v>
      </c>
    </row>
    <row r="837" spans="75:130">
      <c r="BW837" s="250" t="s">
        <v>310</v>
      </c>
      <c r="BX837" s="247"/>
      <c r="BY837" s="138"/>
      <c r="CA837" s="742" t="s">
        <v>3325</v>
      </c>
      <c r="CB837" s="21"/>
      <c r="CC837" s="21"/>
      <c r="DD837" s="740" t="s">
        <v>2859</v>
      </c>
      <c r="DE837" s="166">
        <v>7680</v>
      </c>
      <c r="DF837" s="528">
        <f t="shared" si="445"/>
        <v>7680</v>
      </c>
      <c r="DG837" s="529" t="s">
        <v>6466</v>
      </c>
      <c r="DH837" s="530">
        <f t="shared" ca="1" si="442"/>
        <v>7680</v>
      </c>
      <c r="DP837" s="738" t="s">
        <v>4056</v>
      </c>
      <c r="DQ837" s="166">
        <v>510</v>
      </c>
      <c r="DR837" s="522">
        <f t="shared" si="449"/>
        <v>510</v>
      </c>
      <c r="DS837" s="523"/>
      <c r="DT837" s="524">
        <f t="shared" si="450"/>
        <v>510</v>
      </c>
      <c r="DV837" s="739" t="s">
        <v>4757</v>
      </c>
      <c r="DW837" s="164">
        <v>800</v>
      </c>
      <c r="DX837" s="525">
        <f>ROUND(((DW837-(DW837/6))/$DD$3)*$DE$3,2)</f>
        <v>800</v>
      </c>
      <c r="DY837" s="526"/>
      <c r="DZ837" s="527">
        <f>IF(DY837="",DX837,
IF(AND($DW$10&gt;=VLOOKUP(DY837,$DV$5:$DZ$9,2,0),$DW$10&lt;=VLOOKUP(DY837,$DV$5:$DZ$9,3,0)),
(DX837*(1-VLOOKUP(DY837,$DV$5:$DZ$9,4,0))),
DX837))</f>
        <v>800</v>
      </c>
    </row>
    <row r="838" spans="75:130">
      <c r="BW838" s="250" t="s">
        <v>310</v>
      </c>
      <c r="BX838" s="247" t="s">
        <v>459</v>
      </c>
      <c r="BY838" s="138" t="str">
        <f t="shared" ref="BY838:BY844" si="455">CONCATENATE(BW838,".",BX838)</f>
        <v>ФР Verto-FIT.D.Кризет</v>
      </c>
      <c r="CA838" s="742" t="s">
        <v>3325</v>
      </c>
      <c r="CB838" s="783" t="s">
        <v>5754</v>
      </c>
      <c r="CC838" s="138" t="str">
        <f t="shared" ref="CC838:CC843" si="456">CONCATENATE(CA838,".",CB838)</f>
        <v>ДП Лінея.фальц,.робоча..Stand цл Лів +3завіс</v>
      </c>
      <c r="DD838" s="740" t="s">
        <v>2860</v>
      </c>
      <c r="DE838" s="166">
        <v>7680</v>
      </c>
      <c r="DF838" s="528">
        <f t="shared" si="445"/>
        <v>7680</v>
      </c>
      <c r="DG838" s="529" t="s">
        <v>6466</v>
      </c>
      <c r="DH838" s="530">
        <f t="shared" ca="1" si="442"/>
        <v>7680</v>
      </c>
      <c r="DP838" s="739" t="s">
        <v>3045</v>
      </c>
      <c r="DQ838" s="164">
        <v>510</v>
      </c>
      <c r="DR838" s="531">
        <f t="shared" si="449"/>
        <v>510</v>
      </c>
      <c r="DS838" s="526"/>
      <c r="DT838" s="527">
        <f t="shared" si="450"/>
        <v>510</v>
      </c>
      <c r="DV838" s="738" t="s">
        <v>6414</v>
      </c>
      <c r="DW838" s="166">
        <v>1</v>
      </c>
      <c r="DX838" s="522">
        <f t="shared" si="452"/>
        <v>1</v>
      </c>
      <c r="DY838" s="523"/>
      <c r="DZ838" s="524">
        <f t="shared" si="453"/>
        <v>1</v>
      </c>
    </row>
    <row r="839" spans="75:130">
      <c r="BW839" s="250" t="s">
        <v>310</v>
      </c>
      <c r="BX839" s="247" t="s">
        <v>458</v>
      </c>
      <c r="BY839" s="138" t="str">
        <f t="shared" si="455"/>
        <v>ФР Verto-FIT.D.Сатин</v>
      </c>
      <c r="CA839" s="742" t="s">
        <v>3325</v>
      </c>
      <c r="CB839" s="783" t="s">
        <v>5755</v>
      </c>
      <c r="CC839" s="138" t="str">
        <f t="shared" si="456"/>
        <v>ДП Лінея.фальц,.робоча..Stand цл Пр +3завіс</v>
      </c>
      <c r="DD839" s="740" t="s">
        <v>2861</v>
      </c>
      <c r="DE839" s="166">
        <v>7680</v>
      </c>
      <c r="DF839" s="528">
        <f t="shared" si="445"/>
        <v>7680</v>
      </c>
      <c r="DG839" s="529" t="s">
        <v>6466</v>
      </c>
      <c r="DH839" s="530">
        <f t="shared" ca="1" si="442"/>
        <v>7680</v>
      </c>
      <c r="DP839" s="739" t="s">
        <v>6063</v>
      </c>
      <c r="DQ839" s="164">
        <v>510</v>
      </c>
      <c r="DR839" s="531">
        <f>ROUND(((DQ839-(DQ839/6))/$DD$3)*$DE$3,2)</f>
        <v>510</v>
      </c>
      <c r="DS839" s="526"/>
      <c r="DT839" s="527">
        <f>IF(DS839="",DR839,
IF(AND($DQ$10&gt;=VLOOKUP(DS839,$DP$5:$DT$9,2,0),$DQ$10&lt;=VLOOKUP(DS839,$DP$5:$DT$9,3,0)),
(DR839*(1-VLOOKUP(DS839,$DP$5:$DT$9,4,0))),
DR839))</f>
        <v>510</v>
      </c>
      <c r="DV839" s="739" t="s">
        <v>6415</v>
      </c>
      <c r="DW839" s="164">
        <v>1</v>
      </c>
      <c r="DX839" s="525">
        <f t="shared" si="452"/>
        <v>1</v>
      </c>
      <c r="DY839" s="526"/>
      <c r="DZ839" s="527">
        <f t="shared" si="453"/>
        <v>1</v>
      </c>
    </row>
    <row r="840" spans="75:130">
      <c r="BW840" s="250" t="s">
        <v>310</v>
      </c>
      <c r="BX840" s="770" t="s">
        <v>4203</v>
      </c>
      <c r="BY840" s="138" t="str">
        <f t="shared" si="455"/>
        <v>ФР Verto-FIT.D.Жалюзі</v>
      </c>
      <c r="CA840" s="742" t="s">
        <v>3325</v>
      </c>
      <c r="CB840" s="783" t="s">
        <v>5756</v>
      </c>
      <c r="CC840" s="138" t="str">
        <f t="shared" si="456"/>
        <v>ДП Лінея.фальц,.робоча..Stand кл Лів +3завіс</v>
      </c>
      <c r="DD840" s="740" t="s">
        <v>2862</v>
      </c>
      <c r="DE840" s="166">
        <v>7680</v>
      </c>
      <c r="DF840" s="528">
        <f t="shared" si="445"/>
        <v>7680</v>
      </c>
      <c r="DG840" s="529" t="s">
        <v>6466</v>
      </c>
      <c r="DH840" s="530">
        <f t="shared" ca="1" si="442"/>
        <v>7680</v>
      </c>
      <c r="DP840" s="538"/>
      <c r="DQ840" s="539"/>
      <c r="DR840" s="650"/>
      <c r="DS840" s="651"/>
      <c r="DT840" s="652"/>
      <c r="DV840" s="737" t="s">
        <v>4758</v>
      </c>
      <c r="DW840" s="163">
        <v>0</v>
      </c>
      <c r="DX840" s="528">
        <f t="shared" si="452"/>
        <v>0</v>
      </c>
      <c r="DY840" s="529"/>
      <c r="DZ840" s="530">
        <f t="shared" si="453"/>
        <v>0</v>
      </c>
    </row>
    <row r="841" spans="75:130">
      <c r="BW841" s="250" t="s">
        <v>310</v>
      </c>
      <c r="BX841" s="770" t="s">
        <v>3851</v>
      </c>
      <c r="BY841" s="138" t="str">
        <f t="shared" si="455"/>
        <v>ФР Verto-FIT.D.Графіт</v>
      </c>
      <c r="CA841" s="742" t="s">
        <v>3325</v>
      </c>
      <c r="CB841" s="783" t="s">
        <v>5757</v>
      </c>
      <c r="CC841" s="138" t="str">
        <f t="shared" si="456"/>
        <v>ДП Лінея.фальц,.робоча..Stand кл Пр +3завіс</v>
      </c>
      <c r="DD841" s="740" t="s">
        <v>2863</v>
      </c>
      <c r="DE841" s="166">
        <v>7680</v>
      </c>
      <c r="DF841" s="528">
        <f t="shared" si="445"/>
        <v>7680</v>
      </c>
      <c r="DG841" s="529" t="s">
        <v>6466</v>
      </c>
      <c r="DH841" s="530">
        <f t="shared" ca="1" si="442"/>
        <v>7680</v>
      </c>
      <c r="DP841" s="737" t="s">
        <v>4249</v>
      </c>
      <c r="DQ841" s="163">
        <v>1220</v>
      </c>
      <c r="DR841" s="528">
        <f>ROUND(((DQ841-(DQ841/6))/$DD$3)*$DE$3,2)</f>
        <v>1220</v>
      </c>
      <c r="DS841" s="529"/>
      <c r="DT841" s="530">
        <f>IF(DS841="",DR841,
IF(AND($DQ$10&gt;=VLOOKUP(DS841,$DP$5:$DT$9,2,0),$DQ$10&lt;=VLOOKUP(DS841,$DP$5:$DT$9,3,0)),
(DR841*(1-VLOOKUP(DS841,$DP$5:$DT$9,4,0))),
DR841))</f>
        <v>1220</v>
      </c>
      <c r="DV841" s="738" t="s">
        <v>4759</v>
      </c>
      <c r="DW841" s="166">
        <v>0</v>
      </c>
      <c r="DX841" s="522">
        <f t="shared" si="452"/>
        <v>0</v>
      </c>
      <c r="DY841" s="523"/>
      <c r="DZ841" s="524">
        <f t="shared" si="453"/>
        <v>0</v>
      </c>
    </row>
    <row r="842" spans="75:130">
      <c r="BW842" s="250" t="s">
        <v>310</v>
      </c>
      <c r="BX842" s="247" t="s">
        <v>832</v>
      </c>
      <c r="BY842" s="138" t="str">
        <f t="shared" si="455"/>
        <v>ФР Verto-FIT.D.Бронза</v>
      </c>
      <c r="CA842" s="742" t="s">
        <v>3325</v>
      </c>
      <c r="CB842" s="783" t="s">
        <v>5758</v>
      </c>
      <c r="CC842" s="138" t="str">
        <f t="shared" si="456"/>
        <v>ДП Лінея.фальц,.робоча..Stand ст Лів +3завіс</v>
      </c>
      <c r="DD842" s="740" t="s">
        <v>2864</v>
      </c>
      <c r="DE842" s="166">
        <v>7680</v>
      </c>
      <c r="DF842" s="528">
        <f t="shared" si="445"/>
        <v>7680</v>
      </c>
      <c r="DG842" s="529" t="s">
        <v>6466</v>
      </c>
      <c r="DH842" s="530">
        <f t="shared" ca="1" si="442"/>
        <v>7680</v>
      </c>
      <c r="DP842" s="165" t="s">
        <v>289</v>
      </c>
      <c r="DQ842" s="166">
        <v>910</v>
      </c>
      <c r="DR842" s="522">
        <f>ROUND(((DQ842-(DQ842/6))/$DD$3)*$DE$3,2)</f>
        <v>910</v>
      </c>
      <c r="DS842" s="523"/>
      <c r="DT842" s="524">
        <f>IF(DS842="",DR842,
IF(AND($DQ$10&gt;=VLOOKUP(DS842,$DP$5:$DT$9,2,0),$DQ$10&lt;=VLOOKUP(DS842,$DP$5:$DT$9,3,0)),
(DR842*(1-VLOOKUP(DS842,$DP$5:$DT$9,4,0))),
DR842))</f>
        <v>910</v>
      </c>
      <c r="DV842" s="739" t="s">
        <v>4760</v>
      </c>
      <c r="DW842" s="164">
        <v>0</v>
      </c>
      <c r="DX842" s="531">
        <f t="shared" ref="DX842:DX848" si="457">ROUND(((DW842-(DW842/6))/$DD$3)*$DE$3,2)</f>
        <v>0</v>
      </c>
      <c r="DY842" s="526"/>
      <c r="DZ842" s="527">
        <f t="shared" ref="DZ842:DZ848" si="458">IF(DY842="",DX842,
IF(AND($DW$10&gt;=VLOOKUP(DY842,$DV$5:$DZ$9,2,0),$DW$10&lt;=VLOOKUP(DY842,$DV$5:$DZ$9,3,0)),
(DX842*(1-VLOOKUP(DY842,$DV$5:$DZ$9,4,0))),
DX842))</f>
        <v>0</v>
      </c>
    </row>
    <row r="843" spans="75:130">
      <c r="BW843" s="250" t="s">
        <v>310</v>
      </c>
      <c r="BX843" s="770" t="s">
        <v>4220</v>
      </c>
      <c r="BY843" s="138" t="str">
        <f>CONCATENATE(BW843,".",BX843)</f>
        <v>ФР Verto-FIT.D.Малюнок</v>
      </c>
      <c r="CA843" s="742" t="s">
        <v>3325</v>
      </c>
      <c r="CB843" s="783" t="s">
        <v>5759</v>
      </c>
      <c r="CC843" s="138" t="str">
        <f t="shared" si="456"/>
        <v>ДП Лінея.фальц,.робоча..Stand ст Пр +3завіс</v>
      </c>
      <c r="DD843" s="741" t="s">
        <v>2865</v>
      </c>
      <c r="DE843" s="164">
        <v>7680</v>
      </c>
      <c r="DF843" s="528">
        <f t="shared" si="445"/>
        <v>7680</v>
      </c>
      <c r="DG843" s="529" t="s">
        <v>6466</v>
      </c>
      <c r="DH843" s="530">
        <f t="shared" ca="1" si="442"/>
        <v>7680</v>
      </c>
      <c r="DP843" s="165" t="s">
        <v>290</v>
      </c>
      <c r="DQ843" s="166">
        <v>1120</v>
      </c>
      <c r="DR843" s="522">
        <f>ROUND(((DQ843-(DQ843/6))/$DD$3)*$DE$3,2)</f>
        <v>1120</v>
      </c>
      <c r="DS843" s="523"/>
      <c r="DT843" s="524">
        <f>IF(DS843="",DR843,
IF(AND($DQ$10&gt;=VLOOKUP(DS843,$DP$5:$DT$9,2,0),$DQ$10&lt;=VLOOKUP(DS843,$DP$5:$DT$9,3,0)),
(DR843*(1-VLOOKUP(DS843,$DP$5:$DT$9,4,0))),
DR843))</f>
        <v>1120</v>
      </c>
      <c r="DV843" s="738" t="s">
        <v>4761</v>
      </c>
      <c r="DW843" s="166">
        <v>800</v>
      </c>
      <c r="DX843" s="522">
        <f t="shared" si="457"/>
        <v>800</v>
      </c>
      <c r="DY843" s="523"/>
      <c r="DZ843" s="524">
        <f t="shared" si="458"/>
        <v>800</v>
      </c>
    </row>
    <row r="844" spans="75:130">
      <c r="BW844" s="249" t="s">
        <v>310</v>
      </c>
      <c r="BX844" s="782" t="s">
        <v>4251</v>
      </c>
      <c r="BY844" s="139" t="str">
        <f t="shared" si="455"/>
        <v>ФР Verto-FIT.D.Дзеркало</v>
      </c>
      <c r="CA844" s="742" t="s">
        <v>3325</v>
      </c>
      <c r="CC844" s="138"/>
      <c r="DD844" s="740" t="s">
        <v>5271</v>
      </c>
      <c r="DE844" s="166">
        <v>8050</v>
      </c>
      <c r="DF844" s="528">
        <f t="shared" si="445"/>
        <v>8050</v>
      </c>
      <c r="DG844" s="529" t="s">
        <v>6466</v>
      </c>
      <c r="DH844" s="530">
        <f t="shared" ca="1" si="442"/>
        <v>8050</v>
      </c>
      <c r="DP844" s="738" t="s">
        <v>4218</v>
      </c>
      <c r="DQ844" s="166">
        <v>910</v>
      </c>
      <c r="DR844" s="522">
        <f t="shared" ref="DR844:DR854" si="459">ROUND(((DQ844-(DQ844/6))/$DD$3)*$DE$3,2)</f>
        <v>910</v>
      </c>
      <c r="DS844" s="523"/>
      <c r="DT844" s="524">
        <f>IF(DS844="",DR844,
IF(AND($DQ$10&gt;=VLOOKUP(DS844,$DP$5:$DT$9,2,0),$DQ$10&lt;=VLOOKUP(DS844,$DP$5:$DT$9,3,0)),
(DR844*(1-VLOOKUP(DS844,$DP$5:$DT$9,4,0))),
DR844))</f>
        <v>910</v>
      </c>
      <c r="DV844" s="738" t="s">
        <v>4762</v>
      </c>
      <c r="DW844" s="166">
        <v>800</v>
      </c>
      <c r="DX844" s="522">
        <f t="shared" si="457"/>
        <v>800</v>
      </c>
      <c r="DY844" s="523"/>
      <c r="DZ844" s="524">
        <f t="shared" si="458"/>
        <v>800</v>
      </c>
    </row>
    <row r="845" spans="75:130">
      <c r="BW845" s="251" t="s">
        <v>311</v>
      </c>
      <c r="BX845" s="786" t="s">
        <v>4248</v>
      </c>
      <c r="BY845" s="135" t="str">
        <f>CONCATENATE(BW845,".",BX845)</f>
        <v>ФР Verto-FIT.E.Фільонка</v>
      </c>
      <c r="CA845" s="742" t="s">
        <v>3325</v>
      </c>
      <c r="CB845" s="137" t="s">
        <v>4304</v>
      </c>
      <c r="CC845" s="138" t="str">
        <f>CONCATENATE(CA845,".",CB845)</f>
        <v>ДП Лінея.фальц,.робоча..Soft цл +3завіс</v>
      </c>
      <c r="DD845" s="740" t="s">
        <v>5272</v>
      </c>
      <c r="DE845" s="166">
        <v>8050</v>
      </c>
      <c r="DF845" s="528">
        <f t="shared" si="445"/>
        <v>8050</v>
      </c>
      <c r="DG845" s="529" t="s">
        <v>6466</v>
      </c>
      <c r="DH845" s="530">
        <f t="shared" ca="1" si="442"/>
        <v>8050</v>
      </c>
      <c r="DP845" s="738" t="s">
        <v>4057</v>
      </c>
      <c r="DQ845" s="166">
        <v>1530</v>
      </c>
      <c r="DR845" s="522">
        <f t="shared" si="459"/>
        <v>1530</v>
      </c>
      <c r="DS845" s="523"/>
      <c r="DT845" s="524">
        <f t="shared" ref="DT845:DT854" si="460">IF(DS845="",DR845,
IF(AND($DQ$10&gt;=VLOOKUP(DS845,$DP$5:$DT$9,2,0),$DQ$10&lt;=VLOOKUP(DS845,$DP$5:$DT$9,3,0)),
(DR845*(1-VLOOKUP(DS845,$DP$5:$DT$9,4,0))),
DR845))</f>
        <v>1530</v>
      </c>
      <c r="DV845" s="738" t="s">
        <v>4763</v>
      </c>
      <c r="DW845" s="166">
        <v>800</v>
      </c>
      <c r="DX845" s="522">
        <f t="shared" si="457"/>
        <v>800</v>
      </c>
      <c r="DY845" s="523"/>
      <c r="DZ845" s="524">
        <f t="shared" si="458"/>
        <v>800</v>
      </c>
    </row>
    <row r="846" spans="75:130">
      <c r="BW846" s="250" t="s">
        <v>311</v>
      </c>
      <c r="BX846" s="247"/>
      <c r="BY846" s="138"/>
      <c r="CA846" s="742" t="s">
        <v>3325</v>
      </c>
      <c r="CB846" s="137" t="s">
        <v>4307</v>
      </c>
      <c r="CC846" s="138" t="str">
        <f>CONCATENATE(CA846,".",CB846)</f>
        <v>ДП Лінея.фальц,.робоча..Soft ст +3завіс</v>
      </c>
      <c r="DD846" s="740" t="s">
        <v>5273</v>
      </c>
      <c r="DE846" s="166">
        <v>8050</v>
      </c>
      <c r="DF846" s="528">
        <f t="shared" si="445"/>
        <v>8050</v>
      </c>
      <c r="DG846" s="529" t="s">
        <v>6466</v>
      </c>
      <c r="DH846" s="530">
        <f t="shared" ca="1" si="442"/>
        <v>8050</v>
      </c>
      <c r="DP846" s="165" t="s">
        <v>916</v>
      </c>
      <c r="DQ846" s="166">
        <v>1530</v>
      </c>
      <c r="DR846" s="522">
        <f t="shared" si="459"/>
        <v>1530</v>
      </c>
      <c r="DS846" s="523"/>
      <c r="DT846" s="524">
        <f t="shared" si="460"/>
        <v>1530</v>
      </c>
      <c r="DV846" s="738" t="s">
        <v>4764</v>
      </c>
      <c r="DW846" s="166">
        <v>800</v>
      </c>
      <c r="DX846" s="522">
        <f t="shared" si="457"/>
        <v>800</v>
      </c>
      <c r="DY846" s="523"/>
      <c r="DZ846" s="524">
        <f t="shared" si="458"/>
        <v>800</v>
      </c>
    </row>
    <row r="847" spans="75:130">
      <c r="BW847" s="250" t="s">
        <v>311</v>
      </c>
      <c r="BX847" s="247" t="s">
        <v>459</v>
      </c>
      <c r="BY847" s="138" t="str">
        <f t="shared" ref="BY847:BY853" si="461">CONCATENATE(BW847,".",BX847)</f>
        <v>ФР Verto-FIT.E.Кризет</v>
      </c>
      <c r="CA847" s="742" t="s">
        <v>3325</v>
      </c>
      <c r="CB847" s="21"/>
      <c r="CC847" s="21"/>
      <c r="DD847" s="740" t="s">
        <v>5274</v>
      </c>
      <c r="DE847" s="166">
        <v>8050</v>
      </c>
      <c r="DF847" s="528">
        <f t="shared" si="445"/>
        <v>8050</v>
      </c>
      <c r="DG847" s="529" t="s">
        <v>6466</v>
      </c>
      <c r="DH847" s="530">
        <f t="shared" ca="1" si="442"/>
        <v>8050</v>
      </c>
      <c r="DP847" s="738" t="s">
        <v>4246</v>
      </c>
      <c r="DQ847" s="166">
        <v>1360.0000000000002</v>
      </c>
      <c r="DR847" s="522">
        <f>ROUND(((DQ847-(DQ847/6))/$DD$3)*$DE$3,2)</f>
        <v>1360</v>
      </c>
      <c r="DS847" s="523"/>
      <c r="DT847" s="524">
        <f>IF(DS847="",DR847,
IF(AND($DQ$10&gt;=VLOOKUP(DS847,$DP$5:$DT$9,2,0),$DQ$10&lt;=VLOOKUP(DS847,$DP$5:$DT$9,3,0)),
(DR847*(1-VLOOKUP(DS847,$DP$5:$DT$9,4,0))),
DR847))</f>
        <v>1360</v>
      </c>
      <c r="DV847" s="738" t="s">
        <v>4765</v>
      </c>
      <c r="DW847" s="166">
        <v>800</v>
      </c>
      <c r="DX847" s="522">
        <f t="shared" si="457"/>
        <v>800</v>
      </c>
      <c r="DY847" s="523"/>
      <c r="DZ847" s="524">
        <f t="shared" si="458"/>
        <v>800</v>
      </c>
    </row>
    <row r="848" spans="75:130">
      <c r="BW848" s="250" t="s">
        <v>311</v>
      </c>
      <c r="BX848" s="247" t="s">
        <v>458</v>
      </c>
      <c r="BY848" s="138" t="str">
        <f t="shared" si="461"/>
        <v>ФР Verto-FIT.E.Сатин</v>
      </c>
      <c r="CA848" s="742" t="s">
        <v>3325</v>
      </c>
      <c r="CB848" s="137" t="s">
        <v>4316</v>
      </c>
      <c r="CC848" s="138" t="str">
        <f>CONCATENATE(CA848,".",CB848)</f>
        <v>ДП Лінея.фальц,.робоча..Magnet цл +3завіс</v>
      </c>
      <c r="DD848" s="740" t="s">
        <v>5275</v>
      </c>
      <c r="DE848" s="166">
        <v>8050</v>
      </c>
      <c r="DF848" s="528">
        <f t="shared" si="445"/>
        <v>8050</v>
      </c>
      <c r="DG848" s="529" t="s">
        <v>6466</v>
      </c>
      <c r="DH848" s="530">
        <f t="shared" ca="1" si="442"/>
        <v>8050</v>
      </c>
      <c r="DP848" s="738" t="s">
        <v>4257</v>
      </c>
      <c r="DQ848" s="166">
        <v>1640</v>
      </c>
      <c r="DR848" s="522">
        <f>ROUND(((DQ848-(DQ848/6))/$DD$3)*$DE$3,2)</f>
        <v>1640</v>
      </c>
      <c r="DS848" s="523"/>
      <c r="DT848" s="524">
        <f>IF(DS848="",DR848,
IF(AND($DQ$10&gt;=VLOOKUP(DS848,$DP$5:$DT$9,2,0),$DQ$10&lt;=VLOOKUP(DS848,$DP$5:$DT$9,3,0)),
(DR848*(1-VLOOKUP(DS848,$DP$5:$DT$9,4,0))),
DR848))</f>
        <v>1640</v>
      </c>
      <c r="DV848" s="739" t="s">
        <v>4766</v>
      </c>
      <c r="DW848" s="166">
        <v>800</v>
      </c>
      <c r="DX848" s="525">
        <f t="shared" si="457"/>
        <v>800</v>
      </c>
      <c r="DY848" s="526"/>
      <c r="DZ848" s="527">
        <f t="shared" si="458"/>
        <v>800</v>
      </c>
    </row>
    <row r="849" spans="75:130">
      <c r="BW849" s="250" t="s">
        <v>311</v>
      </c>
      <c r="BX849" s="770" t="s">
        <v>4203</v>
      </c>
      <c r="BY849" s="138" t="str">
        <f t="shared" si="461"/>
        <v>ФР Verto-FIT.E.Жалюзі</v>
      </c>
      <c r="CA849" s="424" t="s">
        <v>3325</v>
      </c>
      <c r="CB849" s="62" t="s">
        <v>4319</v>
      </c>
      <c r="CC849" s="139" t="str">
        <f>CONCATENATE(CA849,".",CB849)</f>
        <v>ДП Лінея.фальц,.робоча..Magnet ст +3завіс</v>
      </c>
      <c r="DD849" s="740" t="s">
        <v>5276</v>
      </c>
      <c r="DE849" s="166">
        <v>8050</v>
      </c>
      <c r="DF849" s="528">
        <f t="shared" si="445"/>
        <v>8050</v>
      </c>
      <c r="DG849" s="529" t="s">
        <v>6466</v>
      </c>
      <c r="DH849" s="530">
        <f t="shared" ca="1" si="442"/>
        <v>8050</v>
      </c>
      <c r="DP849" s="737" t="s">
        <v>4250</v>
      </c>
      <c r="DQ849" s="163">
        <v>1220</v>
      </c>
      <c r="DR849" s="528">
        <f t="shared" si="459"/>
        <v>1220</v>
      </c>
      <c r="DS849" s="529"/>
      <c r="DT849" s="530">
        <f t="shared" si="460"/>
        <v>1220</v>
      </c>
      <c r="DV849" s="739" t="s">
        <v>6416</v>
      </c>
      <c r="DW849" s="164">
        <v>0</v>
      </c>
      <c r="DX849" s="531">
        <f t="shared" si="452"/>
        <v>0</v>
      </c>
      <c r="DY849" s="526"/>
      <c r="DZ849" s="527">
        <f t="shared" si="453"/>
        <v>0</v>
      </c>
    </row>
    <row r="850" spans="75:130">
      <c r="BW850" s="250" t="s">
        <v>311</v>
      </c>
      <c r="BX850" s="770" t="s">
        <v>3851</v>
      </c>
      <c r="BY850" s="138" t="str">
        <f t="shared" si="461"/>
        <v>ФР Verto-FIT.E.Графіт</v>
      </c>
      <c r="CA850" s="742" t="s">
        <v>3326</v>
      </c>
      <c r="CB850" s="137" t="s">
        <v>4106</v>
      </c>
      <c r="CC850" s="138" t="str">
        <f>CONCATENATE(CA850,".",CB850)</f>
        <v>ДП Лінея.фальц.робоча.(ні)</v>
      </c>
      <c r="DD850" s="740" t="s">
        <v>5277</v>
      </c>
      <c r="DE850" s="166">
        <v>8050</v>
      </c>
      <c r="DF850" s="528">
        <f t="shared" si="445"/>
        <v>8050</v>
      </c>
      <c r="DG850" s="529" t="s">
        <v>6466</v>
      </c>
      <c r="DH850" s="530">
        <f t="shared" ca="1" si="442"/>
        <v>8050</v>
      </c>
      <c r="DP850" s="165" t="s">
        <v>291</v>
      </c>
      <c r="DQ850" s="166">
        <v>910</v>
      </c>
      <c r="DR850" s="522">
        <f t="shared" si="459"/>
        <v>910</v>
      </c>
      <c r="DS850" s="523"/>
      <c r="DT850" s="524">
        <f t="shared" si="460"/>
        <v>910</v>
      </c>
      <c r="DV850" s="738" t="s">
        <v>6417</v>
      </c>
      <c r="DW850" s="166">
        <v>1</v>
      </c>
      <c r="DX850" s="522">
        <f t="shared" si="452"/>
        <v>1</v>
      </c>
      <c r="DY850" s="523"/>
      <c r="DZ850" s="524">
        <f t="shared" si="453"/>
        <v>1</v>
      </c>
    </row>
    <row r="851" spans="75:130">
      <c r="BW851" s="250" t="s">
        <v>311</v>
      </c>
      <c r="BX851" s="247" t="s">
        <v>832</v>
      </c>
      <c r="BY851" s="138" t="str">
        <f t="shared" si="461"/>
        <v>ФР Verto-FIT.E.Бронза</v>
      </c>
      <c r="CA851" s="742" t="s">
        <v>3326</v>
      </c>
      <c r="CB851" s="21"/>
      <c r="CC851" s="21"/>
      <c r="DD851" s="740" t="s">
        <v>5278</v>
      </c>
      <c r="DE851" s="166">
        <v>8050</v>
      </c>
      <c r="DF851" s="528">
        <f t="shared" si="445"/>
        <v>8050</v>
      </c>
      <c r="DG851" s="529" t="s">
        <v>6466</v>
      </c>
      <c r="DH851" s="530">
        <f t="shared" ca="1" si="442"/>
        <v>8050</v>
      </c>
      <c r="DP851" s="165" t="s">
        <v>292</v>
      </c>
      <c r="DQ851" s="166">
        <v>1120</v>
      </c>
      <c r="DR851" s="522">
        <f t="shared" si="459"/>
        <v>1120</v>
      </c>
      <c r="DS851" s="523"/>
      <c r="DT851" s="524">
        <f t="shared" si="460"/>
        <v>1120</v>
      </c>
      <c r="DV851" s="738" t="s">
        <v>6418</v>
      </c>
      <c r="DW851" s="166">
        <v>1</v>
      </c>
      <c r="DX851" s="522">
        <f t="shared" si="452"/>
        <v>1</v>
      </c>
      <c r="DY851" s="523"/>
      <c r="DZ851" s="524">
        <f t="shared" si="453"/>
        <v>1</v>
      </c>
    </row>
    <row r="852" spans="75:130">
      <c r="BW852" s="250" t="s">
        <v>311</v>
      </c>
      <c r="BX852" s="770" t="s">
        <v>4220</v>
      </c>
      <c r="BY852" s="138" t="str">
        <f>CONCATENATE(BW852,".",BX852)</f>
        <v>ФР Verto-FIT.E.Малюнок</v>
      </c>
      <c r="CA852" s="742" t="s">
        <v>3326</v>
      </c>
      <c r="CB852" s="783" t="s">
        <v>5754</v>
      </c>
      <c r="CC852" s="138" t="str">
        <f t="shared" ref="CC852:CC857" si="462">CONCATENATE(CA852,".",CB852)</f>
        <v>ДП Лінея.фальц.робоча.Stand цл Лів +3завіс</v>
      </c>
      <c r="DD852" s="740" t="s">
        <v>5279</v>
      </c>
      <c r="DE852" s="166">
        <v>8050</v>
      </c>
      <c r="DF852" s="528">
        <f t="shared" si="445"/>
        <v>8050</v>
      </c>
      <c r="DG852" s="529" t="s">
        <v>6466</v>
      </c>
      <c r="DH852" s="530">
        <f t="shared" ca="1" si="442"/>
        <v>8050</v>
      </c>
      <c r="DP852" s="738" t="s">
        <v>4219</v>
      </c>
      <c r="DQ852" s="166">
        <v>910</v>
      </c>
      <c r="DR852" s="522">
        <f t="shared" si="459"/>
        <v>910</v>
      </c>
      <c r="DS852" s="523"/>
      <c r="DT852" s="524">
        <f t="shared" si="460"/>
        <v>910</v>
      </c>
      <c r="DV852" s="738" t="s">
        <v>6419</v>
      </c>
      <c r="DW852" s="166">
        <v>1</v>
      </c>
      <c r="DX852" s="522">
        <f t="shared" si="452"/>
        <v>1</v>
      </c>
      <c r="DY852" s="523"/>
      <c r="DZ852" s="524">
        <f t="shared" si="453"/>
        <v>1</v>
      </c>
    </row>
    <row r="853" spans="75:130">
      <c r="BW853" s="249" t="s">
        <v>311</v>
      </c>
      <c r="BX853" s="782" t="s">
        <v>4251</v>
      </c>
      <c r="BY853" s="139" t="str">
        <f t="shared" si="461"/>
        <v>ФР Verto-FIT.E.Дзеркало</v>
      </c>
      <c r="CA853" s="742" t="s">
        <v>3326</v>
      </c>
      <c r="CB853" s="783" t="s">
        <v>5755</v>
      </c>
      <c r="CC853" s="138" t="str">
        <f t="shared" si="462"/>
        <v>ДП Лінея.фальц.робоча.Stand цл Пр +3завіс</v>
      </c>
      <c r="DD853" s="741" t="s">
        <v>5280</v>
      </c>
      <c r="DE853" s="164">
        <v>8050</v>
      </c>
      <c r="DF853" s="528">
        <f t="shared" si="445"/>
        <v>8050</v>
      </c>
      <c r="DG853" s="529" t="s">
        <v>6466</v>
      </c>
      <c r="DH853" s="530">
        <f t="shared" ca="1" si="442"/>
        <v>8050</v>
      </c>
      <c r="DP853" s="738" t="s">
        <v>4058</v>
      </c>
      <c r="DQ853" s="166">
        <v>1530</v>
      </c>
      <c r="DR853" s="522">
        <f t="shared" si="459"/>
        <v>1530</v>
      </c>
      <c r="DS853" s="523"/>
      <c r="DT853" s="524">
        <f t="shared" si="460"/>
        <v>1530</v>
      </c>
      <c r="DV853" s="738" t="s">
        <v>6420</v>
      </c>
      <c r="DW853" s="166">
        <v>1</v>
      </c>
      <c r="DX853" s="522">
        <f t="shared" si="452"/>
        <v>1</v>
      </c>
      <c r="DY853" s="523"/>
      <c r="DZ853" s="524">
        <f t="shared" si="453"/>
        <v>1</v>
      </c>
    </row>
    <row r="854" spans="75:130">
      <c r="BW854" s="251" t="s">
        <v>312</v>
      </c>
      <c r="BX854" s="786" t="s">
        <v>4248</v>
      </c>
      <c r="BY854" s="135" t="str">
        <f>CONCATENATE(BW854,".",BX854)</f>
        <v>ФР Verto-FIT.F.Фільонка</v>
      </c>
      <c r="CA854" s="742" t="s">
        <v>3326</v>
      </c>
      <c r="CB854" s="783" t="s">
        <v>5756</v>
      </c>
      <c r="CC854" s="138" t="str">
        <f t="shared" si="462"/>
        <v>ДП Лінея.фальц.робоча.Stand кл Лів +3завіс</v>
      </c>
      <c r="DD854" s="641"/>
      <c r="DE854" s="642"/>
      <c r="DF854" s="643"/>
      <c r="DG854" s="644"/>
      <c r="DH854" s="645"/>
      <c r="DP854" s="165" t="s">
        <v>381</v>
      </c>
      <c r="DQ854" s="166">
        <v>1530</v>
      </c>
      <c r="DR854" s="522">
        <f t="shared" si="459"/>
        <v>1530</v>
      </c>
      <c r="DS854" s="523"/>
      <c r="DT854" s="524">
        <f t="shared" si="460"/>
        <v>1530</v>
      </c>
      <c r="DV854" s="738" t="s">
        <v>6421</v>
      </c>
      <c r="DW854" s="166">
        <v>1</v>
      </c>
      <c r="DX854" s="522">
        <f t="shared" si="452"/>
        <v>1</v>
      </c>
      <c r="DY854" s="523"/>
      <c r="DZ854" s="524">
        <f t="shared" si="453"/>
        <v>1</v>
      </c>
    </row>
    <row r="855" spans="75:130">
      <c r="BW855" s="250" t="s">
        <v>312</v>
      </c>
      <c r="BX855" s="247"/>
      <c r="BY855" s="138"/>
      <c r="CA855" s="742" t="s">
        <v>3326</v>
      </c>
      <c r="CB855" s="783" t="s">
        <v>5757</v>
      </c>
      <c r="CC855" s="138" t="str">
        <f t="shared" si="462"/>
        <v>ДП Лінея.фальц.робоча.Stand кл Пр +3завіс</v>
      </c>
      <c r="DD855" s="162" t="s">
        <v>1221</v>
      </c>
      <c r="DE855" s="163">
        <v>7530</v>
      </c>
      <c r="DF855" s="528">
        <f>ROUND(((DE855-(DE855/6))/$DD$3)*$DE$3,2)</f>
        <v>7530</v>
      </c>
      <c r="DG855" s="529"/>
      <c r="DH855" s="530">
        <f>IF(DG855="",DF855,
IF(AND($DE$10&gt;=VLOOKUP(DG855,$DD$5:$DH$9,2,0),$DE$10&lt;=VLOOKUP(DG855,$DD$5:$DH$9,3,0)),
(DF855*(1-VLOOKUP(DG855,$DD$5:$DH$9,4,0))),
DF855))</f>
        <v>7530</v>
      </c>
      <c r="DP855" s="738" t="s">
        <v>4247</v>
      </c>
      <c r="DQ855" s="166">
        <v>1360.0000000000002</v>
      </c>
      <c r="DR855" s="522">
        <f>ROUND(((DQ855-(DQ855/6))/$DD$3)*$DE$3,2)</f>
        <v>1360</v>
      </c>
      <c r="DS855" s="523"/>
      <c r="DT855" s="524">
        <f>IF(DS855="",DR855,
IF(AND($DQ$10&gt;=VLOOKUP(DS855,$DP$5:$DT$9,2,0),$DQ$10&lt;=VLOOKUP(DS855,$DP$5:$DT$9,3,0)),
(DR855*(1-VLOOKUP(DS855,$DP$5:$DT$9,4,0))),
DR855))</f>
        <v>1360</v>
      </c>
      <c r="DV855" s="739" t="s">
        <v>6422</v>
      </c>
      <c r="DW855" s="166">
        <v>1</v>
      </c>
      <c r="DX855" s="525">
        <f t="shared" si="452"/>
        <v>1</v>
      </c>
      <c r="DY855" s="526"/>
      <c r="DZ855" s="527">
        <f t="shared" si="453"/>
        <v>1</v>
      </c>
    </row>
    <row r="856" spans="75:130">
      <c r="BW856" s="250" t="s">
        <v>312</v>
      </c>
      <c r="BX856" s="247" t="s">
        <v>459</v>
      </c>
      <c r="BY856" s="138" t="str">
        <f t="shared" ref="BY856:BY863" si="463">CONCATENATE(BW856,".",BX856)</f>
        <v>ФР Verto-FIT.F.Кризет</v>
      </c>
      <c r="CA856" s="742" t="s">
        <v>3326</v>
      </c>
      <c r="CB856" s="783" t="s">
        <v>5758</v>
      </c>
      <c r="CC856" s="138" t="str">
        <f t="shared" si="462"/>
        <v>ДП Лінея.фальц.робоча.Stand ст Лів +3завіс</v>
      </c>
      <c r="DD856" s="165" t="s">
        <v>1222</v>
      </c>
      <c r="DE856" s="166">
        <v>7530</v>
      </c>
      <c r="DF856" s="528">
        <f t="shared" ref="DF856:DF904" si="464">ROUND(((DE856-(DE856/6))/$DD$3)*$DE$3,2)</f>
        <v>7530</v>
      </c>
      <c r="DG856" s="523"/>
      <c r="DH856" s="530">
        <f t="shared" ref="DH856:DH904" si="465">IF(DG856="",DF856,
IF(AND($DE$10&gt;=VLOOKUP(DG856,$DD$5:$DH$9,2,0),$DE$10&lt;=VLOOKUP(DG856,$DD$5:$DH$9,3,0)),
(DF856*(1-VLOOKUP(DG856,$DD$5:$DH$9,4,0))),
DF856))</f>
        <v>7530</v>
      </c>
      <c r="DP856" s="738" t="s">
        <v>4258</v>
      </c>
      <c r="DQ856" s="166">
        <v>1640</v>
      </c>
      <c r="DR856" s="522">
        <f>ROUND(((DQ856-(DQ856/6))/$DD$3)*$DE$3,2)</f>
        <v>1640</v>
      </c>
      <c r="DS856" s="523"/>
      <c r="DT856" s="524">
        <f>IF(DS856="",DR856,
IF(AND($DQ$10&gt;=VLOOKUP(DS856,$DP$5:$DT$9,2,0),$DQ$10&lt;=VLOOKUP(DS856,$DP$5:$DT$9,3,0)),
(DR856*(1-VLOOKUP(DS856,$DP$5:$DT$9,4,0))),
DR856))</f>
        <v>1640</v>
      </c>
      <c r="DV856" s="165" t="s">
        <v>377</v>
      </c>
      <c r="DW856" s="166">
        <v>0</v>
      </c>
      <c r="DX856" s="522">
        <f t="shared" si="452"/>
        <v>0</v>
      </c>
      <c r="DY856" s="523"/>
      <c r="DZ856" s="524">
        <f t="shared" si="453"/>
        <v>0</v>
      </c>
    </row>
    <row r="857" spans="75:130">
      <c r="BW857" s="250" t="s">
        <v>312</v>
      </c>
      <c r="BX857" s="247" t="s">
        <v>458</v>
      </c>
      <c r="BY857" s="138" t="str">
        <f t="shared" si="463"/>
        <v>ФР Verto-FIT.F.Сатин</v>
      </c>
      <c r="CA857" s="742" t="s">
        <v>3326</v>
      </c>
      <c r="CB857" s="783" t="s">
        <v>5759</v>
      </c>
      <c r="CC857" s="138" t="str">
        <f t="shared" si="462"/>
        <v>ДП Лінея.фальц.робоча.Stand ст Пр +3завіс</v>
      </c>
      <c r="DD857" s="165" t="s">
        <v>1223</v>
      </c>
      <c r="DE857" s="166">
        <v>7530</v>
      </c>
      <c r="DF857" s="528">
        <f t="shared" si="464"/>
        <v>7530</v>
      </c>
      <c r="DG857" s="523"/>
      <c r="DH857" s="530">
        <f t="shared" si="465"/>
        <v>7530</v>
      </c>
      <c r="DP857" s="160"/>
      <c r="DQ857" s="160"/>
      <c r="DR857" s="518"/>
      <c r="DS857" s="160"/>
      <c r="DT857" s="160"/>
      <c r="DV857" s="108" t="s">
        <v>378</v>
      </c>
      <c r="DW857" s="164">
        <v>560</v>
      </c>
      <c r="DX857" s="531">
        <f t="shared" si="452"/>
        <v>560</v>
      </c>
      <c r="DY857" s="526"/>
      <c r="DZ857" s="527">
        <f t="shared" si="453"/>
        <v>560</v>
      </c>
    </row>
    <row r="858" spans="75:130">
      <c r="BW858" s="250" t="s">
        <v>312</v>
      </c>
      <c r="BX858" s="770" t="s">
        <v>4203</v>
      </c>
      <c r="BY858" s="138" t="str">
        <f t="shared" si="463"/>
        <v>ФР Verto-FIT.F.Жалюзі</v>
      </c>
      <c r="CA858" s="742" t="s">
        <v>3326</v>
      </c>
      <c r="CC858" s="138"/>
      <c r="DD858" s="165" t="s">
        <v>1224</v>
      </c>
      <c r="DE858" s="166">
        <v>7530</v>
      </c>
      <c r="DF858" s="528">
        <f t="shared" si="464"/>
        <v>7530</v>
      </c>
      <c r="DG858" s="523"/>
      <c r="DH858" s="530">
        <f t="shared" si="465"/>
        <v>7530</v>
      </c>
      <c r="DP858" s="48"/>
      <c r="DQ858" s="48"/>
      <c r="DR858" s="120"/>
      <c r="DS858" s="48"/>
      <c r="DT858" s="48"/>
      <c r="DV858" s="647"/>
      <c r="DW858" s="648"/>
      <c r="DX858" s="654"/>
      <c r="DY858" s="655"/>
      <c r="DZ858" s="656"/>
    </row>
    <row r="859" spans="75:130">
      <c r="BW859" s="250" t="s">
        <v>312</v>
      </c>
      <c r="BX859" s="770" t="s">
        <v>3851</v>
      </c>
      <c r="BY859" s="138" t="str">
        <f t="shared" si="463"/>
        <v>ФР Verto-FIT.F.Графіт</v>
      </c>
      <c r="CA859" s="742" t="s">
        <v>3326</v>
      </c>
      <c r="CB859" s="137" t="s">
        <v>4304</v>
      </c>
      <c r="CC859" s="138" t="str">
        <f>CONCATENATE(CA859,".",CB859)</f>
        <v>ДП Лінея.фальц.робоча.Soft цл +3завіс</v>
      </c>
      <c r="DD859" s="165" t="s">
        <v>1225</v>
      </c>
      <c r="DE859" s="166">
        <v>7530</v>
      </c>
      <c r="DF859" s="528">
        <f t="shared" si="464"/>
        <v>7530</v>
      </c>
      <c r="DG859" s="523"/>
      <c r="DH859" s="530">
        <f t="shared" si="465"/>
        <v>7530</v>
      </c>
      <c r="DP859" s="48"/>
      <c r="DQ859" s="48"/>
      <c r="DR859" s="120"/>
      <c r="DS859" s="48"/>
      <c r="DT859" s="48"/>
      <c r="DV859" s="736" t="s">
        <v>4177</v>
      </c>
      <c r="DW859" s="105">
        <v>0</v>
      </c>
      <c r="DX859" s="403">
        <f t="shared" ref="DX859:DX875" si="466">ROUND(((DW859-(DW859/6))/$DD$3)*$DE$3,2)</f>
        <v>0</v>
      </c>
      <c r="DY859" s="514"/>
      <c r="DZ859" s="511">
        <f t="shared" ref="DZ859:DZ875" si="467">IF(DY859="",DX859,
IF(AND($DW$10&gt;=VLOOKUP(DY859,$DV$5:$DZ$9,2,0),$DW$10&lt;=VLOOKUP(DY859,$DV$5:$DZ$9,3,0)),
(DX859*(1-VLOOKUP(DY859,$DV$5:$DZ$9,4,0))),
DX859))</f>
        <v>0</v>
      </c>
    </row>
    <row r="860" spans="75:130">
      <c r="BW860" s="250" t="s">
        <v>312</v>
      </c>
      <c r="BX860" s="247" t="s">
        <v>832</v>
      </c>
      <c r="BY860" s="138" t="str">
        <f t="shared" si="463"/>
        <v>ФР Verto-FIT.F.Бронза</v>
      </c>
      <c r="CA860" s="742" t="s">
        <v>3326</v>
      </c>
      <c r="CB860" s="137" t="s">
        <v>4307</v>
      </c>
      <c r="CC860" s="138" t="str">
        <f>CONCATENATE(CA860,".",CB860)</f>
        <v>ДП Лінея.фальц.робоча.Soft ст +3завіс</v>
      </c>
      <c r="DD860" s="165" t="s">
        <v>1226</v>
      </c>
      <c r="DE860" s="166">
        <v>7530</v>
      </c>
      <c r="DF860" s="528">
        <f t="shared" si="464"/>
        <v>7530</v>
      </c>
      <c r="DG860" s="523"/>
      <c r="DH860" s="530">
        <f t="shared" si="465"/>
        <v>7530</v>
      </c>
      <c r="DP860" s="48"/>
      <c r="DQ860" s="48"/>
      <c r="DR860" s="120"/>
      <c r="DS860" s="48"/>
      <c r="DT860" s="48"/>
      <c r="DV860" s="737" t="s">
        <v>5916</v>
      </c>
      <c r="DW860" s="163">
        <v>0</v>
      </c>
      <c r="DX860" s="528">
        <f t="shared" si="466"/>
        <v>0</v>
      </c>
      <c r="DY860" s="529"/>
      <c r="DZ860" s="530">
        <f t="shared" si="467"/>
        <v>0</v>
      </c>
    </row>
    <row r="861" spans="75:130">
      <c r="BW861" s="250" t="s">
        <v>312</v>
      </c>
      <c r="BX861" s="770" t="s">
        <v>4220</v>
      </c>
      <c r="BY861" s="138" t="str">
        <f t="shared" si="463"/>
        <v>ФР Verto-FIT.F.Малюнок</v>
      </c>
      <c r="CA861" s="742" t="s">
        <v>3326</v>
      </c>
      <c r="CB861" s="21"/>
      <c r="CC861" s="21"/>
      <c r="DD861" s="165" t="s">
        <v>1227</v>
      </c>
      <c r="DE861" s="166">
        <v>7530</v>
      </c>
      <c r="DF861" s="528">
        <f t="shared" si="464"/>
        <v>7530</v>
      </c>
      <c r="DG861" s="523"/>
      <c r="DH861" s="530">
        <f t="shared" si="465"/>
        <v>7530</v>
      </c>
      <c r="DP861" s="48"/>
      <c r="DQ861" s="48"/>
      <c r="DR861" s="120"/>
      <c r="DS861" s="48"/>
      <c r="DT861" s="48"/>
      <c r="DV861" s="737" t="s">
        <v>5917</v>
      </c>
      <c r="DW861" s="166">
        <v>0</v>
      </c>
      <c r="DX861" s="522">
        <f>ROUND(((DW861-(DW861/6))/$DD$3)*$DE$3,2)</f>
        <v>0</v>
      </c>
      <c r="DY861" s="523"/>
      <c r="DZ861" s="524">
        <f>IF(DY861="",DX861,
IF(AND($DW$10&gt;=VLOOKUP(DY861,$DV$5:$DZ$9,2,0),$DW$10&lt;=VLOOKUP(DY861,$DV$5:$DZ$9,3,0)),
(DX861*(1-VLOOKUP(DY861,$DV$5:$DZ$9,4,0))),
DX861))</f>
        <v>0</v>
      </c>
    </row>
    <row r="862" spans="75:130">
      <c r="BW862" s="249" t="s">
        <v>312</v>
      </c>
      <c r="BX862" s="782" t="s">
        <v>4251</v>
      </c>
      <c r="BY862" s="139" t="str">
        <f t="shared" si="463"/>
        <v>ФР Verto-FIT.F.Дзеркало</v>
      </c>
      <c r="CA862" s="742" t="s">
        <v>3326</v>
      </c>
      <c r="CB862" s="137" t="s">
        <v>4316</v>
      </c>
      <c r="CC862" s="138" t="str">
        <f>CONCATENATE(CA862,".",CB862)</f>
        <v>ДП Лінея.фальц.робоча.Magnet цл +3завіс</v>
      </c>
      <c r="DD862" s="165" t="s">
        <v>1228</v>
      </c>
      <c r="DE862" s="166">
        <v>7530</v>
      </c>
      <c r="DF862" s="528">
        <f t="shared" si="464"/>
        <v>7530</v>
      </c>
      <c r="DG862" s="523"/>
      <c r="DH862" s="530">
        <f t="shared" si="465"/>
        <v>7530</v>
      </c>
      <c r="DP862" s="48"/>
      <c r="DQ862" s="48"/>
      <c r="DR862" s="120"/>
      <c r="DS862" s="48"/>
      <c r="DT862" s="48"/>
      <c r="DV862" s="738" t="s">
        <v>5918</v>
      </c>
      <c r="DW862" s="166">
        <v>0</v>
      </c>
      <c r="DX862" s="522">
        <f t="shared" si="466"/>
        <v>0</v>
      </c>
      <c r="DY862" s="523"/>
      <c r="DZ862" s="524">
        <f t="shared" si="467"/>
        <v>0</v>
      </c>
    </row>
    <row r="863" spans="75:130">
      <c r="BW863" s="251" t="s">
        <v>313</v>
      </c>
      <c r="BX863" s="786" t="s">
        <v>4248</v>
      </c>
      <c r="BY863" s="135" t="str">
        <f t="shared" si="463"/>
        <v>ФР Verto-FIT.G.Фільонка</v>
      </c>
      <c r="CA863" s="424" t="s">
        <v>3326</v>
      </c>
      <c r="CB863" s="62" t="s">
        <v>4319</v>
      </c>
      <c r="CC863" s="139" t="str">
        <f>CONCATENATE(CA863,".",CB863)</f>
        <v>ДП Лінея.фальц.робоча.Magnet ст +3завіс</v>
      </c>
      <c r="DD863" s="165" t="s">
        <v>1229</v>
      </c>
      <c r="DE863" s="166">
        <v>7530</v>
      </c>
      <c r="DF863" s="528">
        <f t="shared" si="464"/>
        <v>7530</v>
      </c>
      <c r="DG863" s="523"/>
      <c r="DH863" s="530">
        <f t="shared" si="465"/>
        <v>7530</v>
      </c>
      <c r="DP863" s="48"/>
      <c r="DQ863" s="48"/>
      <c r="DR863" s="120"/>
      <c r="DS863" s="48"/>
      <c r="DT863" s="48"/>
      <c r="DV863" s="738" t="s">
        <v>5919</v>
      </c>
      <c r="DW863" s="166">
        <v>0</v>
      </c>
      <c r="DX863" s="522">
        <f>ROUND(((DW863-(DW863/6))/$DD$3)*$DE$3,2)</f>
        <v>0</v>
      </c>
      <c r="DY863" s="523"/>
      <c r="DZ863" s="524">
        <f>IF(DY863="",DX863,
IF(AND($DW$10&gt;=VLOOKUP(DY863,$DV$5:$DZ$9,2,0),$DW$10&lt;=VLOOKUP(DY863,$DV$5:$DZ$9,3,0)),
(DX863*(1-VLOOKUP(DY863,$DV$5:$DZ$9,4,0))),
DX863))</f>
        <v>0</v>
      </c>
    </row>
    <row r="864" spans="75:130">
      <c r="BW864" s="250" t="s">
        <v>313</v>
      </c>
      <c r="BX864" s="247"/>
      <c r="BY864" s="138"/>
      <c r="CA864" s="746" t="s">
        <v>3327</v>
      </c>
      <c r="CB864" s="134" t="s">
        <v>4106</v>
      </c>
      <c r="CC864" s="135" t="str">
        <f>CONCATENATE(CA864,".",CB864)</f>
        <v>ДП Лінея.фальц,.неробоча,.(ні)</v>
      </c>
      <c r="DD864" s="108" t="s">
        <v>1230</v>
      </c>
      <c r="DE864" s="164">
        <v>7530</v>
      </c>
      <c r="DF864" s="528">
        <f t="shared" si="464"/>
        <v>7530</v>
      </c>
      <c r="DG864" s="526"/>
      <c r="DH864" s="530">
        <f t="shared" si="465"/>
        <v>7530</v>
      </c>
      <c r="DP864" s="48"/>
      <c r="DQ864" s="48"/>
      <c r="DR864" s="120"/>
      <c r="DS864" s="48"/>
      <c r="DT864" s="48"/>
      <c r="DV864" s="738" t="s">
        <v>5920</v>
      </c>
      <c r="DW864" s="166">
        <v>0</v>
      </c>
      <c r="DX864" s="522">
        <f t="shared" si="466"/>
        <v>0</v>
      </c>
      <c r="DY864" s="523"/>
      <c r="DZ864" s="524">
        <f t="shared" si="467"/>
        <v>0</v>
      </c>
    </row>
    <row r="865" spans="75:130">
      <c r="BW865" s="250" t="s">
        <v>313</v>
      </c>
      <c r="BX865" s="247" t="s">
        <v>459</v>
      </c>
      <c r="BY865" s="138" t="str">
        <f t="shared" ref="BY865:BY872" si="468">CONCATENATE(BW865,".",BX865)</f>
        <v>ФР Verto-FIT.G.Кризет</v>
      </c>
      <c r="CA865" s="742" t="s">
        <v>3327</v>
      </c>
      <c r="CB865" s="21"/>
      <c r="CC865" s="21"/>
      <c r="DD865" s="165" t="s">
        <v>1984</v>
      </c>
      <c r="DE865" s="166">
        <v>8360</v>
      </c>
      <c r="DF865" s="528">
        <f t="shared" si="464"/>
        <v>8360</v>
      </c>
      <c r="DG865" s="523"/>
      <c r="DH865" s="530">
        <f t="shared" si="465"/>
        <v>8360</v>
      </c>
      <c r="DP865" s="554"/>
      <c r="DQ865" s="554"/>
      <c r="DR865" s="653"/>
      <c r="DS865" s="554"/>
      <c r="DT865" s="554"/>
      <c r="DV865" s="738" t="s">
        <v>5921</v>
      </c>
      <c r="DW865" s="166">
        <v>0</v>
      </c>
      <c r="DX865" s="522">
        <f>ROUND(((DW865-(DW865/6))/$DD$3)*$DE$3,2)</f>
        <v>0</v>
      </c>
      <c r="DY865" s="523"/>
      <c r="DZ865" s="524">
        <f>IF(DY865="",DX865,
IF(AND($DW$10&gt;=VLOOKUP(DY865,$DV$5:$DZ$9,2,0),$DW$10&lt;=VLOOKUP(DY865,$DV$5:$DZ$9,3,0)),
(DX865*(1-VLOOKUP(DY865,$DV$5:$DZ$9,4,0))),
DX865))</f>
        <v>0</v>
      </c>
    </row>
    <row r="866" spans="75:130">
      <c r="BW866" s="250" t="s">
        <v>313</v>
      </c>
      <c r="BX866" s="247" t="s">
        <v>458</v>
      </c>
      <c r="BY866" s="138" t="str">
        <f t="shared" si="468"/>
        <v>ФР Verto-FIT.G.Сатин</v>
      </c>
      <c r="CA866" s="742" t="s">
        <v>3327</v>
      </c>
      <c r="CB866" s="783" t="s">
        <v>4325</v>
      </c>
      <c r="CC866" s="138" t="str">
        <f>CONCATENATE(CA866,".",CB866)</f>
        <v>ДП Лінея.фальц,.неробоча,.Пл Stand +3завіс</v>
      </c>
      <c r="DD866" s="165" t="s">
        <v>1985</v>
      </c>
      <c r="DE866" s="166">
        <v>8360</v>
      </c>
      <c r="DF866" s="528">
        <f t="shared" si="464"/>
        <v>8360</v>
      </c>
      <c r="DG866" s="523"/>
      <c r="DH866" s="530">
        <f t="shared" si="465"/>
        <v>8360</v>
      </c>
      <c r="DV866" s="738" t="s">
        <v>4767</v>
      </c>
      <c r="DW866" s="166">
        <v>550</v>
      </c>
      <c r="DX866" s="522">
        <f t="shared" si="466"/>
        <v>550</v>
      </c>
      <c r="DY866" s="523"/>
      <c r="DZ866" s="524">
        <f t="shared" si="467"/>
        <v>550</v>
      </c>
    </row>
    <row r="867" spans="75:130">
      <c r="BW867" s="250" t="s">
        <v>313</v>
      </c>
      <c r="BX867" s="770" t="s">
        <v>4203</v>
      </c>
      <c r="BY867" s="138" t="str">
        <f t="shared" si="468"/>
        <v>ФР Verto-FIT.G.Жалюзі</v>
      </c>
      <c r="CA867" s="742" t="s">
        <v>3327</v>
      </c>
      <c r="CB867" s="783" t="s">
        <v>4333</v>
      </c>
      <c r="CC867" s="138" t="str">
        <f>CONCATENATE(CA867,".",CB867)</f>
        <v>ДП Лінея.фальц,.неробоча,.Пл Soft +3завіс</v>
      </c>
      <c r="DD867" s="165" t="s">
        <v>1986</v>
      </c>
      <c r="DE867" s="166">
        <v>8360</v>
      </c>
      <c r="DF867" s="528">
        <f t="shared" si="464"/>
        <v>8360</v>
      </c>
      <c r="DG867" s="523"/>
      <c r="DH867" s="530">
        <f t="shared" si="465"/>
        <v>8360</v>
      </c>
      <c r="DV867" s="738" t="s">
        <v>4768</v>
      </c>
      <c r="DW867" s="166">
        <v>550</v>
      </c>
      <c r="DX867" s="522">
        <f t="shared" si="466"/>
        <v>550</v>
      </c>
      <c r="DY867" s="523"/>
      <c r="DZ867" s="524">
        <f t="shared" si="467"/>
        <v>550</v>
      </c>
    </row>
    <row r="868" spans="75:130">
      <c r="BW868" s="250" t="s">
        <v>313</v>
      </c>
      <c r="BX868" s="770" t="s">
        <v>3851</v>
      </c>
      <c r="BY868" s="138" t="str">
        <f t="shared" si="468"/>
        <v>ФР Verto-FIT.G.Графіт</v>
      </c>
      <c r="CA868" s="742" t="s">
        <v>3327</v>
      </c>
      <c r="CB868" s="152" t="s">
        <v>4336</v>
      </c>
      <c r="CC868" s="138" t="str">
        <f>CONCATENATE(CA868,".",CB868)</f>
        <v>ДП Лінея.фальц,.неробоча,.Пл Magnet +3завіс</v>
      </c>
      <c r="DD868" s="165" t="s">
        <v>1987</v>
      </c>
      <c r="DE868" s="166">
        <v>8360</v>
      </c>
      <c r="DF868" s="528">
        <f t="shared" si="464"/>
        <v>8360</v>
      </c>
      <c r="DG868" s="523"/>
      <c r="DH868" s="530">
        <f t="shared" si="465"/>
        <v>8360</v>
      </c>
      <c r="DV868" s="738" t="s">
        <v>4769</v>
      </c>
      <c r="DW868" s="166">
        <v>800</v>
      </c>
      <c r="DX868" s="522">
        <f>ROUND(((DW868-(DW868/6))/$DD$3)*$DE$3,2)</f>
        <v>800</v>
      </c>
      <c r="DY868" s="523"/>
      <c r="DZ868" s="524">
        <f>IF(DY868="",DX868,
IF(AND($DW$10&gt;=VLOOKUP(DY868,$DV$5:$DZ$9,2,0),$DW$10&lt;=VLOOKUP(DY868,$DV$5:$DZ$9,3,0)),
(DX868*(1-VLOOKUP(DY868,$DV$5:$DZ$9,4,0))),
DX868))</f>
        <v>800</v>
      </c>
    </row>
    <row r="869" spans="75:130">
      <c r="BW869" s="250" t="s">
        <v>313</v>
      </c>
      <c r="BX869" s="247" t="s">
        <v>832</v>
      </c>
      <c r="BY869" s="138" t="str">
        <f t="shared" si="468"/>
        <v>ФР Verto-FIT.G.Бронза</v>
      </c>
      <c r="CA869" s="746" t="s">
        <v>3328</v>
      </c>
      <c r="CB869" s="134" t="s">
        <v>4106</v>
      </c>
      <c r="CC869" s="135" t="str">
        <f>CONCATENATE(CA869,".",CB869)</f>
        <v>ДП Лінея.фальц.неробоча.(ні)</v>
      </c>
      <c r="DD869" s="165" t="s">
        <v>1988</v>
      </c>
      <c r="DE869" s="166">
        <v>8360</v>
      </c>
      <c r="DF869" s="528">
        <f t="shared" si="464"/>
        <v>8360</v>
      </c>
      <c r="DG869" s="523"/>
      <c r="DH869" s="530">
        <f t="shared" si="465"/>
        <v>8360</v>
      </c>
      <c r="DV869" s="739" t="s">
        <v>4770</v>
      </c>
      <c r="DW869" s="164">
        <v>800</v>
      </c>
      <c r="DX869" s="525">
        <f>ROUND(((DW869-(DW869/6))/$DD$3)*$DE$3,2)</f>
        <v>800</v>
      </c>
      <c r="DY869" s="526"/>
      <c r="DZ869" s="527">
        <f>IF(DY869="",DX869,
IF(AND($DW$10&gt;=VLOOKUP(DY869,$DV$5:$DZ$9,2,0),$DW$10&lt;=VLOOKUP(DY869,$DV$5:$DZ$9,3,0)),
(DX869*(1-VLOOKUP(DY869,$DV$5:$DZ$9,4,0))),
DX869))</f>
        <v>800</v>
      </c>
    </row>
    <row r="870" spans="75:130">
      <c r="BW870" s="250" t="s">
        <v>313</v>
      </c>
      <c r="BX870" s="770" t="s">
        <v>4220</v>
      </c>
      <c r="BY870" s="138" t="str">
        <f>CONCATENATE(BW870,".",BX870)</f>
        <v>ФР Verto-FIT.G.Малюнок</v>
      </c>
      <c r="CA870" s="742" t="s">
        <v>3328</v>
      </c>
      <c r="CB870" s="21"/>
      <c r="CC870" s="21"/>
      <c r="DD870" s="165" t="s">
        <v>1989</v>
      </c>
      <c r="DE870" s="166">
        <v>8360</v>
      </c>
      <c r="DF870" s="528">
        <f t="shared" si="464"/>
        <v>8360</v>
      </c>
      <c r="DG870" s="523"/>
      <c r="DH870" s="530">
        <f t="shared" si="465"/>
        <v>8360</v>
      </c>
      <c r="DV870" s="738" t="s">
        <v>6423</v>
      </c>
      <c r="DW870" s="166">
        <v>1</v>
      </c>
      <c r="DX870" s="522">
        <f t="shared" si="466"/>
        <v>1</v>
      </c>
      <c r="DY870" s="523"/>
      <c r="DZ870" s="524">
        <f t="shared" si="467"/>
        <v>1</v>
      </c>
    </row>
    <row r="871" spans="75:130">
      <c r="BW871" s="249" t="s">
        <v>313</v>
      </c>
      <c r="BX871" s="782" t="s">
        <v>4251</v>
      </c>
      <c r="BY871" s="139" t="str">
        <f t="shared" si="468"/>
        <v>ФР Verto-FIT.G.Дзеркало</v>
      </c>
      <c r="CA871" s="742" t="s">
        <v>3328</v>
      </c>
      <c r="CB871" s="783" t="s">
        <v>4325</v>
      </c>
      <c r="CC871" s="138" t="str">
        <f>CONCATENATE(CA871,".",CB871)</f>
        <v>ДП Лінея.фальц.неробоча.Пл Stand +3завіс</v>
      </c>
      <c r="DD871" s="165" t="s">
        <v>1990</v>
      </c>
      <c r="DE871" s="166">
        <v>8360</v>
      </c>
      <c r="DF871" s="528">
        <f t="shared" si="464"/>
        <v>8360</v>
      </c>
      <c r="DG871" s="523"/>
      <c r="DH871" s="530">
        <f t="shared" si="465"/>
        <v>8360</v>
      </c>
      <c r="DV871" s="739" t="s">
        <v>6424</v>
      </c>
      <c r="DW871" s="164">
        <v>1</v>
      </c>
      <c r="DX871" s="525">
        <f t="shared" si="466"/>
        <v>1</v>
      </c>
      <c r="DY871" s="526"/>
      <c r="DZ871" s="527">
        <f t="shared" si="467"/>
        <v>1</v>
      </c>
    </row>
    <row r="872" spans="75:130">
      <c r="BW872" s="251" t="s">
        <v>314</v>
      </c>
      <c r="BX872" s="786" t="s">
        <v>4248</v>
      </c>
      <c r="BY872" s="135" t="str">
        <f t="shared" si="468"/>
        <v>ФР Verto-FIT.H.Фільонка</v>
      </c>
      <c r="CA872" s="742" t="s">
        <v>3328</v>
      </c>
      <c r="CB872" s="783" t="s">
        <v>4333</v>
      </c>
      <c r="CC872" s="138" t="str">
        <f>CONCATENATE(CA872,".",CB872)</f>
        <v>ДП Лінея.фальц.неробоча.Пл Soft +3завіс</v>
      </c>
      <c r="DD872" s="165" t="s">
        <v>1991</v>
      </c>
      <c r="DE872" s="166">
        <v>8360</v>
      </c>
      <c r="DF872" s="528">
        <f t="shared" si="464"/>
        <v>8360</v>
      </c>
      <c r="DG872" s="523"/>
      <c r="DH872" s="530">
        <f t="shared" si="465"/>
        <v>8360</v>
      </c>
      <c r="DV872" s="737" t="s">
        <v>4771</v>
      </c>
      <c r="DW872" s="163">
        <v>0</v>
      </c>
      <c r="DX872" s="528">
        <f t="shared" si="466"/>
        <v>0</v>
      </c>
      <c r="DY872" s="529"/>
      <c r="DZ872" s="530">
        <f t="shared" si="467"/>
        <v>0</v>
      </c>
    </row>
    <row r="873" spans="75:130">
      <c r="BW873" s="250" t="s">
        <v>314</v>
      </c>
      <c r="BX873" s="247"/>
      <c r="BY873" s="138"/>
      <c r="CA873" s="742" t="s">
        <v>3328</v>
      </c>
      <c r="CB873" s="152" t="s">
        <v>4336</v>
      </c>
      <c r="CC873" s="138" t="str">
        <f>CONCATENATE(CA873,".",CB873)</f>
        <v>ДП Лінея.фальц.неробоча.Пл Magnet +3завіс</v>
      </c>
      <c r="DD873" s="165" t="s">
        <v>1992</v>
      </c>
      <c r="DE873" s="166">
        <v>8360</v>
      </c>
      <c r="DF873" s="528">
        <f t="shared" si="464"/>
        <v>8360</v>
      </c>
      <c r="DG873" s="523"/>
      <c r="DH873" s="530">
        <f t="shared" si="465"/>
        <v>8360</v>
      </c>
      <c r="DV873" s="738" t="s">
        <v>4772</v>
      </c>
      <c r="DW873" s="166">
        <v>0</v>
      </c>
      <c r="DX873" s="522">
        <f t="shared" si="466"/>
        <v>0</v>
      </c>
      <c r="DY873" s="523"/>
      <c r="DZ873" s="524">
        <f t="shared" si="467"/>
        <v>0</v>
      </c>
    </row>
    <row r="874" spans="75:130">
      <c r="BW874" s="250" t="s">
        <v>314</v>
      </c>
      <c r="BX874" s="247" t="s">
        <v>459</v>
      </c>
      <c r="BY874" s="138" t="str">
        <f t="shared" ref="BY874:BY881" si="469">CONCATENATE(BW874,".",BX874)</f>
        <v>ФР Verto-FIT.H.Кризет</v>
      </c>
      <c r="CA874" s="432"/>
      <c r="CB874" s="222"/>
      <c r="CC874" s="223"/>
      <c r="DD874" s="108" t="s">
        <v>1993</v>
      </c>
      <c r="DE874" s="164">
        <v>8360</v>
      </c>
      <c r="DF874" s="528">
        <f t="shared" si="464"/>
        <v>8360</v>
      </c>
      <c r="DG874" s="526"/>
      <c r="DH874" s="530">
        <f t="shared" si="465"/>
        <v>8360</v>
      </c>
      <c r="DV874" s="739" t="s">
        <v>4773</v>
      </c>
      <c r="DW874" s="164">
        <v>0</v>
      </c>
      <c r="DX874" s="531">
        <f>ROUND(((DW874-(DW874/6))/$DD$3)*$DE$3,2)</f>
        <v>0</v>
      </c>
      <c r="DY874" s="526"/>
      <c r="DZ874" s="527">
        <f>IF(DY874="",DX874,
IF(AND($DW$10&gt;=VLOOKUP(DY874,$DV$5:$DZ$9,2,0),$DW$10&lt;=VLOOKUP(DY874,$DV$5:$DZ$9,3,0)),
(DX874*(1-VLOOKUP(DY874,$DV$5:$DZ$9,4,0))),
DX874))</f>
        <v>0</v>
      </c>
    </row>
    <row r="875" spans="75:130">
      <c r="BW875" s="250" t="s">
        <v>314</v>
      </c>
      <c r="BX875" s="247" t="s">
        <v>458</v>
      </c>
      <c r="BY875" s="138" t="str">
        <f t="shared" si="469"/>
        <v>ФР Verto-FIT.H.Сатин</v>
      </c>
      <c r="CA875" s="742" t="s">
        <v>3329</v>
      </c>
      <c r="CB875" s="137" t="s">
        <v>4106</v>
      </c>
      <c r="CC875" s="138" t="str">
        <f>CONCATENATE(CA875,".",CB875)</f>
        <v>ДП ЛАЙН.фальц,.робоча..(ні)</v>
      </c>
      <c r="DD875" s="165" t="s">
        <v>1231</v>
      </c>
      <c r="DE875" s="729">
        <v>8640</v>
      </c>
      <c r="DF875" s="528">
        <f t="shared" si="464"/>
        <v>8640</v>
      </c>
      <c r="DG875" s="523"/>
      <c r="DH875" s="530">
        <f t="shared" si="465"/>
        <v>8640</v>
      </c>
      <c r="DV875" s="739" t="s">
        <v>6425</v>
      </c>
      <c r="DW875" s="164">
        <v>0</v>
      </c>
      <c r="DX875" s="531">
        <f t="shared" si="466"/>
        <v>0</v>
      </c>
      <c r="DY875" s="526"/>
      <c r="DZ875" s="527">
        <f t="shared" si="467"/>
        <v>0</v>
      </c>
    </row>
    <row r="876" spans="75:130">
      <c r="BW876" s="250" t="s">
        <v>314</v>
      </c>
      <c r="BX876" s="770" t="s">
        <v>4203</v>
      </c>
      <c r="BY876" s="138" t="str">
        <f t="shared" si="469"/>
        <v>ФР Verto-FIT.H.Жалюзі</v>
      </c>
      <c r="CA876" s="742" t="s">
        <v>3329</v>
      </c>
      <c r="CB876" s="21"/>
      <c r="CC876" s="21"/>
      <c r="DD876" s="165" t="s">
        <v>1232</v>
      </c>
      <c r="DE876" s="166">
        <v>8640</v>
      </c>
      <c r="DF876" s="528">
        <f t="shared" si="464"/>
        <v>8640</v>
      </c>
      <c r="DG876" s="523"/>
      <c r="DH876" s="530">
        <f t="shared" si="465"/>
        <v>8640</v>
      </c>
      <c r="DV876" s="647"/>
      <c r="DW876" s="648"/>
      <c r="DX876" s="654"/>
      <c r="DY876" s="655"/>
      <c r="DZ876" s="656"/>
    </row>
    <row r="877" spans="75:130">
      <c r="BW877" s="250" t="s">
        <v>314</v>
      </c>
      <c r="BX877" s="770" t="s">
        <v>3851</v>
      </c>
      <c r="BY877" s="138" t="str">
        <f t="shared" si="469"/>
        <v>ФР Verto-FIT.H.Графіт</v>
      </c>
      <c r="CA877" s="742" t="s">
        <v>3329</v>
      </c>
      <c r="CB877" s="783" t="s">
        <v>5754</v>
      </c>
      <c r="CC877" s="138" t="str">
        <f t="shared" ref="CC877:CC882" si="470">CONCATENATE(CA877,".",CB877)</f>
        <v>ДП ЛАЙН.фальц,.робоча..Stand цл Лів +3завіс</v>
      </c>
      <c r="DD877" s="165" t="s">
        <v>1233</v>
      </c>
      <c r="DE877" s="166">
        <v>8640</v>
      </c>
      <c r="DF877" s="528">
        <f t="shared" si="464"/>
        <v>8640</v>
      </c>
      <c r="DG877" s="523"/>
      <c r="DH877" s="530">
        <f t="shared" si="465"/>
        <v>8640</v>
      </c>
      <c r="DV877" s="736" t="s">
        <v>4179</v>
      </c>
      <c r="DW877" s="105">
        <v>0</v>
      </c>
      <c r="DX877" s="403">
        <f t="shared" ref="DX877:DX893" si="471">ROUND(((DW877-(DW877/6))/$DD$3)*$DE$3,2)</f>
        <v>0</v>
      </c>
      <c r="DY877" s="514"/>
      <c r="DZ877" s="511">
        <f t="shared" ref="DZ877:DZ893" si="472">IF(DY877="",DX877,
IF(AND($DW$10&gt;=VLOOKUP(DY877,$DV$5:$DZ$9,2,0),$DW$10&lt;=VLOOKUP(DY877,$DV$5:$DZ$9,3,0)),
(DX877*(1-VLOOKUP(DY877,$DV$5:$DZ$9,4,0))),
DX877))</f>
        <v>0</v>
      </c>
    </row>
    <row r="878" spans="75:130">
      <c r="BW878" s="250" t="s">
        <v>314</v>
      </c>
      <c r="BX878" s="247" t="s">
        <v>832</v>
      </c>
      <c r="BY878" s="138" t="str">
        <f t="shared" si="469"/>
        <v>ФР Verto-FIT.H.Бронза</v>
      </c>
      <c r="CA878" s="742" t="s">
        <v>3329</v>
      </c>
      <c r="CB878" s="783" t="s">
        <v>5755</v>
      </c>
      <c r="CC878" s="138" t="str">
        <f t="shared" si="470"/>
        <v>ДП ЛАЙН.фальц,.робоча..Stand цл Пр +3завіс</v>
      </c>
      <c r="DD878" s="165" t="s">
        <v>1234</v>
      </c>
      <c r="DE878" s="166">
        <v>8640</v>
      </c>
      <c r="DF878" s="528">
        <f t="shared" si="464"/>
        <v>8640</v>
      </c>
      <c r="DG878" s="523"/>
      <c r="DH878" s="530">
        <f t="shared" si="465"/>
        <v>8640</v>
      </c>
      <c r="DV878" s="737" t="s">
        <v>5922</v>
      </c>
      <c r="DW878" s="163">
        <v>0</v>
      </c>
      <c r="DX878" s="528">
        <f t="shared" si="471"/>
        <v>0</v>
      </c>
      <c r="DY878" s="529"/>
      <c r="DZ878" s="530">
        <f t="shared" si="472"/>
        <v>0</v>
      </c>
    </row>
    <row r="879" spans="75:130">
      <c r="BW879" s="250" t="s">
        <v>314</v>
      </c>
      <c r="BX879" s="770" t="s">
        <v>4220</v>
      </c>
      <c r="BY879" s="138" t="str">
        <f>CONCATENATE(BW879,".",BX879)</f>
        <v>ФР Verto-FIT.H.Малюнок</v>
      </c>
      <c r="CA879" s="742" t="s">
        <v>3329</v>
      </c>
      <c r="CB879" s="783" t="s">
        <v>5756</v>
      </c>
      <c r="CC879" s="138" t="str">
        <f t="shared" si="470"/>
        <v>ДП ЛАЙН.фальц,.робоча..Stand кл Лів +3завіс</v>
      </c>
      <c r="DD879" s="165" t="s">
        <v>1235</v>
      </c>
      <c r="DE879" s="166">
        <v>8640</v>
      </c>
      <c r="DF879" s="528">
        <f t="shared" si="464"/>
        <v>8640</v>
      </c>
      <c r="DG879" s="523"/>
      <c r="DH879" s="530">
        <f t="shared" si="465"/>
        <v>8640</v>
      </c>
      <c r="DV879" s="737" t="s">
        <v>5923</v>
      </c>
      <c r="DW879" s="166">
        <v>0</v>
      </c>
      <c r="DX879" s="522">
        <f>ROUND(((DW879-(DW879/6))/$DD$3)*$DE$3,2)</f>
        <v>0</v>
      </c>
      <c r="DY879" s="523"/>
      <c r="DZ879" s="524">
        <f>IF(DY879="",DX879,
IF(AND($DW$10&gt;=VLOOKUP(DY879,$DV$5:$DZ$9,2,0),$DW$10&lt;=VLOOKUP(DY879,$DV$5:$DZ$9,3,0)),
(DX879*(1-VLOOKUP(DY879,$DV$5:$DZ$9,4,0))),
DX879))</f>
        <v>0</v>
      </c>
    </row>
    <row r="880" spans="75:130">
      <c r="BW880" s="249" t="s">
        <v>314</v>
      </c>
      <c r="BX880" s="782" t="s">
        <v>4251</v>
      </c>
      <c r="BY880" s="139" t="str">
        <f t="shared" si="469"/>
        <v>ФР Verto-FIT.H.Дзеркало</v>
      </c>
      <c r="CA880" s="742" t="s">
        <v>3329</v>
      </c>
      <c r="CB880" s="783" t="s">
        <v>5757</v>
      </c>
      <c r="CC880" s="138" t="str">
        <f t="shared" si="470"/>
        <v>ДП ЛАЙН.фальц,.робоча..Stand кл Пр +3завіс</v>
      </c>
      <c r="DD880" s="165" t="s">
        <v>1236</v>
      </c>
      <c r="DE880" s="166">
        <v>8640</v>
      </c>
      <c r="DF880" s="528">
        <f t="shared" si="464"/>
        <v>8640</v>
      </c>
      <c r="DG880" s="523"/>
      <c r="DH880" s="530">
        <f t="shared" si="465"/>
        <v>8640</v>
      </c>
      <c r="DV880" s="738" t="s">
        <v>5924</v>
      </c>
      <c r="DW880" s="166">
        <v>0</v>
      </c>
      <c r="DX880" s="522">
        <f t="shared" si="471"/>
        <v>0</v>
      </c>
      <c r="DY880" s="523"/>
      <c r="DZ880" s="524">
        <f t="shared" si="472"/>
        <v>0</v>
      </c>
    </row>
    <row r="881" spans="75:130">
      <c r="BW881" s="251" t="s">
        <v>315</v>
      </c>
      <c r="BX881" s="786" t="s">
        <v>4248</v>
      </c>
      <c r="BY881" s="135" t="str">
        <f t="shared" si="469"/>
        <v>ФР Verto-FIT.I.Фільонка</v>
      </c>
      <c r="CA881" s="742" t="s">
        <v>3329</v>
      </c>
      <c r="CB881" s="783" t="s">
        <v>5758</v>
      </c>
      <c r="CC881" s="138" t="str">
        <f t="shared" si="470"/>
        <v>ДП ЛАЙН.фальц,.робоча..Stand ст Лів +3завіс</v>
      </c>
      <c r="DD881" s="165" t="s">
        <v>1237</v>
      </c>
      <c r="DE881" s="166">
        <v>8640</v>
      </c>
      <c r="DF881" s="528">
        <f t="shared" si="464"/>
        <v>8640</v>
      </c>
      <c r="DG881" s="523"/>
      <c r="DH881" s="530">
        <f t="shared" si="465"/>
        <v>8640</v>
      </c>
      <c r="DV881" s="738" t="s">
        <v>5925</v>
      </c>
      <c r="DW881" s="166">
        <v>0</v>
      </c>
      <c r="DX881" s="522">
        <f>ROUND(((DW881-(DW881/6))/$DD$3)*$DE$3,2)</f>
        <v>0</v>
      </c>
      <c r="DY881" s="523"/>
      <c r="DZ881" s="524">
        <f>IF(DY881="",DX881,
IF(AND($DW$10&gt;=VLOOKUP(DY881,$DV$5:$DZ$9,2,0),$DW$10&lt;=VLOOKUP(DY881,$DV$5:$DZ$9,3,0)),
(DX881*(1-VLOOKUP(DY881,$DV$5:$DZ$9,4,0))),
DX881))</f>
        <v>0</v>
      </c>
    </row>
    <row r="882" spans="75:130">
      <c r="BW882" s="250" t="s">
        <v>315</v>
      </c>
      <c r="BX882" s="247"/>
      <c r="BY882" s="138"/>
      <c r="CA882" s="742" t="s">
        <v>3329</v>
      </c>
      <c r="CB882" s="783" t="s">
        <v>5759</v>
      </c>
      <c r="CC882" s="138" t="str">
        <f t="shared" si="470"/>
        <v>ДП ЛАЙН.фальц,.робоча..Stand ст Пр +3завіс</v>
      </c>
      <c r="DD882" s="165" t="s">
        <v>1238</v>
      </c>
      <c r="DE882" s="166">
        <v>8640</v>
      </c>
      <c r="DF882" s="528">
        <f t="shared" si="464"/>
        <v>8640</v>
      </c>
      <c r="DG882" s="523"/>
      <c r="DH882" s="530">
        <f t="shared" si="465"/>
        <v>8640</v>
      </c>
      <c r="DV882" s="738" t="s">
        <v>5926</v>
      </c>
      <c r="DW882" s="166">
        <v>0</v>
      </c>
      <c r="DX882" s="522">
        <f t="shared" si="471"/>
        <v>0</v>
      </c>
      <c r="DY882" s="523"/>
      <c r="DZ882" s="524">
        <f t="shared" si="472"/>
        <v>0</v>
      </c>
    </row>
    <row r="883" spans="75:130">
      <c r="BW883" s="250" t="s">
        <v>315</v>
      </c>
      <c r="BX883" s="247" t="s">
        <v>459</v>
      </c>
      <c r="BY883" s="138" t="str">
        <f t="shared" ref="BY883:BY889" si="473">CONCATENATE(BW883,".",BX883)</f>
        <v>ФР Verto-FIT.I.Кризет</v>
      </c>
      <c r="CA883" s="742" t="s">
        <v>3329</v>
      </c>
      <c r="CC883" s="138"/>
      <c r="DD883" s="165" t="s">
        <v>1239</v>
      </c>
      <c r="DE883" s="166">
        <v>8640</v>
      </c>
      <c r="DF883" s="528">
        <f t="shared" si="464"/>
        <v>8640</v>
      </c>
      <c r="DG883" s="523"/>
      <c r="DH883" s="530">
        <f t="shared" si="465"/>
        <v>8640</v>
      </c>
      <c r="DV883" s="738" t="s">
        <v>5927</v>
      </c>
      <c r="DW883" s="166">
        <v>0</v>
      </c>
      <c r="DX883" s="522">
        <f>ROUND(((DW883-(DW883/6))/$DD$3)*$DE$3,2)</f>
        <v>0</v>
      </c>
      <c r="DY883" s="523"/>
      <c r="DZ883" s="524">
        <f>IF(DY883="",DX883,
IF(AND($DW$10&gt;=VLOOKUP(DY883,$DV$5:$DZ$9,2,0),$DW$10&lt;=VLOOKUP(DY883,$DV$5:$DZ$9,3,0)),
(DX883*(1-VLOOKUP(DY883,$DV$5:$DZ$9,4,0))),
DX883))</f>
        <v>0</v>
      </c>
    </row>
    <row r="884" spans="75:130">
      <c r="BW884" s="250" t="s">
        <v>315</v>
      </c>
      <c r="BX884" s="247" t="s">
        <v>458</v>
      </c>
      <c r="BY884" s="138" t="str">
        <f t="shared" si="473"/>
        <v>ФР Verto-FIT.I.Сатин</v>
      </c>
      <c r="CA884" s="742" t="s">
        <v>3329</v>
      </c>
      <c r="CB884" s="137" t="s">
        <v>4304</v>
      </c>
      <c r="CC884" s="138" t="str">
        <f>CONCATENATE(CA884,".",CB884)</f>
        <v>ДП ЛАЙН.фальц,.робоча..Soft цл +3завіс</v>
      </c>
      <c r="DD884" s="108" t="s">
        <v>1240</v>
      </c>
      <c r="DE884" s="164">
        <v>8640</v>
      </c>
      <c r="DF884" s="528">
        <f t="shared" si="464"/>
        <v>8640</v>
      </c>
      <c r="DG884" s="526"/>
      <c r="DH884" s="530">
        <f t="shared" si="465"/>
        <v>8640</v>
      </c>
      <c r="DV884" s="738" t="s">
        <v>4774</v>
      </c>
      <c r="DW884" s="166">
        <v>550</v>
      </c>
      <c r="DX884" s="522">
        <f t="shared" si="471"/>
        <v>550</v>
      </c>
      <c r="DY884" s="523"/>
      <c r="DZ884" s="524">
        <f t="shared" si="472"/>
        <v>550</v>
      </c>
    </row>
    <row r="885" spans="75:130">
      <c r="BW885" s="250" t="s">
        <v>315</v>
      </c>
      <c r="BX885" s="770" t="s">
        <v>4203</v>
      </c>
      <c r="BY885" s="138" t="str">
        <f t="shared" si="473"/>
        <v>ФР Verto-FIT.I.Жалюзі</v>
      </c>
      <c r="CA885" s="742" t="s">
        <v>3329</v>
      </c>
      <c r="CB885" s="137" t="s">
        <v>4307</v>
      </c>
      <c r="CC885" s="138" t="str">
        <f>CONCATENATE(CA885,".",CB885)</f>
        <v>ДП ЛАЙН.фальц,.робоча..Soft ст +3завіс</v>
      </c>
      <c r="DD885" s="165" t="s">
        <v>1241</v>
      </c>
      <c r="DE885" s="729">
        <v>9030</v>
      </c>
      <c r="DF885" s="528">
        <f t="shared" si="464"/>
        <v>9030</v>
      </c>
      <c r="DG885" s="523"/>
      <c r="DH885" s="530">
        <f t="shared" si="465"/>
        <v>9030</v>
      </c>
      <c r="DV885" s="738" t="s">
        <v>4775</v>
      </c>
      <c r="DW885" s="166">
        <v>550</v>
      </c>
      <c r="DX885" s="522">
        <f t="shared" si="471"/>
        <v>550</v>
      </c>
      <c r="DY885" s="523"/>
      <c r="DZ885" s="524">
        <f t="shared" si="472"/>
        <v>550</v>
      </c>
    </row>
    <row r="886" spans="75:130">
      <c r="BW886" s="250" t="s">
        <v>315</v>
      </c>
      <c r="BX886" s="770" t="s">
        <v>3851</v>
      </c>
      <c r="BY886" s="138" t="str">
        <f t="shared" si="473"/>
        <v>ФР Verto-FIT.I.Графіт</v>
      </c>
      <c r="CA886" s="742" t="s">
        <v>3329</v>
      </c>
      <c r="CB886" s="21"/>
      <c r="CC886" s="21"/>
      <c r="DD886" s="165" t="s">
        <v>1242</v>
      </c>
      <c r="DE886" s="166">
        <v>9030</v>
      </c>
      <c r="DF886" s="528">
        <f t="shared" si="464"/>
        <v>9030</v>
      </c>
      <c r="DG886" s="523"/>
      <c r="DH886" s="530">
        <f t="shared" si="465"/>
        <v>9030</v>
      </c>
      <c r="DV886" s="738" t="s">
        <v>4776</v>
      </c>
      <c r="DW886" s="166">
        <v>800</v>
      </c>
      <c r="DX886" s="522">
        <f>ROUND(((DW886-(DW886/6))/$DD$3)*$DE$3,2)</f>
        <v>800</v>
      </c>
      <c r="DY886" s="523"/>
      <c r="DZ886" s="524">
        <f>IF(DY886="",DX886,
IF(AND($DW$10&gt;=VLOOKUP(DY886,$DV$5:$DZ$9,2,0),$DW$10&lt;=VLOOKUP(DY886,$DV$5:$DZ$9,3,0)),
(DX886*(1-VLOOKUP(DY886,$DV$5:$DZ$9,4,0))),
DX886))</f>
        <v>800</v>
      </c>
    </row>
    <row r="887" spans="75:130">
      <c r="BW887" s="250" t="s">
        <v>315</v>
      </c>
      <c r="BX887" s="247" t="s">
        <v>832</v>
      </c>
      <c r="BY887" s="138" t="str">
        <f t="shared" si="473"/>
        <v>ФР Verto-FIT.I.Бронза</v>
      </c>
      <c r="CA887" s="742" t="s">
        <v>3329</v>
      </c>
      <c r="CB887" s="137" t="s">
        <v>4316</v>
      </c>
      <c r="CC887" s="138" t="str">
        <f>CONCATENATE(CA887,".",CB887)</f>
        <v>ДП ЛАЙН.фальц,.робоча..Magnet цл +3завіс</v>
      </c>
      <c r="DD887" s="165" t="s">
        <v>1243</v>
      </c>
      <c r="DE887" s="166">
        <v>9030</v>
      </c>
      <c r="DF887" s="528">
        <f t="shared" si="464"/>
        <v>9030</v>
      </c>
      <c r="DG887" s="523"/>
      <c r="DH887" s="530">
        <f t="shared" si="465"/>
        <v>9030</v>
      </c>
      <c r="DV887" s="739" t="s">
        <v>4777</v>
      </c>
      <c r="DW887" s="164">
        <v>800</v>
      </c>
      <c r="DX887" s="525">
        <f>ROUND(((DW887-(DW887/6))/$DD$3)*$DE$3,2)</f>
        <v>800</v>
      </c>
      <c r="DY887" s="526"/>
      <c r="DZ887" s="527">
        <f>IF(DY887="",DX887,
IF(AND($DW$10&gt;=VLOOKUP(DY887,$DV$5:$DZ$9,2,0),$DW$10&lt;=VLOOKUP(DY887,$DV$5:$DZ$9,3,0)),
(DX887*(1-VLOOKUP(DY887,$DV$5:$DZ$9,4,0))),
DX887))</f>
        <v>800</v>
      </c>
    </row>
    <row r="888" spans="75:130">
      <c r="BW888" s="250" t="s">
        <v>315</v>
      </c>
      <c r="BX888" s="770" t="s">
        <v>4220</v>
      </c>
      <c r="BY888" s="138" t="str">
        <f>CONCATENATE(BW888,".",BX888)</f>
        <v>ФР Verto-FIT.I.Малюнок</v>
      </c>
      <c r="CA888" s="424" t="s">
        <v>3329</v>
      </c>
      <c r="CB888" s="62" t="s">
        <v>4319</v>
      </c>
      <c r="CC888" s="139" t="str">
        <f>CONCATENATE(CA888,".",CB888)</f>
        <v>ДП ЛАЙН.фальц,.робоча..Magnet ст +3завіс</v>
      </c>
      <c r="DD888" s="165" t="s">
        <v>1250</v>
      </c>
      <c r="DE888" s="166">
        <v>9030</v>
      </c>
      <c r="DF888" s="528">
        <f t="shared" si="464"/>
        <v>9030</v>
      </c>
      <c r="DG888" s="523"/>
      <c r="DH888" s="530">
        <f t="shared" si="465"/>
        <v>9030</v>
      </c>
      <c r="DV888" s="738" t="s">
        <v>6426</v>
      </c>
      <c r="DW888" s="166">
        <v>1</v>
      </c>
      <c r="DX888" s="522">
        <f t="shared" si="471"/>
        <v>1</v>
      </c>
      <c r="DY888" s="523"/>
      <c r="DZ888" s="524">
        <f t="shared" si="472"/>
        <v>1</v>
      </c>
    </row>
    <row r="889" spans="75:130">
      <c r="BW889" s="249" t="s">
        <v>315</v>
      </c>
      <c r="BX889" s="782" t="s">
        <v>4251</v>
      </c>
      <c r="BY889" s="139" t="str">
        <f t="shared" si="473"/>
        <v>ФР Verto-FIT.I.Дзеркало</v>
      </c>
      <c r="CA889" s="746" t="s">
        <v>3330</v>
      </c>
      <c r="CB889" s="134" t="s">
        <v>4106</v>
      </c>
      <c r="CC889" s="135" t="str">
        <f>CONCATENATE(CA889,".",CB889)</f>
        <v>ДП ЛАЙН.фальц,.неробоча,.(ні)</v>
      </c>
      <c r="DD889" s="165" t="s">
        <v>1244</v>
      </c>
      <c r="DE889" s="166">
        <v>9030</v>
      </c>
      <c r="DF889" s="528">
        <f t="shared" si="464"/>
        <v>9030</v>
      </c>
      <c r="DG889" s="523"/>
      <c r="DH889" s="530">
        <f t="shared" si="465"/>
        <v>9030</v>
      </c>
      <c r="DV889" s="739" t="s">
        <v>6427</v>
      </c>
      <c r="DW889" s="164">
        <v>1</v>
      </c>
      <c r="DX889" s="525">
        <f t="shared" si="471"/>
        <v>1</v>
      </c>
      <c r="DY889" s="526"/>
      <c r="DZ889" s="527">
        <f t="shared" si="472"/>
        <v>1</v>
      </c>
    </row>
    <row r="890" spans="75:130">
      <c r="BW890" s="58"/>
      <c r="BX890" s="61"/>
      <c r="BY890" s="70"/>
      <c r="CA890" s="742" t="s">
        <v>3330</v>
      </c>
      <c r="CB890" s="21"/>
      <c r="CC890" s="21"/>
      <c r="DD890" s="165" t="s">
        <v>1249</v>
      </c>
      <c r="DE890" s="166">
        <v>9030</v>
      </c>
      <c r="DF890" s="528">
        <f t="shared" si="464"/>
        <v>9030</v>
      </c>
      <c r="DG890" s="523"/>
      <c r="DH890" s="530">
        <f t="shared" si="465"/>
        <v>9030</v>
      </c>
      <c r="DV890" s="737" t="s">
        <v>4778</v>
      </c>
      <c r="DW890" s="163">
        <v>0</v>
      </c>
      <c r="DX890" s="528">
        <f t="shared" si="471"/>
        <v>0</v>
      </c>
      <c r="DY890" s="529"/>
      <c r="DZ890" s="530">
        <f t="shared" si="472"/>
        <v>0</v>
      </c>
    </row>
    <row r="891" spans="75:130">
      <c r="BW891" s="565"/>
      <c r="BX891" s="568"/>
      <c r="BY891" s="562"/>
      <c r="CA891" s="742" t="s">
        <v>3330</v>
      </c>
      <c r="CB891" s="783" t="s">
        <v>4325</v>
      </c>
      <c r="CC891" s="138" t="str">
        <f>CONCATENATE(CA891,".",CB891)</f>
        <v>ДП ЛАЙН.фальц,.неробоча,.Пл Stand +3завіс</v>
      </c>
      <c r="DD891" s="165" t="s">
        <v>1248</v>
      </c>
      <c r="DE891" s="166">
        <v>9030</v>
      </c>
      <c r="DF891" s="528">
        <f t="shared" si="464"/>
        <v>9030</v>
      </c>
      <c r="DG891" s="523"/>
      <c r="DH891" s="530">
        <f t="shared" si="465"/>
        <v>9030</v>
      </c>
      <c r="DV891" s="738" t="s">
        <v>4779</v>
      </c>
      <c r="DW891" s="166">
        <v>0</v>
      </c>
      <c r="DX891" s="522">
        <f t="shared" si="471"/>
        <v>0</v>
      </c>
      <c r="DY891" s="523"/>
      <c r="DZ891" s="524">
        <f t="shared" si="472"/>
        <v>0</v>
      </c>
    </row>
    <row r="892" spans="75:130">
      <c r="CA892" s="742" t="s">
        <v>3330</v>
      </c>
      <c r="CB892" s="783" t="s">
        <v>4333</v>
      </c>
      <c r="CC892" s="138" t="str">
        <f>CONCATENATE(CA892,".",CB892)</f>
        <v>ДП ЛАЙН.фальц,.неробоча,.Пл Soft +3завіс</v>
      </c>
      <c r="DD892" s="165" t="s">
        <v>1245</v>
      </c>
      <c r="DE892" s="166">
        <v>9030</v>
      </c>
      <c r="DF892" s="528">
        <f t="shared" si="464"/>
        <v>9030</v>
      </c>
      <c r="DG892" s="523"/>
      <c r="DH892" s="530">
        <f t="shared" si="465"/>
        <v>9030</v>
      </c>
      <c r="DV892" s="739" t="s">
        <v>4780</v>
      </c>
      <c r="DW892" s="164">
        <v>0</v>
      </c>
      <c r="DX892" s="531">
        <f>ROUND(((DW892-(DW892/6))/$DD$3)*$DE$3,2)</f>
        <v>0</v>
      </c>
      <c r="DY892" s="526"/>
      <c r="DZ892" s="527">
        <f>IF(DY892="",DX892,
IF(AND($DW$10&gt;=VLOOKUP(DY892,$DV$5:$DZ$9,2,0),$DW$10&lt;=VLOOKUP(DY892,$DV$5:$DZ$9,3,0)),
(DX892*(1-VLOOKUP(DY892,$DV$5:$DZ$9,4,0))),
DX892))</f>
        <v>0</v>
      </c>
    </row>
    <row r="893" spans="75:130">
      <c r="CA893" s="742" t="s">
        <v>3330</v>
      </c>
      <c r="CB893" s="152" t="s">
        <v>4336</v>
      </c>
      <c r="CC893" s="138" t="str">
        <f>CONCATENATE(CA893,".",CB893)</f>
        <v>ДП ЛАЙН.фальц,.неробоча,.Пл Magnet +3завіс</v>
      </c>
      <c r="DD893" s="165" t="s">
        <v>1246</v>
      </c>
      <c r="DE893" s="166">
        <v>9030</v>
      </c>
      <c r="DF893" s="528">
        <f t="shared" si="464"/>
        <v>9030</v>
      </c>
      <c r="DG893" s="523"/>
      <c r="DH893" s="530">
        <f t="shared" si="465"/>
        <v>9030</v>
      </c>
      <c r="DV893" s="739" t="s">
        <v>6428</v>
      </c>
      <c r="DW893" s="164">
        <v>0</v>
      </c>
      <c r="DX893" s="531">
        <f t="shared" si="471"/>
        <v>0</v>
      </c>
      <c r="DY893" s="526"/>
      <c r="DZ893" s="527">
        <f t="shared" si="472"/>
        <v>0</v>
      </c>
    </row>
    <row r="894" spans="75:130">
      <c r="CA894" s="432"/>
      <c r="CB894" s="222"/>
      <c r="CC894" s="223"/>
      <c r="DD894" s="108" t="s">
        <v>1247</v>
      </c>
      <c r="DE894" s="164">
        <v>9030</v>
      </c>
      <c r="DF894" s="528">
        <f t="shared" si="464"/>
        <v>9030</v>
      </c>
      <c r="DG894" s="526"/>
      <c r="DH894" s="530">
        <f t="shared" si="465"/>
        <v>9030</v>
      </c>
      <c r="DV894" s="647"/>
      <c r="DW894" s="648"/>
      <c r="DX894" s="654"/>
      <c r="DY894" s="655"/>
      <c r="DZ894" s="656"/>
    </row>
    <row r="895" spans="75:130">
      <c r="CA895" s="742" t="s">
        <v>3331</v>
      </c>
      <c r="CB895" s="137" t="s">
        <v>4106</v>
      </c>
      <c r="CC895" s="138" t="str">
        <f>CONCATENATE(CA895,".",CB895)</f>
        <v>ДП Елегант.фальц.робоча.(ні)</v>
      </c>
      <c r="DD895" s="738" t="s">
        <v>5281</v>
      </c>
      <c r="DE895" s="729">
        <v>9450</v>
      </c>
      <c r="DF895" s="528">
        <f t="shared" si="464"/>
        <v>9450</v>
      </c>
      <c r="DG895" s="523"/>
      <c r="DH895" s="530">
        <f t="shared" si="465"/>
        <v>9450</v>
      </c>
      <c r="DV895" s="736" t="s">
        <v>4180</v>
      </c>
      <c r="DW895" s="105">
        <v>0</v>
      </c>
      <c r="DX895" s="403">
        <f t="shared" ref="DX895:DX911" si="474">ROUND(((DW895-(DW895/6))/$DD$3)*$DE$3,2)</f>
        <v>0</v>
      </c>
      <c r="DY895" s="514"/>
      <c r="DZ895" s="511">
        <f t="shared" ref="DZ895:DZ911" si="475">IF(DY895="",DX895,
IF(AND($DW$10&gt;=VLOOKUP(DY895,$DV$5:$DZ$9,2,0),$DW$10&lt;=VLOOKUP(DY895,$DV$5:$DZ$9,3,0)),
(DX895*(1-VLOOKUP(DY895,$DV$5:$DZ$9,4,0))),
DX895))</f>
        <v>0</v>
      </c>
    </row>
    <row r="896" spans="75:130">
      <c r="CA896" s="742" t="s">
        <v>3331</v>
      </c>
      <c r="CB896" s="21"/>
      <c r="CC896" s="21"/>
      <c r="DD896" s="738" t="s">
        <v>5282</v>
      </c>
      <c r="DE896" s="166">
        <v>9450</v>
      </c>
      <c r="DF896" s="528">
        <f t="shared" si="464"/>
        <v>9450</v>
      </c>
      <c r="DG896" s="523"/>
      <c r="DH896" s="530">
        <f t="shared" si="465"/>
        <v>9450</v>
      </c>
      <c r="DV896" s="737" t="s">
        <v>5928</v>
      </c>
      <c r="DW896" s="163">
        <v>0</v>
      </c>
      <c r="DX896" s="528">
        <f t="shared" si="474"/>
        <v>0</v>
      </c>
      <c r="DY896" s="529"/>
      <c r="DZ896" s="530">
        <f t="shared" si="475"/>
        <v>0</v>
      </c>
    </row>
    <row r="897" spans="79:130">
      <c r="CA897" s="742" t="s">
        <v>3331</v>
      </c>
      <c r="CB897" s="783" t="s">
        <v>5754</v>
      </c>
      <c r="CC897" s="138" t="str">
        <f t="shared" ref="CC897:CC902" si="476">CONCATENATE(CA897,".",CB897)</f>
        <v>ДП Елегант.фальц.робоча.Stand цл Лів +3завіс</v>
      </c>
      <c r="DD897" s="738" t="s">
        <v>5283</v>
      </c>
      <c r="DE897" s="166">
        <v>9450</v>
      </c>
      <c r="DF897" s="528">
        <f t="shared" si="464"/>
        <v>9450</v>
      </c>
      <c r="DG897" s="523"/>
      <c r="DH897" s="530">
        <f t="shared" si="465"/>
        <v>9450</v>
      </c>
      <c r="DV897" s="737" t="s">
        <v>5929</v>
      </c>
      <c r="DW897" s="166">
        <v>0</v>
      </c>
      <c r="DX897" s="522">
        <f>ROUND(((DW897-(DW897/6))/$DD$3)*$DE$3,2)</f>
        <v>0</v>
      </c>
      <c r="DY897" s="523"/>
      <c r="DZ897" s="524">
        <f>IF(DY897="",DX897,
IF(AND($DW$10&gt;=VLOOKUP(DY897,$DV$5:$DZ$9,2,0),$DW$10&lt;=VLOOKUP(DY897,$DV$5:$DZ$9,3,0)),
(DX897*(1-VLOOKUP(DY897,$DV$5:$DZ$9,4,0))),
DX897))</f>
        <v>0</v>
      </c>
    </row>
    <row r="898" spans="79:130">
      <c r="CA898" s="742" t="s">
        <v>3331</v>
      </c>
      <c r="CB898" s="783" t="s">
        <v>5755</v>
      </c>
      <c r="CC898" s="138" t="str">
        <f t="shared" si="476"/>
        <v>ДП Елегант.фальц.робоча.Stand цл Пр +3завіс</v>
      </c>
      <c r="DD898" s="738" t="s">
        <v>5284</v>
      </c>
      <c r="DE898" s="166">
        <v>9450</v>
      </c>
      <c r="DF898" s="528">
        <f t="shared" si="464"/>
        <v>9450</v>
      </c>
      <c r="DG898" s="523"/>
      <c r="DH898" s="530">
        <f t="shared" si="465"/>
        <v>9450</v>
      </c>
      <c r="DV898" s="738" t="s">
        <v>5930</v>
      </c>
      <c r="DW898" s="166">
        <v>0</v>
      </c>
      <c r="DX898" s="522">
        <f t="shared" si="474"/>
        <v>0</v>
      </c>
      <c r="DY898" s="523"/>
      <c r="DZ898" s="524">
        <f t="shared" si="475"/>
        <v>0</v>
      </c>
    </row>
    <row r="899" spans="79:130">
      <c r="CA899" s="742" t="s">
        <v>3331</v>
      </c>
      <c r="CB899" s="783" t="s">
        <v>5756</v>
      </c>
      <c r="CC899" s="138" t="str">
        <f t="shared" si="476"/>
        <v>ДП Елегант.фальц.робоча.Stand кл Лів +3завіс</v>
      </c>
      <c r="DD899" s="738" t="s">
        <v>5285</v>
      </c>
      <c r="DE899" s="166">
        <v>9450</v>
      </c>
      <c r="DF899" s="528">
        <f t="shared" si="464"/>
        <v>9450</v>
      </c>
      <c r="DG899" s="523"/>
      <c r="DH899" s="530">
        <f t="shared" si="465"/>
        <v>9450</v>
      </c>
      <c r="DV899" s="738" t="s">
        <v>5931</v>
      </c>
      <c r="DW899" s="166">
        <v>0</v>
      </c>
      <c r="DX899" s="522">
        <f>ROUND(((DW899-(DW899/6))/$DD$3)*$DE$3,2)</f>
        <v>0</v>
      </c>
      <c r="DY899" s="523"/>
      <c r="DZ899" s="524">
        <f>IF(DY899="",DX899,
IF(AND($DW$10&gt;=VLOOKUP(DY899,$DV$5:$DZ$9,2,0),$DW$10&lt;=VLOOKUP(DY899,$DV$5:$DZ$9,3,0)),
(DX899*(1-VLOOKUP(DY899,$DV$5:$DZ$9,4,0))),
DX899))</f>
        <v>0</v>
      </c>
    </row>
    <row r="900" spans="79:130">
      <c r="CA900" s="742" t="s">
        <v>3331</v>
      </c>
      <c r="CB900" s="783" t="s">
        <v>5757</v>
      </c>
      <c r="CC900" s="138" t="str">
        <f t="shared" si="476"/>
        <v>ДП Елегант.фальц.робоча.Stand кл Пр +3завіс</v>
      </c>
      <c r="DD900" s="738" t="s">
        <v>5286</v>
      </c>
      <c r="DE900" s="166">
        <v>9450</v>
      </c>
      <c r="DF900" s="528">
        <f t="shared" si="464"/>
        <v>9450</v>
      </c>
      <c r="DG900" s="523"/>
      <c r="DH900" s="530">
        <f t="shared" si="465"/>
        <v>9450</v>
      </c>
      <c r="DV900" s="738" t="s">
        <v>5932</v>
      </c>
      <c r="DW900" s="166">
        <v>0</v>
      </c>
      <c r="DX900" s="522">
        <f t="shared" si="474"/>
        <v>0</v>
      </c>
      <c r="DY900" s="523"/>
      <c r="DZ900" s="524">
        <f t="shared" si="475"/>
        <v>0</v>
      </c>
    </row>
    <row r="901" spans="79:130">
      <c r="CA901" s="742" t="s">
        <v>3331</v>
      </c>
      <c r="CB901" s="783" t="s">
        <v>5758</v>
      </c>
      <c r="CC901" s="138" t="str">
        <f t="shared" si="476"/>
        <v>ДП Елегант.фальц.робоча.Stand ст Лів +3завіс</v>
      </c>
      <c r="DD901" s="738" t="s">
        <v>5287</v>
      </c>
      <c r="DE901" s="166">
        <v>9450</v>
      </c>
      <c r="DF901" s="528">
        <f t="shared" si="464"/>
        <v>9450</v>
      </c>
      <c r="DG901" s="523"/>
      <c r="DH901" s="530">
        <f t="shared" si="465"/>
        <v>9450</v>
      </c>
      <c r="DV901" s="738" t="s">
        <v>5933</v>
      </c>
      <c r="DW901" s="166">
        <v>0</v>
      </c>
      <c r="DX901" s="522">
        <f>ROUND(((DW901-(DW901/6))/$DD$3)*$DE$3,2)</f>
        <v>0</v>
      </c>
      <c r="DY901" s="523"/>
      <c r="DZ901" s="524">
        <f>IF(DY901="",DX901,
IF(AND($DW$10&gt;=VLOOKUP(DY901,$DV$5:$DZ$9,2,0),$DW$10&lt;=VLOOKUP(DY901,$DV$5:$DZ$9,3,0)),
(DX901*(1-VLOOKUP(DY901,$DV$5:$DZ$9,4,0))),
DX901))</f>
        <v>0</v>
      </c>
    </row>
    <row r="902" spans="79:130">
      <c r="CA902" s="742" t="s">
        <v>3331</v>
      </c>
      <c r="CB902" s="783" t="s">
        <v>5759</v>
      </c>
      <c r="CC902" s="138" t="str">
        <f t="shared" si="476"/>
        <v>ДП Елегант.фальц.робоча.Stand ст Пр +3завіс</v>
      </c>
      <c r="DD902" s="738" t="s">
        <v>5288</v>
      </c>
      <c r="DE902" s="166">
        <v>9450</v>
      </c>
      <c r="DF902" s="528">
        <f t="shared" si="464"/>
        <v>9450</v>
      </c>
      <c r="DG902" s="523"/>
      <c r="DH902" s="530">
        <f t="shared" si="465"/>
        <v>9450</v>
      </c>
      <c r="DV902" s="738" t="s">
        <v>4781</v>
      </c>
      <c r="DW902" s="166">
        <v>550</v>
      </c>
      <c r="DX902" s="522">
        <f t="shared" si="474"/>
        <v>550</v>
      </c>
      <c r="DY902" s="523"/>
      <c r="DZ902" s="524">
        <f t="shared" si="475"/>
        <v>550</v>
      </c>
    </row>
    <row r="903" spans="79:130">
      <c r="CA903" s="742" t="s">
        <v>3331</v>
      </c>
      <c r="CC903" s="138"/>
      <c r="DD903" s="738" t="s">
        <v>5289</v>
      </c>
      <c r="DE903" s="166">
        <v>9450</v>
      </c>
      <c r="DF903" s="528">
        <f t="shared" si="464"/>
        <v>9450</v>
      </c>
      <c r="DG903" s="523"/>
      <c r="DH903" s="530">
        <f t="shared" si="465"/>
        <v>9450</v>
      </c>
      <c r="DV903" s="738" t="s">
        <v>4782</v>
      </c>
      <c r="DW903" s="166">
        <v>550</v>
      </c>
      <c r="DX903" s="522">
        <f t="shared" si="474"/>
        <v>550</v>
      </c>
      <c r="DY903" s="523"/>
      <c r="DZ903" s="524">
        <f t="shared" si="475"/>
        <v>550</v>
      </c>
    </row>
    <row r="904" spans="79:130">
      <c r="CA904" s="742" t="s">
        <v>3331</v>
      </c>
      <c r="CB904" s="137" t="s">
        <v>4304</v>
      </c>
      <c r="CC904" s="138" t="str">
        <f>CONCATENATE(CA904,".",CB904)</f>
        <v>ДП Елегант.фальц.робоча.Soft цл +3завіс</v>
      </c>
      <c r="DD904" s="739" t="s">
        <v>5290</v>
      </c>
      <c r="DE904" s="164">
        <v>9450</v>
      </c>
      <c r="DF904" s="528">
        <f t="shared" si="464"/>
        <v>9450</v>
      </c>
      <c r="DG904" s="523"/>
      <c r="DH904" s="530">
        <f t="shared" si="465"/>
        <v>9450</v>
      </c>
      <c r="DV904" s="738" t="s">
        <v>4783</v>
      </c>
      <c r="DW904" s="166">
        <v>800</v>
      </c>
      <c r="DX904" s="522">
        <f>ROUND(((DW904-(DW904/6))/$DD$3)*$DE$3,2)</f>
        <v>800</v>
      </c>
      <c r="DY904" s="523"/>
      <c r="DZ904" s="524">
        <f>IF(DY904="",DX904,
IF(AND($DW$10&gt;=VLOOKUP(DY904,$DV$5:$DZ$9,2,0),$DW$10&lt;=VLOOKUP(DY904,$DV$5:$DZ$9,3,0)),
(DX904*(1-VLOOKUP(DY904,$DV$5:$DZ$9,4,0))),
DX904))</f>
        <v>800</v>
      </c>
    </row>
    <row r="905" spans="79:130">
      <c r="CA905" s="742" t="s">
        <v>3331</v>
      </c>
      <c r="CB905" s="137" t="s">
        <v>4307</v>
      </c>
      <c r="CC905" s="138" t="str">
        <f>CONCATENATE(CA905,".",CB905)</f>
        <v>ДП Елегант.фальц.робоча.Soft ст +3завіс</v>
      </c>
      <c r="DD905" s="641"/>
      <c r="DE905" s="642"/>
      <c r="DF905" s="643"/>
      <c r="DG905" s="644"/>
      <c r="DH905" s="645"/>
      <c r="DV905" s="739" t="s">
        <v>4784</v>
      </c>
      <c r="DW905" s="164">
        <v>800</v>
      </c>
      <c r="DX905" s="525">
        <f>ROUND(((DW905-(DW905/6))/$DD$3)*$DE$3,2)</f>
        <v>800</v>
      </c>
      <c r="DY905" s="526"/>
      <c r="DZ905" s="527">
        <f>IF(DY905="",DX905,
IF(AND($DW$10&gt;=VLOOKUP(DY905,$DV$5:$DZ$9,2,0),$DW$10&lt;=VLOOKUP(DY905,$DV$5:$DZ$9,3,0)),
(DX905*(1-VLOOKUP(DY905,$DV$5:$DZ$9,4,0))),
DX905))</f>
        <v>800</v>
      </c>
    </row>
    <row r="906" spans="79:130">
      <c r="CA906" s="742" t="s">
        <v>3331</v>
      </c>
      <c r="CB906" s="21"/>
      <c r="CC906" s="21"/>
      <c r="DD906" s="162" t="s">
        <v>1251</v>
      </c>
      <c r="DE906" s="163">
        <v>6320</v>
      </c>
      <c r="DF906" s="528">
        <f>ROUND(((DE906-(DE906/6))/$DD$3)*$DE$3,2)</f>
        <v>6320</v>
      </c>
      <c r="DG906" s="529"/>
      <c r="DH906" s="530">
        <f t="shared" ref="DH906:DH945" si="477">IF(DG906="",DF906,
IF(AND($DE$10&gt;=VLOOKUP(DG906,$DD$5:$DH$9,2,0),$DE$10&lt;=VLOOKUP(DG906,$DD$5:$DH$9,3,0)),
(DF906*(1-VLOOKUP(DG906,$DD$5:$DH$9,4,0))),
DF906))</f>
        <v>6320</v>
      </c>
      <c r="DV906" s="738" t="s">
        <v>6429</v>
      </c>
      <c r="DW906" s="166">
        <v>800</v>
      </c>
      <c r="DX906" s="522">
        <f t="shared" si="474"/>
        <v>800</v>
      </c>
      <c r="DY906" s="523"/>
      <c r="DZ906" s="524">
        <f t="shared" si="475"/>
        <v>800</v>
      </c>
    </row>
    <row r="907" spans="79:130">
      <c r="CA907" s="742" t="s">
        <v>3331</v>
      </c>
      <c r="CB907" s="137" t="s">
        <v>4316</v>
      </c>
      <c r="CC907" s="138" t="str">
        <f>CONCATENATE(CA907,".",CB907)</f>
        <v>ДП Елегант.фальц.робоча.Magnet цл +3завіс</v>
      </c>
      <c r="DD907" s="165" t="s">
        <v>1252</v>
      </c>
      <c r="DE907" s="166">
        <v>6320</v>
      </c>
      <c r="DF907" s="522">
        <f t="shared" ref="DF907:DF913" si="478">ROUND(((DE907-(DE907/6))/$DD$3)*$DE$3,2)</f>
        <v>6320</v>
      </c>
      <c r="DG907" s="523"/>
      <c r="DH907" s="524">
        <f t="shared" si="477"/>
        <v>6320</v>
      </c>
      <c r="DV907" s="739" t="s">
        <v>6430</v>
      </c>
      <c r="DW907" s="164">
        <v>800</v>
      </c>
      <c r="DX907" s="525">
        <f t="shared" si="474"/>
        <v>800</v>
      </c>
      <c r="DY907" s="526"/>
      <c r="DZ907" s="527">
        <f t="shared" si="475"/>
        <v>800</v>
      </c>
    </row>
    <row r="908" spans="79:130">
      <c r="CA908" s="424" t="s">
        <v>3331</v>
      </c>
      <c r="CB908" s="62" t="s">
        <v>4319</v>
      </c>
      <c r="CC908" s="139" t="str">
        <f>CONCATENATE(CA908,".",CB908)</f>
        <v>ДП Елегант.фальц.робоча.Magnet ст +3завіс</v>
      </c>
      <c r="DD908" s="165" t="s">
        <v>1253</v>
      </c>
      <c r="DE908" s="166">
        <v>7440</v>
      </c>
      <c r="DF908" s="522">
        <f t="shared" si="478"/>
        <v>7440</v>
      </c>
      <c r="DG908" s="523"/>
      <c r="DH908" s="524">
        <f t="shared" si="477"/>
        <v>7440</v>
      </c>
      <c r="DV908" s="737" t="s">
        <v>4785</v>
      </c>
      <c r="DW908" s="163">
        <v>0</v>
      </c>
      <c r="DX908" s="528">
        <f t="shared" si="474"/>
        <v>0</v>
      </c>
      <c r="DY908" s="529"/>
      <c r="DZ908" s="530">
        <f t="shared" si="475"/>
        <v>0</v>
      </c>
    </row>
    <row r="909" spans="79:130">
      <c r="CA909" s="746" t="s">
        <v>3332</v>
      </c>
      <c r="CB909" s="134" t="s">
        <v>4106</v>
      </c>
      <c r="CC909" s="135" t="str">
        <f>CONCATENATE(CA909,".",CB909)</f>
        <v>ДП Елегант.фальц.неробоча.(ні)</v>
      </c>
      <c r="DD909" s="165" t="s">
        <v>1254</v>
      </c>
      <c r="DE909" s="166">
        <v>7440</v>
      </c>
      <c r="DF909" s="522">
        <f t="shared" si="478"/>
        <v>7440</v>
      </c>
      <c r="DG909" s="523"/>
      <c r="DH909" s="524">
        <f t="shared" si="477"/>
        <v>7440</v>
      </c>
      <c r="DV909" s="738" t="s">
        <v>4786</v>
      </c>
      <c r="DW909" s="166">
        <v>0</v>
      </c>
      <c r="DX909" s="522">
        <f t="shared" si="474"/>
        <v>0</v>
      </c>
      <c r="DY909" s="523"/>
      <c r="DZ909" s="524">
        <f t="shared" si="475"/>
        <v>0</v>
      </c>
    </row>
    <row r="910" spans="79:130">
      <c r="CA910" s="742" t="s">
        <v>3332</v>
      </c>
      <c r="CB910" s="21"/>
      <c r="CC910" s="21"/>
      <c r="DD910" s="165" t="s">
        <v>1255</v>
      </c>
      <c r="DE910" s="166">
        <v>7440</v>
      </c>
      <c r="DF910" s="522">
        <f t="shared" si="478"/>
        <v>7440</v>
      </c>
      <c r="DG910" s="523"/>
      <c r="DH910" s="524">
        <f t="shared" si="477"/>
        <v>7440</v>
      </c>
      <c r="DV910" s="739" t="s">
        <v>4787</v>
      </c>
      <c r="DW910" s="164">
        <v>0</v>
      </c>
      <c r="DX910" s="531">
        <f>ROUND(((DW910-(DW910/6))/$DD$3)*$DE$3,2)</f>
        <v>0</v>
      </c>
      <c r="DY910" s="526"/>
      <c r="DZ910" s="527">
        <f>IF(DY910="",DX910,
IF(AND($DW$10&gt;=VLOOKUP(DY910,$DV$5:$DZ$9,2,0),$DW$10&lt;=VLOOKUP(DY910,$DV$5:$DZ$9,3,0)),
(DX910*(1-VLOOKUP(DY910,$DV$5:$DZ$9,4,0))),
DX910))</f>
        <v>0</v>
      </c>
    </row>
    <row r="911" spans="79:130">
      <c r="CA911" s="742" t="s">
        <v>3332</v>
      </c>
      <c r="CB911" s="783" t="s">
        <v>4325</v>
      </c>
      <c r="CC911" s="138" t="str">
        <f>CONCATENATE(CA911,".",CB911)</f>
        <v>ДП Елегант.фальц.неробоча.Пл Stand +3завіс</v>
      </c>
      <c r="DD911" s="165" t="s">
        <v>1256</v>
      </c>
      <c r="DE911" s="166">
        <v>7440</v>
      </c>
      <c r="DF911" s="522">
        <f t="shared" si="478"/>
        <v>7440</v>
      </c>
      <c r="DG911" s="523"/>
      <c r="DH911" s="524">
        <f t="shared" si="477"/>
        <v>7440</v>
      </c>
      <c r="DV911" s="739" t="s">
        <v>6431</v>
      </c>
      <c r="DW911" s="164">
        <v>0</v>
      </c>
      <c r="DX911" s="531">
        <f t="shared" si="474"/>
        <v>0</v>
      </c>
      <c r="DY911" s="526"/>
      <c r="DZ911" s="527">
        <f t="shared" si="475"/>
        <v>0</v>
      </c>
    </row>
    <row r="912" spans="79:130">
      <c r="CA912" s="742" t="s">
        <v>3332</v>
      </c>
      <c r="CB912" s="783" t="s">
        <v>4333</v>
      </c>
      <c r="CC912" s="138" t="str">
        <f>CONCATENATE(CA912,".",CB912)</f>
        <v>ДП Елегант.фальц.неробоча.Пл Soft +3завіс</v>
      </c>
      <c r="DD912" s="165" t="s">
        <v>1257</v>
      </c>
      <c r="DE912" s="166">
        <v>7440</v>
      </c>
      <c r="DF912" s="522">
        <f t="shared" si="478"/>
        <v>7440</v>
      </c>
      <c r="DG912" s="523"/>
      <c r="DH912" s="524">
        <f t="shared" si="477"/>
        <v>7440</v>
      </c>
      <c r="DV912" s="647"/>
      <c r="DW912" s="648"/>
      <c r="DX912" s="654"/>
      <c r="DY912" s="655"/>
      <c r="DZ912" s="656"/>
    </row>
    <row r="913" spans="79:130">
      <c r="CA913" s="742" t="s">
        <v>3332</v>
      </c>
      <c r="CB913" s="152" t="s">
        <v>4336</v>
      </c>
      <c r="CC913" s="138" t="str">
        <f>CONCATENATE(CA913,".",CB913)</f>
        <v>ДП Елегант.фальц.неробоча.Пл Magnet +3завіс</v>
      </c>
      <c r="DD913" s="108" t="s">
        <v>1258</v>
      </c>
      <c r="DE913" s="164">
        <v>7440</v>
      </c>
      <c r="DF913" s="531">
        <f t="shared" si="478"/>
        <v>7440</v>
      </c>
      <c r="DG913" s="526"/>
      <c r="DH913" s="527">
        <f t="shared" si="477"/>
        <v>7440</v>
      </c>
      <c r="DV913" s="736" t="s">
        <v>4182</v>
      </c>
      <c r="DW913" s="105">
        <v>0</v>
      </c>
      <c r="DX913" s="403">
        <f t="shared" ref="DX913:DX920" si="479">ROUND(((DW913-(DW913/6))/$DD$3)*$DE$3,2)</f>
        <v>0</v>
      </c>
      <c r="DY913" s="514"/>
      <c r="DZ913" s="511">
        <f t="shared" ref="DZ913:DZ920" si="480">IF(DY913="",DX913,
IF(AND($DW$10&gt;=VLOOKUP(DY913,$DV$5:$DZ$9,2,0),$DW$10&lt;=VLOOKUP(DY913,$DV$5:$DZ$9,3,0)),
(DX913*(1-VLOOKUP(DY913,$DV$5:$DZ$9,4,0))),
DX913))</f>
        <v>0</v>
      </c>
    </row>
    <row r="914" spans="79:130">
      <c r="CA914" s="175"/>
      <c r="CB914" s="175"/>
      <c r="CC914" s="175"/>
      <c r="DD914" s="162" t="s">
        <v>2001</v>
      </c>
      <c r="DE914" s="163">
        <v>7080</v>
      </c>
      <c r="DF914" s="528">
        <f>ROUND(((DE914-(DE914/6))/$DD$3)*$DE$3,2)</f>
        <v>7080</v>
      </c>
      <c r="DG914" s="529"/>
      <c r="DH914" s="530">
        <f t="shared" ref="DH914:DH921" si="481">IF(DG914="",DF914,
IF(AND($DE$10&gt;=VLOOKUP(DG914,$DD$5:$DH$9,2,0),$DE$10&lt;=VLOOKUP(DG914,$DD$5:$DH$9,3,0)),
(DF914*(1-VLOOKUP(DG914,$DD$5:$DH$9,4,0))),
DF914))</f>
        <v>7080</v>
      </c>
      <c r="DV914" s="736" t="s">
        <v>4788</v>
      </c>
      <c r="DW914" s="105">
        <v>0</v>
      </c>
      <c r="DX914" s="657">
        <f t="shared" si="479"/>
        <v>0</v>
      </c>
      <c r="DY914" s="514"/>
      <c r="DZ914" s="511">
        <f t="shared" si="480"/>
        <v>0</v>
      </c>
    </row>
    <row r="915" spans="79:130">
      <c r="CA915" s="742" t="s">
        <v>4085</v>
      </c>
      <c r="CB915" s="137" t="s">
        <v>4106</v>
      </c>
      <c r="CC915" s="138" t="str">
        <f>CONCATENATE(CA915,".",CB915)</f>
        <v>ДП ГЛАСФОРД.Скло.робоча..(ні)</v>
      </c>
      <c r="DD915" s="165" t="s">
        <v>2002</v>
      </c>
      <c r="DE915" s="166">
        <v>7080</v>
      </c>
      <c r="DF915" s="522">
        <f t="shared" ref="DF915:DF921" si="482">ROUND(((DE915-(DE915/6))/$DD$3)*$DE$3,2)</f>
        <v>7080</v>
      </c>
      <c r="DG915" s="523"/>
      <c r="DH915" s="524">
        <f t="shared" si="481"/>
        <v>7080</v>
      </c>
      <c r="DV915" s="738" t="s">
        <v>4789</v>
      </c>
      <c r="DW915" s="166">
        <v>1240.0000000000002</v>
      </c>
      <c r="DX915" s="522">
        <f t="shared" si="479"/>
        <v>1240</v>
      </c>
      <c r="DY915" s="523"/>
      <c r="DZ915" s="524">
        <f t="shared" si="480"/>
        <v>1240</v>
      </c>
    </row>
    <row r="916" spans="79:130">
      <c r="CA916" s="742" t="s">
        <v>4085</v>
      </c>
      <c r="CB916" s="137" t="s">
        <v>4358</v>
      </c>
      <c r="CC916" s="138" t="str">
        <f>CONCATENATE(CA916,".",CB916)</f>
        <v>ДП ГЛАСФОРД.Скло.робоча..Glass +2завіс</v>
      </c>
      <c r="DD916" s="165" t="s">
        <v>2003</v>
      </c>
      <c r="DE916" s="166">
        <v>8340</v>
      </c>
      <c r="DF916" s="522">
        <f t="shared" si="482"/>
        <v>8340</v>
      </c>
      <c r="DG916" s="523"/>
      <c r="DH916" s="524">
        <f t="shared" si="481"/>
        <v>8340</v>
      </c>
      <c r="DV916" s="738" t="s">
        <v>4790</v>
      </c>
      <c r="DW916" s="166">
        <v>1240.0000000000002</v>
      </c>
      <c r="DX916" s="522">
        <f t="shared" si="479"/>
        <v>1240</v>
      </c>
      <c r="DY916" s="523"/>
      <c r="DZ916" s="524">
        <f t="shared" si="480"/>
        <v>1240</v>
      </c>
    </row>
    <row r="917" spans="79:130">
      <c r="CA917" s="742" t="s">
        <v>4085</v>
      </c>
      <c r="CB917" s="137"/>
      <c r="CC917" s="138"/>
      <c r="DD917" s="165" t="s">
        <v>2004</v>
      </c>
      <c r="DE917" s="166">
        <v>8340</v>
      </c>
      <c r="DF917" s="522">
        <f t="shared" si="482"/>
        <v>8340</v>
      </c>
      <c r="DG917" s="523"/>
      <c r="DH917" s="524">
        <f t="shared" si="481"/>
        <v>8340</v>
      </c>
      <c r="DV917" s="739" t="s">
        <v>5643</v>
      </c>
      <c r="DW917" s="164">
        <v>2940</v>
      </c>
      <c r="DX917" s="525">
        <f t="shared" si="479"/>
        <v>2940</v>
      </c>
      <c r="DY917" s="526"/>
      <c r="DZ917" s="527">
        <f t="shared" si="480"/>
        <v>2940</v>
      </c>
    </row>
    <row r="918" spans="79:130">
      <c r="CA918" s="742" t="s">
        <v>4085</v>
      </c>
      <c r="CB918" s="137" t="s">
        <v>4361</v>
      </c>
      <c r="CC918" s="138" t="str">
        <f>CONCATENATE(CA918,".",CB918)</f>
        <v>ДП ГЛАСФОРД.Скло.робоча..Glass кл +2завіс</v>
      </c>
      <c r="DD918" s="165" t="s">
        <v>2005</v>
      </c>
      <c r="DE918" s="166">
        <v>8340</v>
      </c>
      <c r="DF918" s="522">
        <f t="shared" si="482"/>
        <v>8340</v>
      </c>
      <c r="DG918" s="523"/>
      <c r="DH918" s="524">
        <f t="shared" si="481"/>
        <v>8340</v>
      </c>
      <c r="DV918" s="739" t="s">
        <v>5644</v>
      </c>
      <c r="DW918" s="164">
        <v>2940</v>
      </c>
      <c r="DX918" s="525">
        <f t="shared" si="479"/>
        <v>2940</v>
      </c>
      <c r="DY918" s="526"/>
      <c r="DZ918" s="527">
        <f t="shared" si="480"/>
        <v>2940</v>
      </c>
    </row>
    <row r="919" spans="79:130">
      <c r="CA919" s="742" t="s">
        <v>4085</v>
      </c>
      <c r="CB919" s="137" t="s">
        <v>4364</v>
      </c>
      <c r="CC919" s="138" t="str">
        <f>CONCATENATE(CA919,".",CB919)</f>
        <v>ДП ГЛАСФОРД.Скло.робоча..Glass цл +2завіс</v>
      </c>
      <c r="DD919" s="165" t="s">
        <v>2006</v>
      </c>
      <c r="DE919" s="166">
        <v>8340</v>
      </c>
      <c r="DF919" s="522">
        <f t="shared" si="482"/>
        <v>8340</v>
      </c>
      <c r="DG919" s="523"/>
      <c r="DH919" s="524">
        <f t="shared" si="481"/>
        <v>8340</v>
      </c>
      <c r="DV919" s="739" t="s">
        <v>5645</v>
      </c>
      <c r="DW919" s="164">
        <v>2940</v>
      </c>
      <c r="DX919" s="525">
        <f t="shared" si="479"/>
        <v>2940</v>
      </c>
      <c r="DY919" s="526"/>
      <c r="DZ919" s="527">
        <f t="shared" si="480"/>
        <v>2940</v>
      </c>
    </row>
    <row r="920" spans="79:130">
      <c r="CA920" s="742" t="s">
        <v>4085</v>
      </c>
      <c r="CB920" s="137"/>
      <c r="CC920" s="138"/>
      <c r="DD920" s="165" t="s">
        <v>2007</v>
      </c>
      <c r="DE920" s="166">
        <v>8340</v>
      </c>
      <c r="DF920" s="522">
        <f t="shared" si="482"/>
        <v>8340</v>
      </c>
      <c r="DG920" s="523"/>
      <c r="DH920" s="524">
        <f t="shared" si="481"/>
        <v>8340</v>
      </c>
      <c r="DV920" s="739" t="s">
        <v>5646</v>
      </c>
      <c r="DW920" s="164">
        <v>2940</v>
      </c>
      <c r="DX920" s="525">
        <f t="shared" si="479"/>
        <v>2940</v>
      </c>
      <c r="DY920" s="526"/>
      <c r="DZ920" s="527">
        <f t="shared" si="480"/>
        <v>2940</v>
      </c>
    </row>
    <row r="921" spans="79:130">
      <c r="CA921" s="424" t="s">
        <v>4085</v>
      </c>
      <c r="CB921" s="62" t="s">
        <v>5639</v>
      </c>
      <c r="CC921" s="139" t="str">
        <f>CONCATENATE(CA921,".",CB921)</f>
        <v>ДП ГЛАСФОРД.Скло.робоча..Glass ст зов Пр +2завіс</v>
      </c>
      <c r="DD921" s="108" t="s">
        <v>2008</v>
      </c>
      <c r="DE921" s="164">
        <v>8340</v>
      </c>
      <c r="DF921" s="531">
        <f t="shared" si="482"/>
        <v>8340</v>
      </c>
      <c r="DG921" s="526"/>
      <c r="DH921" s="527">
        <f t="shared" si="481"/>
        <v>8340</v>
      </c>
      <c r="DV921" s="647"/>
      <c r="DW921" s="648"/>
      <c r="DX921" s="654"/>
      <c r="DY921" s="655"/>
      <c r="DZ921" s="656"/>
    </row>
    <row r="922" spans="79:130">
      <c r="CA922" s="424" t="s">
        <v>4085</v>
      </c>
      <c r="CB922" s="62" t="s">
        <v>5640</v>
      </c>
      <c r="CC922" s="139" t="str">
        <f>CONCATENATE(CA922,".",CB922)</f>
        <v>ДП ГЛАСФОРД.Скло.робоча..Glass ст зов Лів +2завіс</v>
      </c>
      <c r="DD922" s="165" t="s">
        <v>1259</v>
      </c>
      <c r="DE922" s="166">
        <v>7380</v>
      </c>
      <c r="DF922" s="522">
        <f t="shared" ref="DF922:DF945" si="483">ROUND(((DE922-(DE922/6))/$DD$3)*$DE$3,2)</f>
        <v>7380</v>
      </c>
      <c r="DG922" s="523"/>
      <c r="DH922" s="524">
        <f t="shared" si="477"/>
        <v>7380</v>
      </c>
      <c r="DV922" s="736" t="s">
        <v>4184</v>
      </c>
      <c r="DW922" s="105">
        <v>0</v>
      </c>
      <c r="DX922" s="403">
        <f t="shared" ref="DX922:DX930" si="484">ROUND(((DW922-(DW922/6))/$DD$3)*$DE$3,2)</f>
        <v>0</v>
      </c>
      <c r="DY922" s="514"/>
      <c r="DZ922" s="511">
        <f t="shared" ref="DZ922:DZ930" si="485">IF(DY922="",DX922,
IF(AND($DW$10&gt;=VLOOKUP(DY922,$DV$5:$DZ$9,2,0),$DW$10&lt;=VLOOKUP(DY922,$DV$5:$DZ$9,3,0)),
(DX922*(1-VLOOKUP(DY922,$DV$5:$DZ$9,4,0))),
DX922))</f>
        <v>0</v>
      </c>
    </row>
    <row r="923" spans="79:130">
      <c r="CA923" s="424" t="s">
        <v>4085</v>
      </c>
      <c r="CB923" s="62" t="s">
        <v>5641</v>
      </c>
      <c r="CC923" s="139" t="str">
        <f>CONCATENATE(CA923,".",CB923)</f>
        <v>ДП ГЛАСФОРД.Скло.робоча..Glass ст вн Пр +2завіс</v>
      </c>
      <c r="DD923" s="165" t="s">
        <v>1260</v>
      </c>
      <c r="DE923" s="166">
        <v>7380</v>
      </c>
      <c r="DF923" s="522">
        <f t="shared" si="483"/>
        <v>7380</v>
      </c>
      <c r="DG923" s="523"/>
      <c r="DH923" s="524">
        <f t="shared" si="477"/>
        <v>7380</v>
      </c>
      <c r="DV923" s="737" t="s">
        <v>4791</v>
      </c>
      <c r="DW923" s="163">
        <v>0</v>
      </c>
      <c r="DX923" s="528">
        <f t="shared" si="484"/>
        <v>0</v>
      </c>
      <c r="DY923" s="529"/>
      <c r="DZ923" s="530">
        <f t="shared" si="485"/>
        <v>0</v>
      </c>
    </row>
    <row r="924" spans="79:130">
      <c r="CA924" s="424" t="s">
        <v>4085</v>
      </c>
      <c r="CB924" s="62" t="s">
        <v>5642</v>
      </c>
      <c r="CC924" s="139" t="str">
        <f>CONCATENATE(CA924,".",CB924)</f>
        <v>ДП ГЛАСФОРД.Скло.робоча..Glass ст вн Лів +2завіс</v>
      </c>
      <c r="DD924" s="165" t="s">
        <v>1261</v>
      </c>
      <c r="DE924" s="166">
        <v>8700</v>
      </c>
      <c r="DF924" s="522">
        <f t="shared" si="483"/>
        <v>8700</v>
      </c>
      <c r="DG924" s="523"/>
      <c r="DH924" s="524">
        <f t="shared" si="477"/>
        <v>8700</v>
      </c>
      <c r="DV924" s="738" t="s">
        <v>4792</v>
      </c>
      <c r="DW924" s="166">
        <v>0</v>
      </c>
      <c r="DX924" s="522">
        <f t="shared" si="484"/>
        <v>0</v>
      </c>
      <c r="DY924" s="523"/>
      <c r="DZ924" s="524">
        <f t="shared" si="485"/>
        <v>0</v>
      </c>
    </row>
    <row r="925" spans="79:130">
      <c r="CA925" s="424"/>
      <c r="CB925" s="62"/>
      <c r="CC925" s="139"/>
      <c r="DD925" s="165" t="s">
        <v>1262</v>
      </c>
      <c r="DE925" s="166">
        <v>8700</v>
      </c>
      <c r="DF925" s="522">
        <f t="shared" si="483"/>
        <v>8700</v>
      </c>
      <c r="DG925" s="523"/>
      <c r="DH925" s="524">
        <f t="shared" si="477"/>
        <v>8700</v>
      </c>
      <c r="DV925" s="739" t="s">
        <v>4793</v>
      </c>
      <c r="DW925" s="164">
        <v>0</v>
      </c>
      <c r="DX925" s="525">
        <f>ROUND(((DW925-(DW925/6))/$DD$3)*$DE$3,2)</f>
        <v>0</v>
      </c>
      <c r="DY925" s="526"/>
      <c r="DZ925" s="527">
        <f t="shared" si="485"/>
        <v>0</v>
      </c>
    </row>
    <row r="926" spans="79:130">
      <c r="CA926" s="426"/>
      <c r="CB926" s="427"/>
      <c r="CC926" s="428"/>
      <c r="DD926" s="165" t="s">
        <v>1263</v>
      </c>
      <c r="DE926" s="166">
        <v>8700</v>
      </c>
      <c r="DF926" s="522">
        <f t="shared" si="483"/>
        <v>8700</v>
      </c>
      <c r="DG926" s="523"/>
      <c r="DH926" s="524">
        <f t="shared" si="477"/>
        <v>8700</v>
      </c>
      <c r="DV926" s="739" t="s">
        <v>6432</v>
      </c>
      <c r="DW926" s="164">
        <v>0</v>
      </c>
      <c r="DX926" s="525">
        <f t="shared" si="484"/>
        <v>0</v>
      </c>
      <c r="DY926" s="526"/>
      <c r="DZ926" s="527">
        <f t="shared" si="485"/>
        <v>0</v>
      </c>
    </row>
    <row r="927" spans="79:130">
      <c r="CA927" s="742" t="s">
        <v>3333</v>
      </c>
      <c r="CB927" s="137" t="s">
        <v>4106</v>
      </c>
      <c r="CC927" s="138" t="str">
        <f>CONCATENATE(CA927,".",CB927)</f>
        <v>ДП Добір.фальц...неробоча...(ні)</v>
      </c>
      <c r="DD927" s="165" t="s">
        <v>1264</v>
      </c>
      <c r="DE927" s="166">
        <v>8700</v>
      </c>
      <c r="DF927" s="522">
        <f t="shared" si="483"/>
        <v>8700</v>
      </c>
      <c r="DG927" s="523"/>
      <c r="DH927" s="524">
        <f t="shared" si="477"/>
        <v>8700</v>
      </c>
      <c r="DV927" s="737" t="s">
        <v>4794</v>
      </c>
      <c r="DW927" s="163">
        <v>80</v>
      </c>
      <c r="DX927" s="528">
        <f t="shared" si="484"/>
        <v>80</v>
      </c>
      <c r="DY927" s="529"/>
      <c r="DZ927" s="530">
        <f t="shared" si="485"/>
        <v>80</v>
      </c>
    </row>
    <row r="928" spans="79:130">
      <c r="CA928" s="742" t="s">
        <v>3333</v>
      </c>
      <c r="CB928" s="137"/>
      <c r="CC928" s="21"/>
      <c r="DD928" s="165" t="s">
        <v>1265</v>
      </c>
      <c r="DE928" s="166">
        <v>8700</v>
      </c>
      <c r="DF928" s="522">
        <f t="shared" si="483"/>
        <v>8700</v>
      </c>
      <c r="DG928" s="523"/>
      <c r="DH928" s="524">
        <f t="shared" si="477"/>
        <v>8700</v>
      </c>
      <c r="DV928" s="738" t="s">
        <v>4795</v>
      </c>
      <c r="DW928" s="166">
        <v>80</v>
      </c>
      <c r="DX928" s="522">
        <f t="shared" si="484"/>
        <v>80</v>
      </c>
      <c r="DY928" s="523"/>
      <c r="DZ928" s="530">
        <f t="shared" si="485"/>
        <v>80</v>
      </c>
    </row>
    <row r="929" spans="79:130">
      <c r="CA929" s="742" t="s">
        <v>3333</v>
      </c>
      <c r="CB929" s="137" t="s">
        <v>4323</v>
      </c>
      <c r="CC929" s="138" t="str">
        <f>CONCATENATE(CA929,".",CB929)</f>
        <v>ДП Добір.фальц...неробоча...Пл Stand +2завіс</v>
      </c>
      <c r="DD929" s="108" t="s">
        <v>1266</v>
      </c>
      <c r="DE929" s="164">
        <v>8700</v>
      </c>
      <c r="DF929" s="531">
        <f t="shared" si="483"/>
        <v>8700</v>
      </c>
      <c r="DG929" s="526"/>
      <c r="DH929" s="527">
        <f t="shared" si="477"/>
        <v>8700</v>
      </c>
      <c r="DV929" s="739" t="s">
        <v>4796</v>
      </c>
      <c r="DW929" s="164">
        <v>80</v>
      </c>
      <c r="DX929" s="525">
        <f>ROUND(((DW929-(DW929/6))/$DD$3)*$DE$3,2)</f>
        <v>80</v>
      </c>
      <c r="DY929" s="526"/>
      <c r="DZ929" s="530">
        <f t="shared" si="485"/>
        <v>80</v>
      </c>
    </row>
    <row r="930" spans="79:130">
      <c r="CA930" s="742" t="s">
        <v>3333</v>
      </c>
      <c r="CB930" s="137" t="s">
        <v>4325</v>
      </c>
      <c r="CC930" s="138" t="str">
        <f>CONCATENATE(CA930,".",CB930)</f>
        <v>ДП Добір.фальц...неробоча...Пл Stand +3завіс</v>
      </c>
      <c r="DD930" s="165" t="s">
        <v>1267</v>
      </c>
      <c r="DE930" s="166">
        <v>7920</v>
      </c>
      <c r="DF930" s="522">
        <f t="shared" si="483"/>
        <v>7920</v>
      </c>
      <c r="DG930" s="523"/>
      <c r="DH930" s="524">
        <f t="shared" si="477"/>
        <v>7920</v>
      </c>
      <c r="DV930" s="739" t="s">
        <v>6433</v>
      </c>
      <c r="DW930" s="164">
        <v>80</v>
      </c>
      <c r="DX930" s="525">
        <f t="shared" si="484"/>
        <v>80</v>
      </c>
      <c r="DY930" s="526"/>
      <c r="DZ930" s="530">
        <f t="shared" si="485"/>
        <v>80</v>
      </c>
    </row>
    <row r="931" spans="79:130">
      <c r="CA931" s="742" t="s">
        <v>3333</v>
      </c>
      <c r="CB931" s="137"/>
      <c r="CC931" s="21"/>
      <c r="DD931" s="165" t="s">
        <v>1268</v>
      </c>
      <c r="DE931" s="166">
        <v>7920</v>
      </c>
      <c r="DF931" s="522">
        <f t="shared" si="483"/>
        <v>7920</v>
      </c>
      <c r="DG931" s="523"/>
      <c r="DH931" s="524">
        <f t="shared" si="477"/>
        <v>7920</v>
      </c>
      <c r="DV931" s="647"/>
      <c r="DW931" s="648"/>
      <c r="DX931" s="654"/>
      <c r="DY931" s="655"/>
      <c r="DZ931" s="656"/>
    </row>
    <row r="932" spans="79:130">
      <c r="CA932" s="742" t="s">
        <v>3333</v>
      </c>
      <c r="CB932" s="137" t="s">
        <v>4330</v>
      </c>
      <c r="CC932" s="138" t="str">
        <f>CONCATENATE(CA932,".",CB932)</f>
        <v>ДП Добір.фальц...неробоча...Пл Soft +2завіс</v>
      </c>
      <c r="DD932" s="165" t="s">
        <v>1269</v>
      </c>
      <c r="DE932" s="166">
        <v>9250</v>
      </c>
      <c r="DF932" s="522">
        <f t="shared" si="483"/>
        <v>9250</v>
      </c>
      <c r="DG932" s="523"/>
      <c r="DH932" s="524">
        <f t="shared" si="477"/>
        <v>9250</v>
      </c>
      <c r="DV932" s="736" t="s">
        <v>4185</v>
      </c>
      <c r="DW932" s="105">
        <v>0</v>
      </c>
      <c r="DX932" s="403">
        <f>ROUND(((DW932-(DW932/6))/$DD$3)*$DE$3,2)</f>
        <v>0</v>
      </c>
      <c r="DY932" s="514"/>
      <c r="DZ932" s="511">
        <f>IF(DY932="",DX932,
IF(AND($DW$10&gt;=VLOOKUP(DY932,$DV$5:$DZ$9,2,0),$DW$10&lt;=VLOOKUP(DY932,$DV$5:$DZ$9,3,0)),
(DX932*(1-VLOOKUP(DY932,$DV$5:$DZ$9,4,0))),
DX932))</f>
        <v>0</v>
      </c>
    </row>
    <row r="933" spans="79:130">
      <c r="CA933" s="742" t="s">
        <v>3333</v>
      </c>
      <c r="CB933" s="137" t="s">
        <v>4333</v>
      </c>
      <c r="CC933" s="138" t="str">
        <f>CONCATENATE(CA933,".",CB933)</f>
        <v>ДП Добір.фальц...неробоча...Пл Soft +3завіс</v>
      </c>
      <c r="DD933" s="165" t="s">
        <v>1270</v>
      </c>
      <c r="DE933" s="166">
        <v>9250</v>
      </c>
      <c r="DF933" s="522">
        <f t="shared" si="483"/>
        <v>9250</v>
      </c>
      <c r="DG933" s="523"/>
      <c r="DH933" s="524">
        <f t="shared" si="477"/>
        <v>9250</v>
      </c>
      <c r="DV933" s="737" t="s">
        <v>4797</v>
      </c>
      <c r="DW933" s="163">
        <v>0</v>
      </c>
      <c r="DX933" s="528">
        <f>ROUND(((DW933-(DW933/6))/$DD$3)*$DE$3,2)</f>
        <v>0</v>
      </c>
      <c r="DY933" s="529"/>
      <c r="DZ933" s="530">
        <f>IF(DY933="",DX933,
IF(AND($DW$10&gt;=VLOOKUP(DY933,$DV$5:$DZ$9,2,0),$DW$10&lt;=VLOOKUP(DY933,$DV$5:$DZ$9,3,0)),
(DX933*(1-VLOOKUP(DY933,$DV$5:$DZ$9,4,0))),
DX933))</f>
        <v>0</v>
      </c>
    </row>
    <row r="934" spans="79:130">
      <c r="CA934" s="742" t="s">
        <v>3333</v>
      </c>
      <c r="CB934" s="137"/>
      <c r="CC934" s="138"/>
      <c r="DD934" s="165" t="s">
        <v>1271</v>
      </c>
      <c r="DE934" s="166">
        <v>9250</v>
      </c>
      <c r="DF934" s="522">
        <f t="shared" si="483"/>
        <v>9250</v>
      </c>
      <c r="DG934" s="523"/>
      <c r="DH934" s="524">
        <f t="shared" si="477"/>
        <v>9250</v>
      </c>
      <c r="DV934" s="738" t="s">
        <v>4798</v>
      </c>
      <c r="DW934" s="166">
        <v>0</v>
      </c>
      <c r="DX934" s="522">
        <f>ROUND(((DW934-(DW934/6))/$DD$3)*$DE$3,2)</f>
        <v>0</v>
      </c>
      <c r="DY934" s="523"/>
      <c r="DZ934" s="524">
        <f>IF(DY934="",DX934,
IF(AND($DW$10&gt;=VLOOKUP(DY934,$DV$5:$DZ$9,2,0),$DW$10&lt;=VLOOKUP(DY934,$DV$5:$DZ$9,3,0)),
(DX934*(1-VLOOKUP(DY934,$DV$5:$DZ$9,4,0))),
DX934))</f>
        <v>0</v>
      </c>
    </row>
    <row r="935" spans="79:130">
      <c r="CA935" s="742" t="s">
        <v>3333</v>
      </c>
      <c r="CB935" s="137" t="s">
        <v>4335</v>
      </c>
      <c r="CC935" s="138" t="str">
        <f>CONCATENATE(CA935,".",CB935)</f>
        <v>ДП Добір.фальц...неробоча...Пл Magnet +2завіс</v>
      </c>
      <c r="DD935" s="165" t="s">
        <v>1272</v>
      </c>
      <c r="DE935" s="166">
        <v>9250</v>
      </c>
      <c r="DF935" s="522">
        <f t="shared" si="483"/>
        <v>9250</v>
      </c>
      <c r="DG935" s="523"/>
      <c r="DH935" s="524">
        <f t="shared" si="477"/>
        <v>9250</v>
      </c>
      <c r="DV935" s="739" t="s">
        <v>4799</v>
      </c>
      <c r="DW935" s="164">
        <v>0</v>
      </c>
      <c r="DX935" s="525">
        <f>ROUND(((DW935-(DW935/6))/$DD$3)*$DE$3,2)</f>
        <v>0</v>
      </c>
      <c r="DY935" s="526"/>
      <c r="DZ935" s="527">
        <f>IF(DY935="",DX935,
IF(AND($DW$10&gt;=VLOOKUP(DY935,$DV$5:$DZ$9,2,0),$DW$10&lt;=VLOOKUP(DY935,$DV$5:$DZ$9,3,0)),
(DX935*(1-VLOOKUP(DY935,$DV$5:$DZ$9,4,0))),
DX935))</f>
        <v>0</v>
      </c>
    </row>
    <row r="936" spans="79:130">
      <c r="CA936" s="742" t="s">
        <v>3333</v>
      </c>
      <c r="CB936" s="62" t="s">
        <v>4336</v>
      </c>
      <c r="CC936" s="138" t="str">
        <f>CONCATENATE(CA936,".",CB936)</f>
        <v>ДП Добір.фальц...неробоча...Пл Magnet +3завіс</v>
      </c>
      <c r="DD936" s="165" t="s">
        <v>1273</v>
      </c>
      <c r="DE936" s="166">
        <v>9250</v>
      </c>
      <c r="DF936" s="522">
        <f t="shared" si="483"/>
        <v>9250</v>
      </c>
      <c r="DG936" s="523"/>
      <c r="DH936" s="524">
        <f t="shared" si="477"/>
        <v>9250</v>
      </c>
      <c r="DV936" s="647"/>
      <c r="DW936" s="648"/>
      <c r="DX936" s="654"/>
      <c r="DY936" s="655"/>
      <c r="DZ936" s="656"/>
    </row>
    <row r="937" spans="79:130">
      <c r="CA937" s="432"/>
      <c r="CB937" s="222"/>
      <c r="CC937" s="223"/>
      <c r="DD937" s="108" t="s">
        <v>1274</v>
      </c>
      <c r="DE937" s="164">
        <v>9250</v>
      </c>
      <c r="DF937" s="531">
        <f t="shared" si="483"/>
        <v>9250</v>
      </c>
      <c r="DG937" s="526"/>
      <c r="DH937" s="527">
        <f t="shared" si="477"/>
        <v>9250</v>
      </c>
      <c r="DV937" s="736" t="s">
        <v>4187</v>
      </c>
      <c r="DW937" s="105">
        <v>0</v>
      </c>
      <c r="DX937" s="403">
        <f t="shared" ref="DX937:DX947" si="486">ROUND(((DW937-(DW937/6))/$DD$3)*$DE$3,2)</f>
        <v>0</v>
      </c>
      <c r="DY937" s="514"/>
      <c r="DZ937" s="511">
        <f t="shared" ref="DZ937:DZ947" si="487">IF(DY937="",DX937,
IF(AND($DW$10&gt;=VLOOKUP(DY937,$DV$5:$DZ$9,2,0),$DW$10&lt;=VLOOKUP(DY937,$DV$5:$DZ$9,3,0)),
(DX937*(1-VLOOKUP(DY937,$DV$5:$DZ$9,4,0))),
DX937))</f>
        <v>0</v>
      </c>
    </row>
    <row r="938" spans="79:130">
      <c r="CA938" s="742" t="s">
        <v>3334</v>
      </c>
      <c r="CB938" s="134" t="s">
        <v>4106</v>
      </c>
      <c r="CC938" s="138" t="str">
        <f>CONCATENATE(CA938,".",CB938)</f>
        <v>ДП Добір-ЛАДА.фальц...неробоча...(ні)</v>
      </c>
      <c r="DD938" s="738" t="s">
        <v>5291</v>
      </c>
      <c r="DE938" s="166">
        <v>8300</v>
      </c>
      <c r="DF938" s="522">
        <f t="shared" si="483"/>
        <v>8300</v>
      </c>
      <c r="DG938" s="523"/>
      <c r="DH938" s="524">
        <f t="shared" si="477"/>
        <v>8300</v>
      </c>
      <c r="DV938" s="737" t="s">
        <v>4800</v>
      </c>
      <c r="DW938" s="163">
        <v>0</v>
      </c>
      <c r="DX938" s="528">
        <f t="shared" si="486"/>
        <v>0</v>
      </c>
      <c r="DY938" s="529"/>
      <c r="DZ938" s="530">
        <f t="shared" si="487"/>
        <v>0</v>
      </c>
    </row>
    <row r="939" spans="79:130">
      <c r="CA939" s="742" t="s">
        <v>3334</v>
      </c>
      <c r="CB939" s="21"/>
      <c r="CC939" s="21"/>
      <c r="DD939" s="738" t="s">
        <v>5292</v>
      </c>
      <c r="DE939" s="166">
        <v>8300</v>
      </c>
      <c r="DF939" s="522">
        <f t="shared" si="483"/>
        <v>8300</v>
      </c>
      <c r="DG939" s="523"/>
      <c r="DH939" s="524">
        <f t="shared" si="477"/>
        <v>8300</v>
      </c>
      <c r="DV939" s="738" t="s">
        <v>4801</v>
      </c>
      <c r="DW939" s="166">
        <v>0</v>
      </c>
      <c r="DX939" s="522">
        <f t="shared" si="486"/>
        <v>0</v>
      </c>
      <c r="DY939" s="523"/>
      <c r="DZ939" s="524">
        <f t="shared" si="487"/>
        <v>0</v>
      </c>
    </row>
    <row r="940" spans="79:130">
      <c r="CA940" s="742" t="s">
        <v>3334</v>
      </c>
      <c r="CB940" s="783" t="s">
        <v>4325</v>
      </c>
      <c r="CC940" s="138" t="str">
        <f>CONCATENATE(CA940,".",CB940)</f>
        <v>ДП Добір-ЛАДА.фальц...неробоча...Пл Stand +3завіс</v>
      </c>
      <c r="DD940" s="738" t="s">
        <v>5293</v>
      </c>
      <c r="DE940" s="166">
        <v>9690</v>
      </c>
      <c r="DF940" s="522">
        <f t="shared" si="483"/>
        <v>9690</v>
      </c>
      <c r="DG940" s="523"/>
      <c r="DH940" s="524">
        <f t="shared" si="477"/>
        <v>9690</v>
      </c>
      <c r="DV940" s="739" t="s">
        <v>4802</v>
      </c>
      <c r="DW940" s="164">
        <v>0</v>
      </c>
      <c r="DX940" s="525">
        <f>ROUND(((DW940-(DW940/6))/$DD$3)*$DE$3,2)</f>
        <v>0</v>
      </c>
      <c r="DY940" s="526"/>
      <c r="DZ940" s="527">
        <f>IF(DY940="",DX940,
IF(AND($DW$10&gt;=VLOOKUP(DY940,$DV$5:$DZ$9,2,0),$DW$10&lt;=VLOOKUP(DY940,$DV$5:$DZ$9,3,0)),
(DX940*(1-VLOOKUP(DY940,$DV$5:$DZ$9,4,0))),
DX940))</f>
        <v>0</v>
      </c>
    </row>
    <row r="941" spans="79:130">
      <c r="CA941" s="742" t="s">
        <v>3334</v>
      </c>
      <c r="CB941" s="783" t="s">
        <v>4333</v>
      </c>
      <c r="CC941" s="138" t="str">
        <f>CONCATENATE(CA941,".",CB941)</f>
        <v>ДП Добір-ЛАДА.фальц...неробоча...Пл Soft +3завіс</v>
      </c>
      <c r="DD941" s="738" t="s">
        <v>5294</v>
      </c>
      <c r="DE941" s="166">
        <v>9690</v>
      </c>
      <c r="DF941" s="522">
        <f t="shared" si="483"/>
        <v>9690</v>
      </c>
      <c r="DG941" s="523"/>
      <c r="DH941" s="524">
        <f t="shared" si="477"/>
        <v>9690</v>
      </c>
      <c r="DV941" s="739" t="s">
        <v>6434</v>
      </c>
      <c r="DW941" s="164">
        <v>0</v>
      </c>
      <c r="DX941" s="525">
        <f t="shared" si="486"/>
        <v>0</v>
      </c>
      <c r="DY941" s="526"/>
      <c r="DZ941" s="527">
        <f t="shared" si="487"/>
        <v>0</v>
      </c>
    </row>
    <row r="942" spans="79:130">
      <c r="CA942" s="742" t="s">
        <v>3334</v>
      </c>
      <c r="CB942" s="152" t="s">
        <v>4336</v>
      </c>
      <c r="CC942" s="138" t="str">
        <f>CONCATENATE(CA942,".",CB942)</f>
        <v>ДП Добір-ЛАДА.фальц...неробоча...Пл Magnet +3завіс</v>
      </c>
      <c r="DD942" s="738" t="s">
        <v>5295</v>
      </c>
      <c r="DE942" s="166">
        <v>9690</v>
      </c>
      <c r="DF942" s="522">
        <f t="shared" si="483"/>
        <v>9690</v>
      </c>
      <c r="DG942" s="523"/>
      <c r="DH942" s="524">
        <f t="shared" si="477"/>
        <v>9690</v>
      </c>
      <c r="DV942" s="737" t="s">
        <v>4803</v>
      </c>
      <c r="DW942" s="163">
        <v>80</v>
      </c>
      <c r="DX942" s="528">
        <f t="shared" si="486"/>
        <v>80</v>
      </c>
      <c r="DY942" s="529"/>
      <c r="DZ942" s="530">
        <f t="shared" si="487"/>
        <v>80</v>
      </c>
    </row>
    <row r="943" spans="79:130">
      <c r="CA943" s="432"/>
      <c r="CB943" s="222"/>
      <c r="CC943" s="223"/>
      <c r="DD943" s="738" t="s">
        <v>5296</v>
      </c>
      <c r="DE943" s="166">
        <v>9690</v>
      </c>
      <c r="DF943" s="522">
        <f t="shared" si="483"/>
        <v>9690</v>
      </c>
      <c r="DG943" s="523"/>
      <c r="DH943" s="524">
        <f t="shared" si="477"/>
        <v>9690</v>
      </c>
      <c r="DV943" s="738" t="s">
        <v>4804</v>
      </c>
      <c r="DW943" s="166">
        <v>80</v>
      </c>
      <c r="DX943" s="522">
        <f t="shared" si="486"/>
        <v>80</v>
      </c>
      <c r="DY943" s="523"/>
      <c r="DZ943" s="524">
        <f t="shared" si="487"/>
        <v>80</v>
      </c>
    </row>
    <row r="944" spans="79:130">
      <c r="CA944" s="751" t="s">
        <v>3827</v>
      </c>
      <c r="CB944" s="134" t="s">
        <v>4106</v>
      </c>
      <c r="CC944" s="135" t="str">
        <f>CONCATENATE(CA944,".",CB944)</f>
        <v>КД Standard-MDF.стандарт.1-стулк.(ні)</v>
      </c>
      <c r="DD944" s="738" t="s">
        <v>5297</v>
      </c>
      <c r="DE944" s="166">
        <v>9690</v>
      </c>
      <c r="DF944" s="522">
        <f t="shared" si="483"/>
        <v>9690</v>
      </c>
      <c r="DG944" s="523"/>
      <c r="DH944" s="524">
        <f t="shared" si="477"/>
        <v>9690</v>
      </c>
      <c r="DV944" s="739" t="s">
        <v>4805</v>
      </c>
      <c r="DW944" s="164">
        <v>80</v>
      </c>
      <c r="DX944" s="525">
        <f>ROUND(((DW944-(DW944/6))/$DD$3)*$DE$3,2)</f>
        <v>80</v>
      </c>
      <c r="DY944" s="526"/>
      <c r="DZ944" s="527">
        <f>IF(DY944="",DX944,
IF(AND($DW$10&gt;=VLOOKUP(DY944,$DV$5:$DZ$9,2,0),$DW$10&lt;=VLOOKUP(DY944,$DV$5:$DZ$9,3,0)),
(DX944*(1-VLOOKUP(DY944,$DV$5:$DZ$9,4,0))),
DX944))</f>
        <v>80</v>
      </c>
    </row>
    <row r="945" spans="79:130">
      <c r="CA945" s="752" t="s">
        <v>3827</v>
      </c>
      <c r="CB945" s="21"/>
      <c r="CC945" s="21"/>
      <c r="DD945" s="739" t="s">
        <v>5298</v>
      </c>
      <c r="DE945" s="164">
        <v>9690</v>
      </c>
      <c r="DF945" s="531">
        <f t="shared" si="483"/>
        <v>9690</v>
      </c>
      <c r="DG945" s="523"/>
      <c r="DH945" s="527">
        <f t="shared" si="477"/>
        <v>9690</v>
      </c>
      <c r="DV945" s="739" t="s">
        <v>6435</v>
      </c>
      <c r="DW945" s="164">
        <v>80</v>
      </c>
      <c r="DX945" s="525">
        <f t="shared" si="486"/>
        <v>80</v>
      </c>
      <c r="DY945" s="526"/>
      <c r="DZ945" s="527">
        <f t="shared" si="487"/>
        <v>80</v>
      </c>
    </row>
    <row r="946" spans="79:130">
      <c r="CA946" s="752" t="s">
        <v>3827</v>
      </c>
      <c r="CB946" s="137" t="s">
        <v>4323</v>
      </c>
      <c r="CC946" s="138" t="str">
        <f>CONCATENATE(CA946,".",CB946)</f>
        <v>КД Standard-MDF.стандарт.1-стулк.Пл Stand +2завіс</v>
      </c>
      <c r="DD946" s="641"/>
      <c r="DE946" s="642"/>
      <c r="DF946" s="643"/>
      <c r="DG946" s="644"/>
      <c r="DH946" s="645"/>
      <c r="DV946" s="737" t="s">
        <v>3134</v>
      </c>
      <c r="DW946" s="163">
        <v>0</v>
      </c>
      <c r="DX946" s="528">
        <f t="shared" si="486"/>
        <v>0</v>
      </c>
      <c r="DY946" s="529"/>
      <c r="DZ946" s="530">
        <f t="shared" si="487"/>
        <v>0</v>
      </c>
    </row>
    <row r="947" spans="79:130">
      <c r="CA947" s="752" t="s">
        <v>3827</v>
      </c>
      <c r="CB947" s="137" t="s">
        <v>4325</v>
      </c>
      <c r="CC947" s="138" t="str">
        <f>CONCATENATE(CA947,".",CB947)</f>
        <v>КД Standard-MDF.стандарт.1-стулк.Пл Stand +3завіс</v>
      </c>
      <c r="DD947" s="162" t="s">
        <v>498</v>
      </c>
      <c r="DE947" s="163">
        <v>6440</v>
      </c>
      <c r="DF947" s="528">
        <f t="shared" ref="DF947:DF953" si="488">ROUND(((DE947-(DE947/6))/$DD$3)*$DE$3,2)</f>
        <v>6440</v>
      </c>
      <c r="DG947" s="529"/>
      <c r="DH947" s="530">
        <f t="shared" ref="DH947:DH953" si="489">IF(DG947="",DF947,
IF(AND($DE$10&gt;=VLOOKUP(DG947,$DD$5:$DH$9,2,0),$DE$10&lt;=VLOOKUP(DG947,$DD$5:$DH$9,3,0)),
(DF947*(1-VLOOKUP(DG947,$DD$5:$DH$9,4,0))),
DF947))</f>
        <v>6440</v>
      </c>
      <c r="DV947" s="739" t="s">
        <v>6215</v>
      </c>
      <c r="DW947" s="164">
        <v>160</v>
      </c>
      <c r="DX947" s="525">
        <f t="shared" si="486"/>
        <v>160</v>
      </c>
      <c r="DY947" s="526"/>
      <c r="DZ947" s="527">
        <f t="shared" si="487"/>
        <v>160</v>
      </c>
    </row>
    <row r="948" spans="79:130">
      <c r="CA948" s="752" t="s">
        <v>3827</v>
      </c>
      <c r="CB948" s="21"/>
      <c r="CC948" s="21"/>
      <c r="DD948" s="165" t="s">
        <v>499</v>
      </c>
      <c r="DE948" s="166">
        <v>6440</v>
      </c>
      <c r="DF948" s="522">
        <f t="shared" si="488"/>
        <v>6440</v>
      </c>
      <c r="DG948" s="529"/>
      <c r="DH948" s="524">
        <f t="shared" si="489"/>
        <v>6440</v>
      </c>
      <c r="DV948" s="647"/>
      <c r="DW948" s="648"/>
      <c r="DX948" s="654"/>
      <c r="DY948" s="655"/>
      <c r="DZ948" s="656"/>
    </row>
    <row r="949" spans="79:130">
      <c r="CA949" s="752" t="s">
        <v>3827</v>
      </c>
      <c r="CB949" s="137" t="s">
        <v>4330</v>
      </c>
      <c r="CC949" s="138" t="str">
        <f>CONCATENATE(CA949,".",CB949)</f>
        <v>КД Standard-MDF.стандарт.1-стулк.Пл Soft +2завіс</v>
      </c>
      <c r="DD949" s="165" t="s">
        <v>500</v>
      </c>
      <c r="DE949" s="166">
        <v>6440</v>
      </c>
      <c r="DF949" s="522">
        <f t="shared" si="488"/>
        <v>6440</v>
      </c>
      <c r="DG949" s="529"/>
      <c r="DH949" s="524">
        <f t="shared" si="489"/>
        <v>6440</v>
      </c>
      <c r="DV949" s="736" t="s">
        <v>4188</v>
      </c>
      <c r="DW949" s="105">
        <v>0</v>
      </c>
      <c r="DX949" s="403">
        <f t="shared" ref="DX949:DX959" si="490">ROUND(((DW949-(DW949/6))/$DD$3)*$DE$3,2)</f>
        <v>0</v>
      </c>
      <c r="DY949" s="514"/>
      <c r="DZ949" s="511">
        <f t="shared" ref="DZ949:DZ972" si="491">IF(DY949="",DX949,
IF(AND($DW$10&gt;=VLOOKUP(DY949,$DV$5:$DZ$9,2,0),$DW$10&lt;=VLOOKUP(DY949,$DV$5:$DZ$9,3,0)),
(DX949*(1-VLOOKUP(DY949,$DV$5:$DZ$9,4,0))),
DX949))</f>
        <v>0</v>
      </c>
    </row>
    <row r="950" spans="79:130">
      <c r="CA950" s="752" t="s">
        <v>3827</v>
      </c>
      <c r="CB950" s="137" t="s">
        <v>4333</v>
      </c>
      <c r="CC950" s="138" t="str">
        <f>CONCATENATE(CA950,".",CB950)</f>
        <v>КД Standard-MDF.стандарт.1-стулк.Пл Soft +3завіс</v>
      </c>
      <c r="DD950" s="165" t="s">
        <v>501</v>
      </c>
      <c r="DE950" s="166">
        <v>6440</v>
      </c>
      <c r="DF950" s="522">
        <f t="shared" si="488"/>
        <v>6440</v>
      </c>
      <c r="DG950" s="529"/>
      <c r="DH950" s="524">
        <f t="shared" si="489"/>
        <v>6440</v>
      </c>
      <c r="DV950" s="737" t="s">
        <v>4806</v>
      </c>
      <c r="DW950" s="163">
        <v>0</v>
      </c>
      <c r="DX950" s="528">
        <f t="shared" si="490"/>
        <v>0</v>
      </c>
      <c r="DY950" s="529"/>
      <c r="DZ950" s="530">
        <f t="shared" si="491"/>
        <v>0</v>
      </c>
    </row>
    <row r="951" spans="79:130">
      <c r="CA951" s="752" t="s">
        <v>3827</v>
      </c>
      <c r="CB951" s="137"/>
      <c r="CC951" s="138"/>
      <c r="DD951" s="165" t="s">
        <v>502</v>
      </c>
      <c r="DE951" s="166">
        <v>5980.0000000000009</v>
      </c>
      <c r="DF951" s="522">
        <f t="shared" si="488"/>
        <v>5980</v>
      </c>
      <c r="DG951" s="529"/>
      <c r="DH951" s="524">
        <f t="shared" si="489"/>
        <v>5980</v>
      </c>
      <c r="DV951" s="738" t="s">
        <v>4807</v>
      </c>
      <c r="DW951" s="166">
        <v>0</v>
      </c>
      <c r="DX951" s="522">
        <f t="shared" si="490"/>
        <v>0</v>
      </c>
      <c r="DY951" s="523"/>
      <c r="DZ951" s="524">
        <f t="shared" si="491"/>
        <v>0</v>
      </c>
    </row>
    <row r="952" spans="79:130">
      <c r="CA952" s="752" t="s">
        <v>3827</v>
      </c>
      <c r="CB952" s="137" t="s">
        <v>4335</v>
      </c>
      <c r="CC952" s="138" t="str">
        <f>CONCATENATE(CA952,".",CB952)</f>
        <v>КД Standard-MDF.стандарт.1-стулк.Пл Magnet +2завіс</v>
      </c>
      <c r="DD952" s="165" t="s">
        <v>503</v>
      </c>
      <c r="DE952" s="166">
        <v>5580</v>
      </c>
      <c r="DF952" s="522">
        <f t="shared" si="488"/>
        <v>5580</v>
      </c>
      <c r="DG952" s="529"/>
      <c r="DH952" s="524">
        <f t="shared" si="489"/>
        <v>5580</v>
      </c>
      <c r="DV952" s="739" t="s">
        <v>4808</v>
      </c>
      <c r="DW952" s="164">
        <v>0</v>
      </c>
      <c r="DX952" s="525">
        <f>ROUND(((DW952-(DW952/6))/$DD$3)*$DE$3,2)</f>
        <v>0</v>
      </c>
      <c r="DY952" s="526"/>
      <c r="DZ952" s="527">
        <f>IF(DY952="",DX952,
IF(AND($DW$10&gt;=VLOOKUP(DY952,$DV$5:$DZ$9,2,0),$DW$10&lt;=VLOOKUP(DY952,$DV$5:$DZ$9,3,0)),
(DX952*(1-VLOOKUP(DY952,$DV$5:$DZ$9,4,0))),
DX952))</f>
        <v>0</v>
      </c>
    </row>
    <row r="953" spans="79:130">
      <c r="CA953" s="750" t="s">
        <v>3827</v>
      </c>
      <c r="CB953" s="62" t="s">
        <v>4336</v>
      </c>
      <c r="CC953" s="139" t="str">
        <f>CONCATENATE(CA953,".",CB953)</f>
        <v>КД Standard-MDF.стандарт.1-стулк.Пл Magnet +3завіс</v>
      </c>
      <c r="DD953" s="108" t="s">
        <v>504</v>
      </c>
      <c r="DE953" s="164">
        <v>5980.0000000000009</v>
      </c>
      <c r="DF953" s="531">
        <f t="shared" si="488"/>
        <v>5980</v>
      </c>
      <c r="DG953" s="529"/>
      <c r="DH953" s="527">
        <f t="shared" si="489"/>
        <v>5980</v>
      </c>
      <c r="DV953" s="739" t="s">
        <v>6436</v>
      </c>
      <c r="DW953" s="164">
        <v>0</v>
      </c>
      <c r="DX953" s="525">
        <f t="shared" si="490"/>
        <v>0</v>
      </c>
      <c r="DY953" s="526"/>
      <c r="DZ953" s="527">
        <f t="shared" si="491"/>
        <v>0</v>
      </c>
    </row>
    <row r="954" spans="79:130">
      <c r="CA954" s="751" t="s">
        <v>3828</v>
      </c>
      <c r="CB954" s="134" t="s">
        <v>4106</v>
      </c>
      <c r="CC954" s="135" t="str">
        <f>CONCATENATE(CA954,".",CB954)</f>
        <v>КД Standard-MDF.стандарт.2-стулк.(ні)</v>
      </c>
      <c r="DD954" s="165" t="s">
        <v>1994</v>
      </c>
      <c r="DE954" s="166">
        <v>7150.0000000000009</v>
      </c>
      <c r="DF954" s="522">
        <f t="shared" ref="DF954:DF960" si="492">ROUND(((DE954-(DE954/6))/$DD$3)*$DE$3,2)</f>
        <v>7150</v>
      </c>
      <c r="DG954" s="529"/>
      <c r="DH954" s="524">
        <f t="shared" ref="DH954:DH960" si="493">IF(DG954="",DF954,
IF(AND($DE$10&gt;=VLOOKUP(DG954,$DD$5:$DH$9,2,0),$DE$10&lt;=VLOOKUP(DG954,$DD$5:$DH$9,3,0)),
(DF954*(1-VLOOKUP(DG954,$DD$5:$DH$9,4,0))),
DF954))</f>
        <v>7150</v>
      </c>
      <c r="DV954" s="737" t="s">
        <v>4809</v>
      </c>
      <c r="DW954" s="163">
        <v>80</v>
      </c>
      <c r="DX954" s="528">
        <f t="shared" si="490"/>
        <v>80</v>
      </c>
      <c r="DY954" s="529"/>
      <c r="DZ954" s="530">
        <f t="shared" si="491"/>
        <v>80</v>
      </c>
    </row>
    <row r="955" spans="79:130">
      <c r="CA955" s="752" t="s">
        <v>3828</v>
      </c>
      <c r="CB955" s="21"/>
      <c r="CC955" s="21"/>
      <c r="DD955" s="165" t="s">
        <v>1995</v>
      </c>
      <c r="DE955" s="166">
        <v>7150.0000000000009</v>
      </c>
      <c r="DF955" s="522">
        <f t="shared" si="492"/>
        <v>7150</v>
      </c>
      <c r="DG955" s="529"/>
      <c r="DH955" s="524">
        <f t="shared" si="493"/>
        <v>7150</v>
      </c>
      <c r="DV955" s="738" t="s">
        <v>4810</v>
      </c>
      <c r="DW955" s="166">
        <v>80</v>
      </c>
      <c r="DX955" s="522">
        <f t="shared" si="490"/>
        <v>80</v>
      </c>
      <c r="DY955" s="523"/>
      <c r="DZ955" s="524">
        <f t="shared" si="491"/>
        <v>80</v>
      </c>
    </row>
    <row r="956" spans="79:130">
      <c r="CA956" s="752" t="s">
        <v>3828</v>
      </c>
      <c r="CB956" s="137" t="s">
        <v>3133</v>
      </c>
      <c r="CC956" s="138" t="str">
        <f>CONCATENATE(CA956,".",CB956)</f>
        <v>КД Standard-MDF.стандарт.2-стулк.4 завіси (2+2)</v>
      </c>
      <c r="DD956" s="165" t="s">
        <v>1996</v>
      </c>
      <c r="DE956" s="166">
        <v>7150.0000000000009</v>
      </c>
      <c r="DF956" s="522">
        <f t="shared" si="492"/>
        <v>7150</v>
      </c>
      <c r="DG956" s="529"/>
      <c r="DH956" s="524">
        <f t="shared" si="493"/>
        <v>7150</v>
      </c>
      <c r="DV956" s="739" t="s">
        <v>4811</v>
      </c>
      <c r="DW956" s="164">
        <v>80</v>
      </c>
      <c r="DX956" s="525">
        <f>ROUND(((DW956-(DW956/6))/$DD$3)*$DE$3,2)</f>
        <v>80</v>
      </c>
      <c r="DY956" s="526"/>
      <c r="DZ956" s="527">
        <f>IF(DY956="",DX956,
IF(AND($DW$10&gt;=VLOOKUP(DY956,$DV$5:$DZ$9,2,0),$DW$10&lt;=VLOOKUP(DY956,$DV$5:$DZ$9,3,0)),
(DX956*(1-VLOOKUP(DY956,$DV$5:$DZ$9,4,0))),
DX956))</f>
        <v>80</v>
      </c>
    </row>
    <row r="957" spans="79:130">
      <c r="CA957" s="752" t="s">
        <v>3828</v>
      </c>
      <c r="CB957" s="137" t="s">
        <v>6166</v>
      </c>
      <c r="CC957" s="138" t="str">
        <f>CONCATENATE(CA957,".",CB957)</f>
        <v>КД Standard-MDF.стандарт.2-стулк.6 завіс (3+3)</v>
      </c>
      <c r="DD957" s="165" t="s">
        <v>1997</v>
      </c>
      <c r="DE957" s="166">
        <v>7150.0000000000009</v>
      </c>
      <c r="DF957" s="522">
        <f t="shared" si="492"/>
        <v>7150</v>
      </c>
      <c r="DG957" s="529"/>
      <c r="DH957" s="524">
        <f t="shared" si="493"/>
        <v>7150</v>
      </c>
      <c r="DV957" s="739" t="s">
        <v>6437</v>
      </c>
      <c r="DW957" s="164">
        <v>80</v>
      </c>
      <c r="DX957" s="525">
        <f t="shared" si="490"/>
        <v>80</v>
      </c>
      <c r="DY957" s="526"/>
      <c r="DZ957" s="527">
        <f t="shared" si="491"/>
        <v>80</v>
      </c>
    </row>
    <row r="958" spans="79:130">
      <c r="CA958" s="432"/>
      <c r="CB958" s="222"/>
      <c r="CC958" s="223"/>
      <c r="DD958" s="165" t="s">
        <v>1998</v>
      </c>
      <c r="DE958" s="166">
        <v>6640.0000000000009</v>
      </c>
      <c r="DF958" s="522">
        <f t="shared" si="492"/>
        <v>6640</v>
      </c>
      <c r="DG958" s="529"/>
      <c r="DH958" s="524">
        <f t="shared" si="493"/>
        <v>6640</v>
      </c>
      <c r="DV958" s="737" t="s">
        <v>3135</v>
      </c>
      <c r="DW958" s="163">
        <v>0</v>
      </c>
      <c r="DX958" s="528">
        <f t="shared" si="490"/>
        <v>0</v>
      </c>
      <c r="DY958" s="529"/>
      <c r="DZ958" s="530">
        <f t="shared" si="491"/>
        <v>0</v>
      </c>
    </row>
    <row r="959" spans="79:130">
      <c r="CA959" s="751" t="s">
        <v>3829</v>
      </c>
      <c r="CB959" s="134" t="s">
        <v>4106</v>
      </c>
      <c r="CC959" s="135" t="str">
        <f>CONCATENATE(CA959,".",CB959)</f>
        <v>КД Standard.стандарт.1-стулк.(ні)</v>
      </c>
      <c r="DD959" s="165" t="s">
        <v>1999</v>
      </c>
      <c r="DE959" s="166">
        <v>6190.0000000000009</v>
      </c>
      <c r="DF959" s="522">
        <f t="shared" si="492"/>
        <v>6190</v>
      </c>
      <c r="DG959" s="529"/>
      <c r="DH959" s="524">
        <f t="shared" si="493"/>
        <v>6190</v>
      </c>
      <c r="DV959" s="739" t="s">
        <v>6216</v>
      </c>
      <c r="DW959" s="164">
        <v>120</v>
      </c>
      <c r="DX959" s="525">
        <f t="shared" si="490"/>
        <v>120</v>
      </c>
      <c r="DY959" s="526"/>
      <c r="DZ959" s="527">
        <f t="shared" si="491"/>
        <v>120</v>
      </c>
    </row>
    <row r="960" spans="79:130">
      <c r="CA960" s="752" t="s">
        <v>3829</v>
      </c>
      <c r="CB960" s="21"/>
      <c r="CC960" s="21"/>
      <c r="DD960" s="108" t="s">
        <v>2000</v>
      </c>
      <c r="DE960" s="164">
        <v>6640.0000000000009</v>
      </c>
      <c r="DF960" s="531">
        <f t="shared" si="492"/>
        <v>6640</v>
      </c>
      <c r="DG960" s="529"/>
      <c r="DH960" s="527">
        <f t="shared" si="493"/>
        <v>6640</v>
      </c>
      <c r="DV960" s="647"/>
      <c r="DW960" s="648"/>
      <c r="DX960" s="654"/>
      <c r="DY960" s="655"/>
      <c r="DZ960" s="656"/>
    </row>
    <row r="961" spans="79:130">
      <c r="CA961" s="752" t="s">
        <v>3829</v>
      </c>
      <c r="CB961" s="137" t="s">
        <v>4323</v>
      </c>
      <c r="CC961" s="138" t="str">
        <f>CONCATENATE(CA961,".",CB961)</f>
        <v>КД Standard.стандарт.1-стулк.Пл Stand +2завіс</v>
      </c>
      <c r="DD961" s="165" t="s">
        <v>0</v>
      </c>
      <c r="DE961" s="166">
        <v>7500</v>
      </c>
      <c r="DF961" s="522">
        <f t="shared" ref="DF961:DF967" si="494">ROUND(((DE961-(DE961/6))/$DD$3)*$DE$3,2)</f>
        <v>7500</v>
      </c>
      <c r="DG961" s="529"/>
      <c r="DH961" s="524">
        <f t="shared" ref="DH961:DH981" si="495">IF(DG961="",DF961,
IF(AND($DE$10&gt;=VLOOKUP(DG961,$DD$5:$DH$9,2,0),$DE$10&lt;=VLOOKUP(DG961,$DD$5:$DH$9,3,0)),
(DF961*(1-VLOOKUP(DG961,$DD$5:$DH$9,4,0))),
DF961))</f>
        <v>7500</v>
      </c>
      <c r="DV961" s="736" t="s">
        <v>4189</v>
      </c>
      <c r="DW961" s="105">
        <v>0</v>
      </c>
      <c r="DX961" s="403">
        <f t="shared" ref="DX961:DX971" si="496">ROUND(((DW961-(DW961/6))/$DD$3)*$DE$3,2)</f>
        <v>0</v>
      </c>
      <c r="DY961" s="514"/>
      <c r="DZ961" s="511">
        <f t="shared" si="491"/>
        <v>0</v>
      </c>
    </row>
    <row r="962" spans="79:130">
      <c r="CA962" s="752" t="s">
        <v>3829</v>
      </c>
      <c r="CB962" s="137" t="s">
        <v>4325</v>
      </c>
      <c r="CC962" s="138" t="str">
        <f>CONCATENATE(CA962,".",CB962)</f>
        <v>КД Standard.стандарт.1-стулк.Пл Stand +3завіс</v>
      </c>
      <c r="DD962" s="165" t="s">
        <v>1</v>
      </c>
      <c r="DE962" s="166">
        <v>7500</v>
      </c>
      <c r="DF962" s="522">
        <f t="shared" si="494"/>
        <v>7500</v>
      </c>
      <c r="DG962" s="529"/>
      <c r="DH962" s="524">
        <f t="shared" si="495"/>
        <v>7500</v>
      </c>
      <c r="DV962" s="737" t="s">
        <v>4812</v>
      </c>
      <c r="DW962" s="163">
        <v>0</v>
      </c>
      <c r="DX962" s="528">
        <f t="shared" si="496"/>
        <v>0</v>
      </c>
      <c r="DY962" s="529"/>
      <c r="DZ962" s="530">
        <f t="shared" si="491"/>
        <v>0</v>
      </c>
    </row>
    <row r="963" spans="79:130">
      <c r="CA963" s="752" t="s">
        <v>3829</v>
      </c>
      <c r="CB963" s="21"/>
      <c r="CC963" s="21"/>
      <c r="DD963" s="165" t="s">
        <v>2</v>
      </c>
      <c r="DE963" s="166">
        <v>7500</v>
      </c>
      <c r="DF963" s="522">
        <f t="shared" si="494"/>
        <v>7500</v>
      </c>
      <c r="DG963" s="529"/>
      <c r="DH963" s="524">
        <f t="shared" si="495"/>
        <v>7500</v>
      </c>
      <c r="DV963" s="738" t="s">
        <v>4813</v>
      </c>
      <c r="DW963" s="166">
        <v>0</v>
      </c>
      <c r="DX963" s="522">
        <f t="shared" si="496"/>
        <v>0</v>
      </c>
      <c r="DY963" s="523"/>
      <c r="DZ963" s="524">
        <f t="shared" si="491"/>
        <v>0</v>
      </c>
    </row>
    <row r="964" spans="79:130">
      <c r="CA964" s="752" t="s">
        <v>3829</v>
      </c>
      <c r="CB964" s="137" t="s">
        <v>4330</v>
      </c>
      <c r="CC964" s="138" t="str">
        <f>CONCATENATE(CA964,".",CB964)</f>
        <v>КД Standard.стандарт.1-стулк.Пл Soft +2завіс</v>
      </c>
      <c r="DD964" s="165" t="s">
        <v>3</v>
      </c>
      <c r="DE964" s="166">
        <v>7500</v>
      </c>
      <c r="DF964" s="522">
        <f t="shared" si="494"/>
        <v>7500</v>
      </c>
      <c r="DG964" s="529"/>
      <c r="DH964" s="524">
        <f t="shared" si="495"/>
        <v>7500</v>
      </c>
      <c r="DV964" s="739" t="s">
        <v>4814</v>
      </c>
      <c r="DW964" s="164">
        <v>0</v>
      </c>
      <c r="DX964" s="525">
        <f>ROUND(((DW964-(DW964/6))/$DD$3)*$DE$3,2)</f>
        <v>0</v>
      </c>
      <c r="DY964" s="526"/>
      <c r="DZ964" s="527">
        <f>IF(DY964="",DX964,
IF(AND($DW$10&gt;=VLOOKUP(DY964,$DV$5:$DZ$9,2,0),$DW$10&lt;=VLOOKUP(DY964,$DV$5:$DZ$9,3,0)),
(DX964*(1-VLOOKUP(DY964,$DV$5:$DZ$9,4,0))),
DX964))</f>
        <v>0</v>
      </c>
    </row>
    <row r="965" spans="79:130">
      <c r="CA965" s="752" t="s">
        <v>3829</v>
      </c>
      <c r="CB965" s="137" t="s">
        <v>4333</v>
      </c>
      <c r="CC965" s="138" t="str">
        <f>CONCATENATE(CA965,".",CB965)</f>
        <v>КД Standard.стандарт.1-стулк.Пл Soft +3завіс</v>
      </c>
      <c r="DD965" s="165" t="s">
        <v>4</v>
      </c>
      <c r="DE965" s="166">
        <v>6900</v>
      </c>
      <c r="DF965" s="522">
        <f t="shared" si="494"/>
        <v>6900</v>
      </c>
      <c r="DG965" s="529"/>
      <c r="DH965" s="524">
        <f t="shared" si="495"/>
        <v>6900</v>
      </c>
      <c r="DV965" s="739" t="s">
        <v>6438</v>
      </c>
      <c r="DW965" s="164">
        <v>0</v>
      </c>
      <c r="DX965" s="525">
        <f t="shared" si="496"/>
        <v>0</v>
      </c>
      <c r="DY965" s="526"/>
      <c r="DZ965" s="527">
        <f t="shared" si="491"/>
        <v>0</v>
      </c>
    </row>
    <row r="966" spans="79:130">
      <c r="CA966" s="752" t="s">
        <v>3829</v>
      </c>
      <c r="CB966" s="137"/>
      <c r="CC966" s="138"/>
      <c r="DD966" s="165" t="s">
        <v>5</v>
      </c>
      <c r="DE966" s="166">
        <v>6340.0000000000009</v>
      </c>
      <c r="DF966" s="522">
        <f t="shared" si="494"/>
        <v>6340</v>
      </c>
      <c r="DG966" s="529"/>
      <c r="DH966" s="524">
        <f t="shared" si="495"/>
        <v>6340</v>
      </c>
      <c r="DV966" s="737" t="s">
        <v>4815</v>
      </c>
      <c r="DW966" s="163">
        <v>80</v>
      </c>
      <c r="DX966" s="528">
        <f t="shared" si="496"/>
        <v>80</v>
      </c>
      <c r="DY966" s="529"/>
      <c r="DZ966" s="530">
        <f t="shared" si="491"/>
        <v>80</v>
      </c>
    </row>
    <row r="967" spans="79:130">
      <c r="CA967" s="752" t="s">
        <v>3829</v>
      </c>
      <c r="CB967" s="137" t="s">
        <v>4335</v>
      </c>
      <c r="CC967" s="138" t="str">
        <f>CONCATENATE(CA967,".",CB967)</f>
        <v>КД Standard.стандарт.1-стулк.Пл Magnet +2завіс</v>
      </c>
      <c r="DD967" s="108" t="s">
        <v>6</v>
      </c>
      <c r="DE967" s="164">
        <v>6900</v>
      </c>
      <c r="DF967" s="531">
        <f t="shared" si="494"/>
        <v>6900</v>
      </c>
      <c r="DG967" s="529"/>
      <c r="DH967" s="527">
        <f t="shared" si="495"/>
        <v>6900</v>
      </c>
      <c r="DV967" s="738" t="s">
        <v>4816</v>
      </c>
      <c r="DW967" s="166">
        <v>80</v>
      </c>
      <c r="DX967" s="522">
        <f t="shared" si="496"/>
        <v>80</v>
      </c>
      <c r="DY967" s="523"/>
      <c r="DZ967" s="524">
        <f t="shared" si="491"/>
        <v>80</v>
      </c>
    </row>
    <row r="968" spans="79:130">
      <c r="CA968" s="750" t="s">
        <v>3829</v>
      </c>
      <c r="CB968" s="62" t="s">
        <v>4336</v>
      </c>
      <c r="CC968" s="139" t="str">
        <f>CONCATENATE(CA968,".",CB968)</f>
        <v>КД Standard.стандарт.1-стулк.Пл Magnet +3завіс</v>
      </c>
      <c r="DD968" s="165" t="s">
        <v>7</v>
      </c>
      <c r="DE968" s="166">
        <v>8110</v>
      </c>
      <c r="DF968" s="522">
        <f t="shared" ref="DF968:DF974" si="497">ROUND(((DE968-(DE968/6))/$DD$3)*$DE$3,2)</f>
        <v>8110</v>
      </c>
      <c r="DG968" s="529"/>
      <c r="DH968" s="524">
        <f t="shared" si="495"/>
        <v>8110</v>
      </c>
      <c r="DV968" s="739" t="s">
        <v>6439</v>
      </c>
      <c r="DW968" s="164">
        <v>80</v>
      </c>
      <c r="DX968" s="525">
        <f>ROUND(((DW968-(DW968/6))/$DD$3)*$DE$3,2)</f>
        <v>80</v>
      </c>
      <c r="DY968" s="526"/>
      <c r="DZ968" s="527">
        <f>IF(DY968="",DX968,
IF(AND($DW$10&gt;=VLOOKUP(DY968,$DV$5:$DZ$9,2,0),$DW$10&lt;=VLOOKUP(DY968,$DV$5:$DZ$9,3,0)),
(DX968*(1-VLOOKUP(DY968,$DV$5:$DZ$9,4,0))),
DX968))</f>
        <v>80</v>
      </c>
    </row>
    <row r="969" spans="79:130">
      <c r="CA969" s="751" t="s">
        <v>3830</v>
      </c>
      <c r="CB969" s="134" t="s">
        <v>4106</v>
      </c>
      <c r="CC969" s="135" t="str">
        <f>CONCATENATE(CA969,".",CB969)</f>
        <v>КД Standard.стандарт.2-стулк.(ні)</v>
      </c>
      <c r="DD969" s="165" t="s">
        <v>8</v>
      </c>
      <c r="DE969" s="166">
        <v>8110</v>
      </c>
      <c r="DF969" s="522">
        <f t="shared" si="497"/>
        <v>8110</v>
      </c>
      <c r="DG969" s="529"/>
      <c r="DH969" s="524">
        <f t="shared" si="495"/>
        <v>8110</v>
      </c>
      <c r="DV969" s="739" t="s">
        <v>4817</v>
      </c>
      <c r="DW969" s="164">
        <v>80</v>
      </c>
      <c r="DX969" s="525">
        <f t="shared" si="496"/>
        <v>80</v>
      </c>
      <c r="DY969" s="526"/>
      <c r="DZ969" s="527">
        <f t="shared" si="491"/>
        <v>80</v>
      </c>
    </row>
    <row r="970" spans="79:130">
      <c r="CA970" s="752" t="s">
        <v>3830</v>
      </c>
      <c r="CB970" s="21"/>
      <c r="CC970" s="21"/>
      <c r="DD970" s="165" t="s">
        <v>9</v>
      </c>
      <c r="DE970" s="166">
        <v>8110</v>
      </c>
      <c r="DF970" s="522">
        <f t="shared" si="497"/>
        <v>8110</v>
      </c>
      <c r="DG970" s="529"/>
      <c r="DH970" s="524">
        <f t="shared" si="495"/>
        <v>8110</v>
      </c>
      <c r="DV970" s="737" t="s">
        <v>3136</v>
      </c>
      <c r="DW970" s="163">
        <v>0</v>
      </c>
      <c r="DX970" s="528">
        <f t="shared" si="496"/>
        <v>0</v>
      </c>
      <c r="DY970" s="529"/>
      <c r="DZ970" s="530">
        <f t="shared" si="491"/>
        <v>0</v>
      </c>
    </row>
    <row r="971" spans="79:130">
      <c r="CA971" s="752" t="s">
        <v>3830</v>
      </c>
      <c r="CB971" s="137" t="s">
        <v>3133</v>
      </c>
      <c r="CC971" s="138" t="str">
        <f>CONCATENATE(CA971,".",CB971)</f>
        <v>КД Standard.стандарт.2-стулк.4 завіси (2+2)</v>
      </c>
      <c r="DD971" s="165" t="s">
        <v>10</v>
      </c>
      <c r="DE971" s="166">
        <v>8110</v>
      </c>
      <c r="DF971" s="522">
        <f t="shared" si="497"/>
        <v>8110</v>
      </c>
      <c r="DG971" s="529"/>
      <c r="DH971" s="524">
        <f t="shared" si="495"/>
        <v>8110</v>
      </c>
      <c r="DV971" s="739" t="s">
        <v>6217</v>
      </c>
      <c r="DW971" s="164">
        <v>160</v>
      </c>
      <c r="DX971" s="525">
        <f t="shared" si="496"/>
        <v>160</v>
      </c>
      <c r="DY971" s="526"/>
      <c r="DZ971" s="527">
        <f t="shared" si="491"/>
        <v>160</v>
      </c>
    </row>
    <row r="972" spans="79:130">
      <c r="CA972" s="752" t="s">
        <v>3830</v>
      </c>
      <c r="CB972" s="137" t="s">
        <v>6166</v>
      </c>
      <c r="CC972" s="138" t="str">
        <f>CONCATENATE(CA972,".",CB972)</f>
        <v>КД Standard.стандарт.2-стулк.6 завіс (3+3)</v>
      </c>
      <c r="DD972" s="165" t="s">
        <v>11</v>
      </c>
      <c r="DE972" s="166">
        <v>7470</v>
      </c>
      <c r="DF972" s="522">
        <f t="shared" si="497"/>
        <v>7470</v>
      </c>
      <c r="DG972" s="529"/>
      <c r="DH972" s="524">
        <f t="shared" si="495"/>
        <v>7470</v>
      </c>
      <c r="DV972" s="60" t="s">
        <v>592</v>
      </c>
      <c r="DW972" s="105">
        <v>0</v>
      </c>
      <c r="DX972" s="403">
        <f>ROUND(((DW972-(DW972/6))/$DD$3)*$DE$3,2)</f>
        <v>0</v>
      </c>
      <c r="DY972" s="514"/>
      <c r="DZ972" s="511">
        <f t="shared" si="491"/>
        <v>0</v>
      </c>
    </row>
    <row r="973" spans="79:130">
      <c r="CA973" s="432"/>
      <c r="CB973" s="222"/>
      <c r="CC973" s="223"/>
      <c r="DD973" s="165" t="s">
        <v>12</v>
      </c>
      <c r="DE973" s="166">
        <v>6890</v>
      </c>
      <c r="DF973" s="522">
        <f t="shared" si="497"/>
        <v>6890</v>
      </c>
      <c r="DG973" s="529"/>
      <c r="DH973" s="524">
        <f t="shared" si="495"/>
        <v>6890</v>
      </c>
      <c r="DV973" s="647"/>
      <c r="DW973" s="648"/>
      <c r="DX973" s="654"/>
      <c r="DY973" s="655"/>
      <c r="DZ973" s="656"/>
    </row>
    <row r="974" spans="79:130">
      <c r="CA974" s="752" t="s">
        <v>3831</v>
      </c>
      <c r="CB974" s="134" t="s">
        <v>4106</v>
      </c>
      <c r="CC974" s="138" t="str">
        <f>CONCATENATE(CA974,".",CB974)</f>
        <v>КД Verto-FIT.стандарт.1-стулк.(ні)</v>
      </c>
      <c r="DD974" s="108" t="s">
        <v>13</v>
      </c>
      <c r="DE974" s="164">
        <v>7470</v>
      </c>
      <c r="DF974" s="531">
        <f t="shared" si="497"/>
        <v>7470</v>
      </c>
      <c r="DG974" s="529"/>
      <c r="DH974" s="527">
        <f t="shared" si="495"/>
        <v>7470</v>
      </c>
      <c r="DV974" s="736" t="s">
        <v>4190</v>
      </c>
      <c r="DW974" s="105">
        <v>0</v>
      </c>
      <c r="DX974" s="403">
        <f t="shared" ref="DX974:DX984" si="498">ROUND(((DW974-(DW974/6))/$DD$3)*$DE$3,2)</f>
        <v>0</v>
      </c>
      <c r="DY974" s="514"/>
      <c r="DZ974" s="511">
        <f t="shared" ref="DZ974:DZ985" si="499">IF(DY974="",DX974,
IF(AND($DW$10&gt;=VLOOKUP(DY974,$DV$5:$DZ$9,2,0),$DW$10&lt;=VLOOKUP(DY974,$DV$5:$DZ$9,3,0)),
(DX974*(1-VLOOKUP(DY974,$DV$5:$DZ$9,4,0))),
DX974))</f>
        <v>0</v>
      </c>
    </row>
    <row r="975" spans="79:130">
      <c r="CA975" s="752" t="s">
        <v>3831</v>
      </c>
      <c r="CB975" s="21"/>
      <c r="CC975" s="21"/>
      <c r="DD975" s="738" t="s">
        <v>5299</v>
      </c>
      <c r="DE975" s="166">
        <v>8540</v>
      </c>
      <c r="DF975" s="522">
        <f t="shared" ref="DF975:DF981" si="500">ROUND(((DE975-(DE975/6))/$DD$3)*$DE$3,2)</f>
        <v>8540</v>
      </c>
      <c r="DG975" s="529"/>
      <c r="DH975" s="524">
        <f t="shared" si="495"/>
        <v>8540</v>
      </c>
      <c r="DV975" s="737" t="s">
        <v>4818</v>
      </c>
      <c r="DW975" s="163">
        <v>0</v>
      </c>
      <c r="DX975" s="528">
        <f t="shared" si="498"/>
        <v>0</v>
      </c>
      <c r="DY975" s="529"/>
      <c r="DZ975" s="530">
        <f t="shared" si="499"/>
        <v>0</v>
      </c>
    </row>
    <row r="976" spans="79:130">
      <c r="CA976" s="752" t="s">
        <v>3831</v>
      </c>
      <c r="CB976" s="137" t="s">
        <v>4323</v>
      </c>
      <c r="CC976" s="138" t="str">
        <f>CONCATENATE(CA976,".",CB976)</f>
        <v>КД Verto-FIT.стандарт.1-стулк.Пл Stand +2завіс</v>
      </c>
      <c r="DD976" s="738" t="s">
        <v>5300</v>
      </c>
      <c r="DE976" s="166">
        <v>8540</v>
      </c>
      <c r="DF976" s="522">
        <f t="shared" si="500"/>
        <v>8540</v>
      </c>
      <c r="DG976" s="529"/>
      <c r="DH976" s="524">
        <f t="shared" si="495"/>
        <v>8540</v>
      </c>
      <c r="DV976" s="738" t="s">
        <v>4819</v>
      </c>
      <c r="DW976" s="166">
        <v>0</v>
      </c>
      <c r="DX976" s="522">
        <f t="shared" si="498"/>
        <v>0</v>
      </c>
      <c r="DY976" s="523"/>
      <c r="DZ976" s="524">
        <f t="shared" si="499"/>
        <v>0</v>
      </c>
    </row>
    <row r="977" spans="79:130">
      <c r="CA977" s="752" t="s">
        <v>3831</v>
      </c>
      <c r="CB977" s="137" t="s">
        <v>4325</v>
      </c>
      <c r="CC977" s="138" t="str">
        <f>CONCATENATE(CA977,".",CB977)</f>
        <v>КД Verto-FIT.стандарт.1-стулк.Пл Stand +3завіс</v>
      </c>
      <c r="DD977" s="738" t="s">
        <v>5301</v>
      </c>
      <c r="DE977" s="166">
        <v>8540</v>
      </c>
      <c r="DF977" s="522">
        <f t="shared" si="500"/>
        <v>8540</v>
      </c>
      <c r="DG977" s="529"/>
      <c r="DH977" s="524">
        <f t="shared" si="495"/>
        <v>8540</v>
      </c>
      <c r="DV977" s="739" t="s">
        <v>4820</v>
      </c>
      <c r="DW977" s="164">
        <v>0</v>
      </c>
      <c r="DX977" s="525">
        <f>ROUND(((DW977-(DW977/6))/$DD$3)*$DE$3,2)</f>
        <v>0</v>
      </c>
      <c r="DY977" s="526"/>
      <c r="DZ977" s="527">
        <f>IF(DY977="",DX977,
IF(AND($DW$10&gt;=VLOOKUP(DY977,$DV$5:$DZ$9,2,0),$DW$10&lt;=VLOOKUP(DY977,$DV$5:$DZ$9,3,0)),
(DX977*(1-VLOOKUP(DY977,$DV$5:$DZ$9,4,0))),
DX977))</f>
        <v>0</v>
      </c>
    </row>
    <row r="978" spans="79:130">
      <c r="CA978" s="752" t="s">
        <v>3831</v>
      </c>
      <c r="CB978" s="21"/>
      <c r="CC978" s="21"/>
      <c r="DD978" s="738" t="s">
        <v>5302</v>
      </c>
      <c r="DE978" s="166">
        <v>8540</v>
      </c>
      <c r="DF978" s="522">
        <f t="shared" si="500"/>
        <v>8540</v>
      </c>
      <c r="DG978" s="529"/>
      <c r="DH978" s="524">
        <f t="shared" si="495"/>
        <v>8540</v>
      </c>
      <c r="DV978" s="739" t="s">
        <v>6440</v>
      </c>
      <c r="DW978" s="164">
        <v>0</v>
      </c>
      <c r="DX978" s="525">
        <f t="shared" si="498"/>
        <v>0</v>
      </c>
      <c r="DY978" s="526"/>
      <c r="DZ978" s="527">
        <f t="shared" si="499"/>
        <v>0</v>
      </c>
    </row>
    <row r="979" spans="79:130">
      <c r="CA979" s="752" t="s">
        <v>3831</v>
      </c>
      <c r="CB979" s="137" t="s">
        <v>4330</v>
      </c>
      <c r="CC979" s="138" t="str">
        <f>CONCATENATE(CA979,".",CB979)</f>
        <v>КД Verto-FIT.стандарт.1-стулк.Пл Soft +2завіс</v>
      </c>
      <c r="DD979" s="738" t="s">
        <v>5303</v>
      </c>
      <c r="DE979" s="166">
        <v>7830</v>
      </c>
      <c r="DF979" s="522">
        <f t="shared" si="500"/>
        <v>7830</v>
      </c>
      <c r="DG979" s="529"/>
      <c r="DH979" s="524">
        <f t="shared" si="495"/>
        <v>7830</v>
      </c>
      <c r="DV979" s="737" t="s">
        <v>4821</v>
      </c>
      <c r="DW979" s="163">
        <v>80</v>
      </c>
      <c r="DX979" s="528">
        <f t="shared" si="498"/>
        <v>80</v>
      </c>
      <c r="DY979" s="529"/>
      <c r="DZ979" s="530">
        <f t="shared" si="499"/>
        <v>80</v>
      </c>
    </row>
    <row r="980" spans="79:130">
      <c r="CA980" s="752" t="s">
        <v>3831</v>
      </c>
      <c r="CB980" s="137" t="s">
        <v>4333</v>
      </c>
      <c r="CC980" s="138" t="str">
        <f>CONCATENATE(CA980,".",CB980)</f>
        <v>КД Verto-FIT.стандарт.1-стулк.Пл Soft +3завіс</v>
      </c>
      <c r="DD980" s="738" t="s">
        <v>5304</v>
      </c>
      <c r="DE980" s="166">
        <v>7230</v>
      </c>
      <c r="DF980" s="522">
        <f t="shared" si="500"/>
        <v>7230</v>
      </c>
      <c r="DG980" s="529"/>
      <c r="DH980" s="524">
        <f t="shared" si="495"/>
        <v>7230</v>
      </c>
      <c r="DV980" s="738" t="s">
        <v>4822</v>
      </c>
      <c r="DW980" s="166">
        <v>80</v>
      </c>
      <c r="DX980" s="522">
        <f t="shared" si="498"/>
        <v>80</v>
      </c>
      <c r="DY980" s="523"/>
      <c r="DZ980" s="524">
        <f t="shared" si="499"/>
        <v>80</v>
      </c>
    </row>
    <row r="981" spans="79:130">
      <c r="CA981" s="752" t="s">
        <v>3831</v>
      </c>
      <c r="CB981" s="137"/>
      <c r="CC981" s="138"/>
      <c r="DD981" s="739" t="s">
        <v>5305</v>
      </c>
      <c r="DE981" s="164">
        <v>7830</v>
      </c>
      <c r="DF981" s="531">
        <f t="shared" si="500"/>
        <v>7830</v>
      </c>
      <c r="DG981" s="529"/>
      <c r="DH981" s="527">
        <f t="shared" si="495"/>
        <v>7830</v>
      </c>
      <c r="DV981" s="739" t="s">
        <v>4823</v>
      </c>
      <c r="DW981" s="164">
        <v>80</v>
      </c>
      <c r="DX981" s="525">
        <f>ROUND(((DW981-(DW981/6))/$DD$3)*$DE$3,2)</f>
        <v>80</v>
      </c>
      <c r="DY981" s="526"/>
      <c r="DZ981" s="527">
        <f>IF(DY981="",DX981,
IF(AND($DW$10&gt;=VLOOKUP(DY981,$DV$5:$DZ$9,2,0),$DW$10&lt;=VLOOKUP(DY981,$DV$5:$DZ$9,3,0)),
(DX981*(1-VLOOKUP(DY981,$DV$5:$DZ$9,4,0))),
DX981))</f>
        <v>80</v>
      </c>
    </row>
    <row r="982" spans="79:130">
      <c r="CA982" s="752" t="s">
        <v>3831</v>
      </c>
      <c r="CB982" s="137" t="s">
        <v>4335</v>
      </c>
      <c r="CC982" s="138" t="str">
        <f>CONCATENATE(CA982,".",CB982)</f>
        <v>КД Verto-FIT.стандарт.1-стулк.Пл Magnet +2завіс</v>
      </c>
      <c r="DD982" s="641"/>
      <c r="DE982" s="642"/>
      <c r="DF982" s="643"/>
      <c r="DG982" s="644"/>
      <c r="DH982" s="645"/>
      <c r="DV982" s="739" t="s">
        <v>6441</v>
      </c>
      <c r="DW982" s="164">
        <v>80</v>
      </c>
      <c r="DX982" s="525">
        <f t="shared" si="498"/>
        <v>80</v>
      </c>
      <c r="DY982" s="526"/>
      <c r="DZ982" s="527">
        <f t="shared" si="499"/>
        <v>80</v>
      </c>
    </row>
    <row r="983" spans="79:130">
      <c r="CA983" s="752" t="s">
        <v>3831</v>
      </c>
      <c r="CB983" s="137" t="s">
        <v>4336</v>
      </c>
      <c r="CC983" s="138" t="str">
        <f>CONCATENATE(CA983,".",CB983)</f>
        <v>КД Verto-FIT.стандарт.1-стулк.Пл Magnet +3завіс</v>
      </c>
      <c r="DD983" s="631"/>
      <c r="DE983" s="632"/>
      <c r="DF983" s="633"/>
      <c r="DG983" s="634"/>
      <c r="DH983" s="635"/>
      <c r="DV983" s="737" t="s">
        <v>3137</v>
      </c>
      <c r="DW983" s="163">
        <v>0</v>
      </c>
      <c r="DX983" s="528">
        <f t="shared" si="498"/>
        <v>0</v>
      </c>
      <c r="DY983" s="529"/>
      <c r="DZ983" s="530">
        <f t="shared" si="499"/>
        <v>0</v>
      </c>
    </row>
    <row r="984" spans="79:130">
      <c r="CA984" s="752" t="s">
        <v>3831</v>
      </c>
      <c r="CB984" s="21"/>
      <c r="CC984" s="21"/>
      <c r="DD984" s="162"/>
      <c r="DE984" s="163"/>
      <c r="DF984" s="528"/>
      <c r="DG984" s="529"/>
      <c r="DH984" s="530"/>
      <c r="DV984" s="739" t="s">
        <v>6218</v>
      </c>
      <c r="DW984" s="164">
        <v>160</v>
      </c>
      <c r="DX984" s="525">
        <f t="shared" si="498"/>
        <v>160</v>
      </c>
      <c r="DY984" s="526"/>
      <c r="DZ984" s="527">
        <f t="shared" si="499"/>
        <v>160</v>
      </c>
    </row>
    <row r="985" spans="79:130">
      <c r="CA985" s="750" t="s">
        <v>3831</v>
      </c>
      <c r="CB985" s="62" t="s">
        <v>590</v>
      </c>
      <c r="CC985" s="139" t="str">
        <f>CONCATENATE(CA985,".",CB985)</f>
        <v>КД Verto-FIT.стандарт.1-стулк.для ДП Гласфорд</v>
      </c>
      <c r="DD985" s="162"/>
      <c r="DE985" s="163"/>
      <c r="DF985" s="528"/>
      <c r="DG985" s="529"/>
      <c r="DH985" s="530"/>
      <c r="DV985" s="60" t="s">
        <v>620</v>
      </c>
      <c r="DW985" s="105">
        <v>0</v>
      </c>
      <c r="DX985" s="403">
        <f>ROUND(((DW985-(DW985/6))/$DD$3)*$DE$3,2)</f>
        <v>0</v>
      </c>
      <c r="DY985" s="514"/>
      <c r="DZ985" s="511">
        <f t="shared" si="499"/>
        <v>0</v>
      </c>
    </row>
    <row r="986" spans="79:130">
      <c r="CA986" s="751" t="s">
        <v>3832</v>
      </c>
      <c r="CB986" s="134" t="s">
        <v>4106</v>
      </c>
      <c r="CC986" s="135" t="str">
        <f>CONCATENATE(CA986,".",CB986)</f>
        <v>КД Verto-FIT.стандарт.2-стулк.(ні)</v>
      </c>
      <c r="DD986" s="165"/>
      <c r="DE986" s="166"/>
      <c r="DF986" s="528"/>
      <c r="DG986" s="523"/>
      <c r="DH986" s="530"/>
      <c r="DV986" s="647"/>
      <c r="DW986" s="648"/>
      <c r="DX986" s="654"/>
      <c r="DY986" s="655"/>
      <c r="DZ986" s="656"/>
    </row>
    <row r="987" spans="79:130">
      <c r="CA987" s="752" t="s">
        <v>3832</v>
      </c>
      <c r="CB987" s="21"/>
      <c r="CC987" s="21"/>
      <c r="DD987" s="108"/>
      <c r="DE987" s="164"/>
      <c r="DF987" s="528"/>
      <c r="DG987" s="526"/>
      <c r="DH987" s="530"/>
      <c r="DV987" s="736" t="s">
        <v>4191</v>
      </c>
      <c r="DW987" s="105">
        <v>0</v>
      </c>
      <c r="DX987" s="403">
        <f t="shared" ref="DX987:DX997" si="501">ROUND(((DW987-(DW987/6))/$DD$3)*$DE$3,2)</f>
        <v>0</v>
      </c>
      <c r="DY987" s="514"/>
      <c r="DZ987" s="511">
        <f t="shared" ref="DZ987:DZ997" si="502">IF(DY987="",DX987,
IF(AND($DW$10&gt;=VLOOKUP(DY987,$DV$5:$DZ$9,2,0),$DW$10&lt;=VLOOKUP(DY987,$DV$5:$DZ$9,3,0)),
(DX987*(1-VLOOKUP(DY987,$DV$5:$DZ$9,4,0))),
DX987))</f>
        <v>0</v>
      </c>
    </row>
    <row r="988" spans="79:130">
      <c r="CA988" s="752" t="s">
        <v>3832</v>
      </c>
      <c r="CB988" s="137" t="s">
        <v>3133</v>
      </c>
      <c r="CC988" s="138" t="str">
        <f>CONCATENATE(CA988,".",CB988)</f>
        <v>КД Verto-FIT.стандарт.2-стулк.4 завіси (2+2)</v>
      </c>
      <c r="DD988" s="738" t="s">
        <v>2954</v>
      </c>
      <c r="DE988" s="166">
        <v>4840</v>
      </c>
      <c r="DF988" s="528">
        <f t="shared" ref="DF988:DF1048" si="503">ROUND(((DE988-(DE988/6))/$DD$3)*$DE$3,2)</f>
        <v>4840</v>
      </c>
      <c r="DG988" s="523"/>
      <c r="DH988" s="530">
        <f t="shared" ref="DH988:DH1048" si="504">IF(DG988="",DF988,
IF(AND($DE$10&gt;=VLOOKUP(DG988,$DD$5:$DH$9,2,0),$DE$10&lt;=VLOOKUP(DG988,$DD$5:$DH$9,3,0)),
(DF988*(1-VLOOKUP(DG988,$DD$5:$DH$9,4,0))),
DF988))</f>
        <v>4840</v>
      </c>
      <c r="DV988" s="737" t="s">
        <v>4824</v>
      </c>
      <c r="DW988" s="163">
        <v>0</v>
      </c>
      <c r="DX988" s="528">
        <f>ROUND(((DW988-(DW988/6))/$DD$3)*$DE$3,2)</f>
        <v>0</v>
      </c>
      <c r="DY988" s="529"/>
      <c r="DZ988" s="530">
        <f t="shared" si="502"/>
        <v>0</v>
      </c>
    </row>
    <row r="989" spans="79:130">
      <c r="CA989" s="750" t="s">
        <v>3832</v>
      </c>
      <c r="CB989" s="62" t="s">
        <v>6166</v>
      </c>
      <c r="CC989" s="139" t="str">
        <f>CONCATENATE(CA989,".",CB989)</f>
        <v>КД Verto-FIT.стандарт.2-стулк.6 завіс (3+3)</v>
      </c>
      <c r="DD989" s="738" t="s">
        <v>2955</v>
      </c>
      <c r="DE989" s="166">
        <v>6840</v>
      </c>
      <c r="DF989" s="528">
        <f t="shared" si="503"/>
        <v>6840</v>
      </c>
      <c r="DG989" s="523"/>
      <c r="DH989" s="530">
        <f t="shared" si="504"/>
        <v>6840</v>
      </c>
      <c r="DV989" s="738" t="s">
        <v>4825</v>
      </c>
      <c r="DW989" s="166">
        <v>1780</v>
      </c>
      <c r="DX989" s="522">
        <f>ROUND(((DW989-(DW989/6))/$DD$3)*$DE$3,2)</f>
        <v>1780</v>
      </c>
      <c r="DY989" s="523"/>
      <c r="DZ989" s="524">
        <f t="shared" si="502"/>
        <v>1780</v>
      </c>
    </row>
    <row r="990" spans="79:130">
      <c r="CA990" s="750" t="s">
        <v>4902</v>
      </c>
      <c r="CB990" s="62" t="s">
        <v>4106</v>
      </c>
      <c r="CC990" s="139" t="str">
        <f>CONCATENATE(CA990,".",CB990)</f>
        <v>КД Verto-FIT.тунель.1-стулк.(ні)</v>
      </c>
      <c r="DD990" s="738" t="s">
        <v>2956</v>
      </c>
      <c r="DE990" s="164">
        <v>7220</v>
      </c>
      <c r="DF990" s="528">
        <f t="shared" si="503"/>
        <v>7220</v>
      </c>
      <c r="DG990" s="526"/>
      <c r="DH990" s="530">
        <f t="shared" si="504"/>
        <v>7220</v>
      </c>
      <c r="DV990" s="739" t="s">
        <v>4826</v>
      </c>
      <c r="DW990" s="164">
        <v>2670</v>
      </c>
      <c r="DX990" s="525">
        <f>ROUND(((DW990-(DW990/6))/$DD$3)*$DE$3,2)</f>
        <v>2670</v>
      </c>
      <c r="DY990" s="526"/>
      <c r="DZ990" s="527">
        <f t="shared" si="502"/>
        <v>2670</v>
      </c>
    </row>
    <row r="991" spans="79:130">
      <c r="CA991" s="751" t="s">
        <v>4903</v>
      </c>
      <c r="CB991" s="134" t="s">
        <v>4106</v>
      </c>
      <c r="CC991" s="135" t="str">
        <f>CONCATENATE(CA991,".",CB991)</f>
        <v>КД Verto-FIT.тунель.2-стулк.(ні)</v>
      </c>
      <c r="DD991" s="641"/>
      <c r="DE991" s="642"/>
      <c r="DF991" s="643"/>
      <c r="DG991" s="644"/>
      <c r="DH991" s="645"/>
      <c r="DV991" s="738" t="s">
        <v>4825</v>
      </c>
      <c r="DW991" s="166">
        <v>1780</v>
      </c>
      <c r="DX991" s="522">
        <f>ROUND(((DW991-(DW991/6))/$DD$3)*$DE$3,2)</f>
        <v>1780</v>
      </c>
      <c r="DY991" s="523"/>
      <c r="DZ991" s="524">
        <f t="shared" si="502"/>
        <v>1780</v>
      </c>
    </row>
    <row r="992" spans="79:130">
      <c r="CA992" s="432"/>
      <c r="CB992" s="222"/>
      <c r="CC992" s="223"/>
      <c r="DD992" s="162" t="s">
        <v>491</v>
      </c>
      <c r="DE992" s="163">
        <v>7240.0000000000009</v>
      </c>
      <c r="DF992" s="528">
        <f t="shared" si="503"/>
        <v>7240</v>
      </c>
      <c r="DG992" s="529"/>
      <c r="DH992" s="530">
        <f t="shared" si="504"/>
        <v>7240</v>
      </c>
      <c r="DV992" s="739" t="s">
        <v>4826</v>
      </c>
      <c r="DW992" s="164">
        <v>2670</v>
      </c>
      <c r="DX992" s="525">
        <f>ROUND(((DW992-(DW992/6))/$DD$3)*$DE$3,2)</f>
        <v>2670</v>
      </c>
      <c r="DY992" s="526"/>
      <c r="DZ992" s="527">
        <f t="shared" si="502"/>
        <v>2670</v>
      </c>
    </row>
    <row r="993" spans="79:130">
      <c r="CA993" s="752" t="s">
        <v>3833</v>
      </c>
      <c r="CB993" s="134" t="s">
        <v>4106</v>
      </c>
      <c r="CC993" s="138" t="str">
        <f>CONCATENATE(CA993,".",CB993)</f>
        <v>КД Verto-FIT Plus.стандарт.1-стулк.(ні)</v>
      </c>
      <c r="DD993" s="165" t="s">
        <v>492</v>
      </c>
      <c r="DE993" s="166">
        <v>8040</v>
      </c>
      <c r="DF993" s="528">
        <f t="shared" si="503"/>
        <v>8040</v>
      </c>
      <c r="DG993" s="523"/>
      <c r="DH993" s="530">
        <f t="shared" si="504"/>
        <v>8040</v>
      </c>
      <c r="DV993" s="737" t="s">
        <v>6442</v>
      </c>
      <c r="DW993" s="163">
        <v>0</v>
      </c>
      <c r="DX993" s="528">
        <f t="shared" si="501"/>
        <v>0</v>
      </c>
      <c r="DY993" s="529"/>
      <c r="DZ993" s="530">
        <f t="shared" si="502"/>
        <v>0</v>
      </c>
    </row>
    <row r="994" spans="79:130">
      <c r="CA994" s="752" t="s">
        <v>3833</v>
      </c>
      <c r="CB994" s="21"/>
      <c r="CC994" s="21"/>
      <c r="DD994" s="165" t="s">
        <v>493</v>
      </c>
      <c r="DE994" s="166">
        <v>8040</v>
      </c>
      <c r="DF994" s="528">
        <f t="shared" si="503"/>
        <v>8040</v>
      </c>
      <c r="DG994" s="523"/>
      <c r="DH994" s="530">
        <f t="shared" si="504"/>
        <v>8040</v>
      </c>
      <c r="DV994" s="738" t="s">
        <v>6443</v>
      </c>
      <c r="DW994" s="166">
        <v>1780</v>
      </c>
      <c r="DX994" s="522">
        <f t="shared" si="501"/>
        <v>1780</v>
      </c>
      <c r="DY994" s="523"/>
      <c r="DZ994" s="524">
        <f t="shared" si="502"/>
        <v>1780</v>
      </c>
    </row>
    <row r="995" spans="79:130">
      <c r="CA995" s="752" t="s">
        <v>3833</v>
      </c>
      <c r="CB995" s="137" t="s">
        <v>4323</v>
      </c>
      <c r="CC995" s="138" t="str">
        <f>CONCATENATE(CA995,".",CB995)</f>
        <v>КД Verto-FIT Plus.стандарт.1-стулк.Пл Stand +2завіс</v>
      </c>
      <c r="DD995" s="165" t="s">
        <v>494</v>
      </c>
      <c r="DE995" s="166">
        <v>8040</v>
      </c>
      <c r="DF995" s="528">
        <f t="shared" si="503"/>
        <v>8040</v>
      </c>
      <c r="DG995" s="523"/>
      <c r="DH995" s="530">
        <f t="shared" si="504"/>
        <v>8040</v>
      </c>
      <c r="DV995" s="739" t="s">
        <v>6444</v>
      </c>
      <c r="DW995" s="164">
        <v>2670</v>
      </c>
      <c r="DX995" s="525">
        <f t="shared" si="501"/>
        <v>2670</v>
      </c>
      <c r="DY995" s="526"/>
      <c r="DZ995" s="527">
        <f t="shared" si="502"/>
        <v>2670</v>
      </c>
    </row>
    <row r="996" spans="79:130">
      <c r="CA996" s="752" t="s">
        <v>3833</v>
      </c>
      <c r="CB996" s="137" t="s">
        <v>4325</v>
      </c>
      <c r="CC996" s="138" t="str">
        <f>CONCATENATE(CA996,".",CB996)</f>
        <v>КД Verto-FIT Plus.стандарт.1-стулк.Пл Stand +3завіс</v>
      </c>
      <c r="DD996" s="165" t="s">
        <v>495</v>
      </c>
      <c r="DE996" s="166">
        <v>8040</v>
      </c>
      <c r="DF996" s="528">
        <f t="shared" si="503"/>
        <v>8040</v>
      </c>
      <c r="DG996" s="523"/>
      <c r="DH996" s="530">
        <f t="shared" si="504"/>
        <v>8040</v>
      </c>
      <c r="DV996" s="738" t="s">
        <v>6443</v>
      </c>
      <c r="DW996" s="166">
        <v>1780</v>
      </c>
      <c r="DX996" s="522">
        <f t="shared" si="501"/>
        <v>1780</v>
      </c>
      <c r="DY996" s="523"/>
      <c r="DZ996" s="524">
        <f t="shared" si="502"/>
        <v>1780</v>
      </c>
    </row>
    <row r="997" spans="79:130">
      <c r="CA997" s="752" t="s">
        <v>3833</v>
      </c>
      <c r="CB997" s="21"/>
      <c r="CC997" s="21"/>
      <c r="DD997" s="165" t="s">
        <v>496</v>
      </c>
      <c r="DE997" s="166">
        <v>8040</v>
      </c>
      <c r="DF997" s="528">
        <f t="shared" si="503"/>
        <v>8040</v>
      </c>
      <c r="DG997" s="523"/>
      <c r="DH997" s="530">
        <f t="shared" si="504"/>
        <v>8040</v>
      </c>
      <c r="DV997" s="739" t="s">
        <v>6444</v>
      </c>
      <c r="DW997" s="164">
        <v>2670</v>
      </c>
      <c r="DX997" s="525">
        <f t="shared" si="501"/>
        <v>2670</v>
      </c>
      <c r="DY997" s="526"/>
      <c r="DZ997" s="527">
        <f t="shared" si="502"/>
        <v>2670</v>
      </c>
    </row>
    <row r="998" spans="79:130">
      <c r="CA998" s="752" t="s">
        <v>3833</v>
      </c>
      <c r="CB998" s="137" t="s">
        <v>4330</v>
      </c>
      <c r="CC998" s="138" t="str">
        <f>CONCATENATE(CA998,".",CB998)</f>
        <v>КД Verto-FIT Plus.стандарт.1-стулк.Пл Soft +2завіс</v>
      </c>
      <c r="DD998" s="108" t="s">
        <v>497</v>
      </c>
      <c r="DE998" s="164">
        <v>8040</v>
      </c>
      <c r="DF998" s="528">
        <f t="shared" si="503"/>
        <v>8040</v>
      </c>
      <c r="DG998" s="526"/>
      <c r="DH998" s="530">
        <f t="shared" si="504"/>
        <v>8040</v>
      </c>
      <c r="DV998" s="739"/>
      <c r="DW998" s="164"/>
      <c r="DX998" s="525"/>
      <c r="DY998" s="526"/>
      <c r="DZ998" s="527"/>
    </row>
    <row r="999" spans="79:130">
      <c r="CA999" s="752" t="s">
        <v>3833</v>
      </c>
      <c r="CB999" s="137" t="s">
        <v>4333</v>
      </c>
      <c r="CC999" s="138" t="str">
        <f>CONCATENATE(CA999,".",CB999)</f>
        <v>КД Verto-FIT Plus.стандарт.1-стулк.Пл Soft +3завіс</v>
      </c>
      <c r="DD999" s="165" t="s">
        <v>613</v>
      </c>
      <c r="DE999" s="729">
        <v>7820</v>
      </c>
      <c r="DF999" s="528">
        <f t="shared" si="503"/>
        <v>7820</v>
      </c>
      <c r="DG999" s="523"/>
      <c r="DH999" s="530">
        <f t="shared" si="504"/>
        <v>7820</v>
      </c>
      <c r="DV999" s="647"/>
      <c r="DW999" s="648"/>
      <c r="DX999" s="654"/>
      <c r="DY999" s="655"/>
      <c r="DZ999" s="656"/>
    </row>
    <row r="1000" spans="79:130">
      <c r="CA1000" s="752" t="s">
        <v>3833</v>
      </c>
      <c r="CB1000" s="137"/>
      <c r="CC1000" s="138"/>
      <c r="DD1000" s="165" t="s">
        <v>614</v>
      </c>
      <c r="DE1000" s="166">
        <v>8590</v>
      </c>
      <c r="DF1000" s="528">
        <f t="shared" si="503"/>
        <v>8590</v>
      </c>
      <c r="DG1000" s="523"/>
      <c r="DH1000" s="530">
        <f t="shared" si="504"/>
        <v>8590</v>
      </c>
      <c r="DV1000" s="60" t="s">
        <v>888</v>
      </c>
      <c r="DW1000" s="105">
        <v>0</v>
      </c>
      <c r="DX1000" s="403">
        <f>ROUND(((DW1000-(DW1000/6))/$DD$3)*$DE$3,2)</f>
        <v>0</v>
      </c>
      <c r="DY1000" s="514"/>
      <c r="DZ1000" s="511">
        <f>IF(DY1000="",DX1000,
IF(AND($DW$10&gt;=VLOOKUP(DY1000,$DV$5:$DZ$9,2,0),$DW$10&lt;=VLOOKUP(DY1000,$DV$5:$DZ$9,3,0)),
(DX1000*(1-VLOOKUP(DY1000,$DV$5:$DZ$9,4,0))),
DX1000))</f>
        <v>0</v>
      </c>
    </row>
    <row r="1001" spans="79:130">
      <c r="CA1001" s="752" t="s">
        <v>3833</v>
      </c>
      <c r="CB1001" s="137" t="s">
        <v>4335</v>
      </c>
      <c r="CC1001" s="138" t="str">
        <f>CONCATENATE(CA1001,".",CB1001)</f>
        <v>КД Verto-FIT Plus.стандарт.1-стулк.Пл Magnet +2завіс</v>
      </c>
      <c r="DD1001" s="165" t="s">
        <v>615</v>
      </c>
      <c r="DE1001" s="166">
        <v>8590</v>
      </c>
      <c r="DF1001" s="528">
        <f t="shared" si="503"/>
        <v>8590</v>
      </c>
      <c r="DG1001" s="523"/>
      <c r="DH1001" s="530">
        <f t="shared" si="504"/>
        <v>8590</v>
      </c>
      <c r="DV1001" s="60" t="s">
        <v>889</v>
      </c>
      <c r="DW1001" s="105">
        <v>110</v>
      </c>
      <c r="DX1001" s="403">
        <f>ROUND(((DW1001-(DW1001/6))/$DD$3)*$DE$3,2)</f>
        <v>110</v>
      </c>
      <c r="DY1001" s="514"/>
      <c r="DZ1001" s="511">
        <f>IF(DY1001="",DX1001,
IF(AND($DW$10&gt;=VLOOKUP(DY1001,$DV$5:$DZ$9,2,0),$DW$10&lt;=VLOOKUP(DY1001,$DV$5:$DZ$9,3,0)),
(DX1001*(1-VLOOKUP(DY1001,$DV$5:$DZ$9,4,0))),
DX1001))</f>
        <v>110</v>
      </c>
    </row>
    <row r="1002" spans="79:130">
      <c r="CA1002" s="752" t="s">
        <v>3833</v>
      </c>
      <c r="CB1002" s="137" t="s">
        <v>4336</v>
      </c>
      <c r="CC1002" s="138" t="str">
        <f>CONCATENATE(CA1002,".",CB1002)</f>
        <v>КД Verto-FIT Plus.стандарт.1-стулк.Пл Magnet +3завіс</v>
      </c>
      <c r="DD1002" s="165" t="s">
        <v>616</v>
      </c>
      <c r="DE1002" s="166">
        <v>8590</v>
      </c>
      <c r="DF1002" s="528">
        <f t="shared" si="503"/>
        <v>8590</v>
      </c>
      <c r="DG1002" s="523"/>
      <c r="DH1002" s="530">
        <f t="shared" si="504"/>
        <v>8590</v>
      </c>
      <c r="DV1002" s="647"/>
      <c r="DW1002" s="648"/>
      <c r="DX1002" s="654"/>
      <c r="DY1002" s="655"/>
      <c r="DZ1002" s="656"/>
    </row>
    <row r="1003" spans="79:130">
      <c r="CA1003" s="752" t="s">
        <v>3833</v>
      </c>
      <c r="CB1003" s="21"/>
      <c r="CC1003" s="21"/>
      <c r="DD1003" s="165" t="s">
        <v>617</v>
      </c>
      <c r="DE1003" s="166">
        <v>8590</v>
      </c>
      <c r="DF1003" s="528">
        <f t="shared" si="503"/>
        <v>8590</v>
      </c>
      <c r="DG1003" s="523"/>
      <c r="DH1003" s="530">
        <f t="shared" si="504"/>
        <v>8590</v>
      </c>
      <c r="DV1003" s="60"/>
      <c r="DW1003" s="103"/>
      <c r="DX1003" s="119"/>
      <c r="DY1003" s="105"/>
      <c r="DZ1003" s="107"/>
    </row>
    <row r="1004" spans="79:130">
      <c r="CA1004" s="750" t="s">
        <v>3833</v>
      </c>
      <c r="CB1004" s="62" t="s">
        <v>590</v>
      </c>
      <c r="CC1004" s="139" t="str">
        <f>CONCATENATE(CA1004,".",CB1004)</f>
        <v>КД Verto-FIT Plus.стандарт.1-стулк.для ДП Гласфорд</v>
      </c>
      <c r="DD1004" s="165" t="s">
        <v>618</v>
      </c>
      <c r="DE1004" s="166">
        <v>8590</v>
      </c>
      <c r="DF1004" s="528">
        <f t="shared" si="503"/>
        <v>8590</v>
      </c>
      <c r="DG1004" s="523"/>
      <c r="DH1004" s="530">
        <f t="shared" si="504"/>
        <v>8590</v>
      </c>
      <c r="DV1004" s="60"/>
      <c r="DW1004" s="103"/>
      <c r="DX1004" s="119"/>
      <c r="DY1004" s="105"/>
      <c r="DZ1004" s="107"/>
    </row>
    <row r="1005" spans="79:130">
      <c r="CA1005" s="751" t="s">
        <v>3834</v>
      </c>
      <c r="CB1005" s="134" t="s">
        <v>4106</v>
      </c>
      <c r="CC1005" s="135" t="str">
        <f>CONCATENATE(CA1005,".",CB1005)</f>
        <v>КД Verto-FIT Plus.стандарт.2-стулк.(ні)</v>
      </c>
      <c r="DD1005" s="108" t="s">
        <v>699</v>
      </c>
      <c r="DE1005" s="164">
        <v>8590</v>
      </c>
      <c r="DF1005" s="528">
        <f t="shared" si="503"/>
        <v>8590</v>
      </c>
      <c r="DG1005" s="526"/>
      <c r="DH1005" s="530">
        <f t="shared" si="504"/>
        <v>8590</v>
      </c>
      <c r="DV1005" s="60"/>
      <c r="DW1005" s="103"/>
      <c r="DX1005" s="119"/>
      <c r="DY1005" s="105"/>
      <c r="DZ1005" s="107"/>
    </row>
    <row r="1006" spans="79:130">
      <c r="CA1006" s="752" t="s">
        <v>3834</v>
      </c>
      <c r="CB1006" s="21"/>
      <c r="CC1006" s="21"/>
      <c r="DD1006" s="165" t="s">
        <v>691</v>
      </c>
      <c r="DE1006" s="729">
        <v>8160</v>
      </c>
      <c r="DF1006" s="528">
        <f t="shared" si="503"/>
        <v>8160</v>
      </c>
      <c r="DG1006" s="523"/>
      <c r="DH1006" s="530">
        <f t="shared" si="504"/>
        <v>8160</v>
      </c>
      <c r="DV1006" s="60"/>
      <c r="DW1006" s="103"/>
      <c r="DX1006" s="119"/>
      <c r="DY1006" s="103"/>
      <c r="DZ1006" s="103"/>
    </row>
    <row r="1007" spans="79:130">
      <c r="CA1007" s="752" t="s">
        <v>3834</v>
      </c>
      <c r="CB1007" s="137" t="s">
        <v>3133</v>
      </c>
      <c r="CC1007" s="138" t="str">
        <f>CONCATENATE(CA1007,".",CB1007)</f>
        <v>КД Verto-FIT Plus.стандарт.2-стулк.4 завіси (2+2)</v>
      </c>
      <c r="DD1007" s="165" t="s">
        <v>692</v>
      </c>
      <c r="DE1007" s="166">
        <v>8970</v>
      </c>
      <c r="DF1007" s="528">
        <f t="shared" si="503"/>
        <v>8970</v>
      </c>
      <c r="DG1007" s="523"/>
      <c r="DH1007" s="530">
        <f t="shared" si="504"/>
        <v>8970</v>
      </c>
      <c r="DV1007" s="631"/>
      <c r="DW1007" s="632"/>
      <c r="DX1007" s="658"/>
      <c r="DY1007" s="632"/>
      <c r="DZ1007" s="632"/>
    </row>
    <row r="1008" spans="79:130">
      <c r="CA1008" s="752" t="s">
        <v>3834</v>
      </c>
      <c r="CB1008" s="62" t="s">
        <v>6166</v>
      </c>
      <c r="CC1008" s="138" t="str">
        <f>CONCATENATE(CA1008,".",CB1008)</f>
        <v>КД Verto-FIT Plus.стандарт.2-стулк.6 завіс (3+3)</v>
      </c>
      <c r="DD1008" s="165" t="s">
        <v>693</v>
      </c>
      <c r="DE1008" s="166">
        <v>8970</v>
      </c>
      <c r="DF1008" s="528">
        <f t="shared" si="503"/>
        <v>8970</v>
      </c>
      <c r="DG1008" s="523"/>
      <c r="DH1008" s="530">
        <f t="shared" si="504"/>
        <v>8970</v>
      </c>
    </row>
    <row r="1009" spans="79:112">
      <c r="CA1009" s="437"/>
      <c r="CB1009" s="222"/>
      <c r="CC1009" s="223"/>
      <c r="DD1009" s="165" t="s">
        <v>694</v>
      </c>
      <c r="DE1009" s="166">
        <v>8970</v>
      </c>
      <c r="DF1009" s="528">
        <f t="shared" si="503"/>
        <v>8970</v>
      </c>
      <c r="DG1009" s="523"/>
      <c r="DH1009" s="530">
        <f t="shared" si="504"/>
        <v>8970</v>
      </c>
    </row>
    <row r="1010" spans="79:112">
      <c r="CA1010" s="752" t="s">
        <v>3835</v>
      </c>
      <c r="CB1010" s="137" t="s">
        <v>4106</v>
      </c>
      <c r="CC1010" s="239" t="str">
        <f>CONCATENATE(CA1010,".",CB1010)</f>
        <v>КД Verto-FIT Comfort.стандарт..1-стулк.(ні)</v>
      </c>
      <c r="DD1010" s="165" t="s">
        <v>695</v>
      </c>
      <c r="DE1010" s="166">
        <v>8970</v>
      </c>
      <c r="DF1010" s="528">
        <f t="shared" si="503"/>
        <v>8970</v>
      </c>
      <c r="DG1010" s="523"/>
      <c r="DH1010" s="530">
        <f t="shared" si="504"/>
        <v>8970</v>
      </c>
    </row>
    <row r="1011" spans="79:112">
      <c r="CA1011" s="752" t="s">
        <v>3835</v>
      </c>
      <c r="CB1011" s="97"/>
      <c r="CC1011" s="97"/>
      <c r="DD1011" s="165" t="s">
        <v>696</v>
      </c>
      <c r="DE1011" s="166">
        <v>8970</v>
      </c>
      <c r="DF1011" s="528">
        <f t="shared" si="503"/>
        <v>8970</v>
      </c>
      <c r="DG1011" s="523"/>
      <c r="DH1011" s="530">
        <f t="shared" si="504"/>
        <v>8970</v>
      </c>
    </row>
    <row r="1012" spans="79:112">
      <c r="CA1012" s="752" t="s">
        <v>3835</v>
      </c>
      <c r="CB1012" s="137" t="s">
        <v>4410</v>
      </c>
      <c r="CC1012" s="239" t="str">
        <f>CONCATENATE(CA1012,".",CB1012)</f>
        <v>КД Verto-FIT Comfort.стандарт..1-стулк.Пл Magnet б/з завіс.</v>
      </c>
      <c r="DD1012" s="108" t="s">
        <v>697</v>
      </c>
      <c r="DE1012" s="730">
        <v>8970</v>
      </c>
      <c r="DF1012" s="528">
        <f t="shared" si="503"/>
        <v>8970</v>
      </c>
      <c r="DG1012" s="526"/>
      <c r="DH1012" s="530">
        <f t="shared" si="504"/>
        <v>8970</v>
      </c>
    </row>
    <row r="1013" spans="79:112">
      <c r="CA1013" s="752" t="s">
        <v>3835</v>
      </c>
      <c r="CB1013" s="137"/>
      <c r="CC1013" s="97"/>
      <c r="DD1013" s="738" t="s">
        <v>5306</v>
      </c>
      <c r="DE1013" s="166">
        <v>8570</v>
      </c>
      <c r="DF1013" s="528">
        <f t="shared" si="503"/>
        <v>8570</v>
      </c>
      <c r="DG1013" s="523"/>
      <c r="DH1013" s="530">
        <f t="shared" si="504"/>
        <v>8570</v>
      </c>
    </row>
    <row r="1014" spans="79:112">
      <c r="CA1014" s="752" t="s">
        <v>3835</v>
      </c>
      <c r="CB1014" s="137" t="s">
        <v>4414</v>
      </c>
      <c r="CC1014" s="239" t="str">
        <f>CONCATENATE(CA1014,".",CB1014)</f>
        <v>КД Verto-FIT Comfort.стандарт..1-стулк.Пл Magnet +2завіс 3D</v>
      </c>
      <c r="DD1014" s="738" t="s">
        <v>5307</v>
      </c>
      <c r="DE1014" s="166">
        <v>9400</v>
      </c>
      <c r="DF1014" s="528">
        <f t="shared" si="503"/>
        <v>9400</v>
      </c>
      <c r="DG1014" s="523"/>
      <c r="DH1014" s="530">
        <f t="shared" si="504"/>
        <v>9400</v>
      </c>
    </row>
    <row r="1015" spans="79:112">
      <c r="CA1015" s="752" t="s">
        <v>3835</v>
      </c>
      <c r="CB1015" s="137" t="s">
        <v>4417</v>
      </c>
      <c r="CC1015" s="239" t="str">
        <f>CONCATENATE(CA1015,".",CB1015)</f>
        <v>КД Verto-FIT Comfort.стандарт..1-стулк.Пл Magnet +3завіс 3D</v>
      </c>
      <c r="DD1015" s="738" t="s">
        <v>5308</v>
      </c>
      <c r="DE1015" s="166">
        <v>9400</v>
      </c>
      <c r="DF1015" s="528">
        <f t="shared" si="503"/>
        <v>9400</v>
      </c>
      <c r="DG1015" s="523"/>
      <c r="DH1015" s="530">
        <f t="shared" si="504"/>
        <v>9400</v>
      </c>
    </row>
    <row r="1016" spans="79:112">
      <c r="CA1016" s="437"/>
      <c r="CB1016" s="222"/>
      <c r="CC1016" s="223"/>
      <c r="DD1016" s="738" t="s">
        <v>5309</v>
      </c>
      <c r="DE1016" s="166">
        <v>9400</v>
      </c>
      <c r="DF1016" s="528">
        <f t="shared" si="503"/>
        <v>9400</v>
      </c>
      <c r="DG1016" s="523"/>
      <c r="DH1016" s="530">
        <f t="shared" si="504"/>
        <v>9400</v>
      </c>
    </row>
    <row r="1017" spans="79:112">
      <c r="CA1017" s="750" t="s">
        <v>3836</v>
      </c>
      <c r="CB1017" s="62" t="s">
        <v>237</v>
      </c>
      <c r="CC1017" s="139" t="str">
        <f>CONCATENATE(CA1017,".",CB1017)</f>
        <v>РС Verto-SLIDE.стандарт,.1-стулк..Без планки замка</v>
      </c>
      <c r="DD1017" s="738" t="s">
        <v>5310</v>
      </c>
      <c r="DE1017" s="166">
        <v>9400</v>
      </c>
      <c r="DF1017" s="528">
        <f t="shared" si="503"/>
        <v>9400</v>
      </c>
      <c r="DG1017" s="523"/>
      <c r="DH1017" s="530">
        <f t="shared" si="504"/>
        <v>9400</v>
      </c>
    </row>
    <row r="1018" spans="79:112">
      <c r="CA1018" s="756" t="s">
        <v>3836</v>
      </c>
      <c r="CB1018" s="56" t="s">
        <v>238</v>
      </c>
      <c r="CC1018" s="70" t="str">
        <f>CONCATENATE(CA1018,".",CB1018)</f>
        <v>РС Verto-SLIDE.стандарт,.1-стулк..С планкой замка</v>
      </c>
      <c r="DD1018" s="738" t="s">
        <v>5311</v>
      </c>
      <c r="DE1018" s="166">
        <v>9400</v>
      </c>
      <c r="DF1018" s="528">
        <f t="shared" si="503"/>
        <v>9400</v>
      </c>
      <c r="DG1018" s="523"/>
      <c r="DH1018" s="530">
        <f t="shared" si="504"/>
        <v>9400</v>
      </c>
    </row>
    <row r="1019" spans="79:112">
      <c r="CA1019" s="437"/>
      <c r="CB1019" s="222"/>
      <c r="CC1019" s="223"/>
      <c r="DD1019" s="739" t="s">
        <v>5312</v>
      </c>
      <c r="DE1019" s="164">
        <v>9400</v>
      </c>
      <c r="DF1019" s="528">
        <f t="shared" si="503"/>
        <v>9400</v>
      </c>
      <c r="DG1019" s="523"/>
      <c r="DH1019" s="530">
        <f t="shared" si="504"/>
        <v>9400</v>
      </c>
    </row>
    <row r="1020" spans="79:112">
      <c r="CA1020" s="45"/>
      <c r="CB1020" s="56"/>
      <c r="CC1020" s="70"/>
      <c r="DD1020" s="641"/>
      <c r="DE1020" s="642"/>
      <c r="DF1020" s="643"/>
      <c r="DG1020" s="644"/>
      <c r="DH1020" s="645"/>
    </row>
    <row r="1021" spans="79:112">
      <c r="CA1021" s="40"/>
      <c r="CB1021" s="41"/>
      <c r="CC1021" s="70"/>
      <c r="DD1021" s="737" t="s">
        <v>2988</v>
      </c>
      <c r="DE1021" s="163">
        <v>7800</v>
      </c>
      <c r="DF1021" s="528">
        <f t="shared" si="503"/>
        <v>7800</v>
      </c>
      <c r="DG1021" s="529"/>
      <c r="DH1021" s="530">
        <f t="shared" si="504"/>
        <v>7800</v>
      </c>
    </row>
    <row r="1022" spans="79:112">
      <c r="CA1022" s="40"/>
      <c r="CB1022" s="41"/>
      <c r="CC1022" s="70"/>
      <c r="DD1022" s="738" t="s">
        <v>2989</v>
      </c>
      <c r="DE1022" s="166">
        <v>8560</v>
      </c>
      <c r="DF1022" s="528">
        <f t="shared" si="503"/>
        <v>8560</v>
      </c>
      <c r="DG1022" s="523"/>
      <c r="DH1022" s="530">
        <f t="shared" si="504"/>
        <v>8560</v>
      </c>
    </row>
    <row r="1023" spans="79:112">
      <c r="CA1023" s="40"/>
      <c r="CB1023" s="41"/>
      <c r="CC1023" s="70"/>
      <c r="DD1023" s="738" t="s">
        <v>2990</v>
      </c>
      <c r="DE1023" s="166">
        <v>8560</v>
      </c>
      <c r="DF1023" s="528">
        <f t="shared" si="503"/>
        <v>8560</v>
      </c>
      <c r="DG1023" s="523"/>
      <c r="DH1023" s="530">
        <f t="shared" si="504"/>
        <v>8560</v>
      </c>
    </row>
    <row r="1024" spans="79:112">
      <c r="CA1024" s="560"/>
      <c r="CB1024" s="561"/>
      <c r="CC1024" s="562"/>
      <c r="DD1024" s="738" t="s">
        <v>2991</v>
      </c>
      <c r="DE1024" s="166">
        <v>8560</v>
      </c>
      <c r="DF1024" s="528">
        <f t="shared" si="503"/>
        <v>8560</v>
      </c>
      <c r="DG1024" s="523"/>
      <c r="DH1024" s="530">
        <f t="shared" si="504"/>
        <v>8560</v>
      </c>
    </row>
    <row r="1025" spans="108:112">
      <c r="DD1025" s="738" t="s">
        <v>2992</v>
      </c>
      <c r="DE1025" s="166">
        <v>8560</v>
      </c>
      <c r="DF1025" s="528">
        <f t="shared" si="503"/>
        <v>8560</v>
      </c>
      <c r="DG1025" s="523"/>
      <c r="DH1025" s="530">
        <f t="shared" si="504"/>
        <v>8560</v>
      </c>
    </row>
    <row r="1026" spans="108:112">
      <c r="DD1026" s="738" t="s">
        <v>2993</v>
      </c>
      <c r="DE1026" s="166">
        <v>8560</v>
      </c>
      <c r="DF1026" s="528">
        <f t="shared" si="503"/>
        <v>8560</v>
      </c>
      <c r="DG1026" s="523"/>
      <c r="DH1026" s="530">
        <f t="shared" si="504"/>
        <v>8560</v>
      </c>
    </row>
    <row r="1027" spans="108:112">
      <c r="DD1027" s="739" t="s">
        <v>2994</v>
      </c>
      <c r="DE1027" s="164">
        <v>8560</v>
      </c>
      <c r="DF1027" s="528">
        <f t="shared" si="503"/>
        <v>8560</v>
      </c>
      <c r="DG1027" s="526"/>
      <c r="DH1027" s="530">
        <f t="shared" si="504"/>
        <v>8560</v>
      </c>
    </row>
    <row r="1028" spans="108:112">
      <c r="DD1028" s="738" t="s">
        <v>2995</v>
      </c>
      <c r="DE1028" s="166">
        <v>8720</v>
      </c>
      <c r="DF1028" s="528">
        <f t="shared" si="503"/>
        <v>8720</v>
      </c>
      <c r="DG1028" s="523"/>
      <c r="DH1028" s="530">
        <f t="shared" si="504"/>
        <v>8720</v>
      </c>
    </row>
    <row r="1029" spans="108:112">
      <c r="DD1029" s="738" t="s">
        <v>2996</v>
      </c>
      <c r="DE1029" s="166">
        <v>9590</v>
      </c>
      <c r="DF1029" s="528">
        <f t="shared" si="503"/>
        <v>9590</v>
      </c>
      <c r="DG1029" s="523"/>
      <c r="DH1029" s="530">
        <f t="shared" si="504"/>
        <v>9590</v>
      </c>
    </row>
    <row r="1030" spans="108:112">
      <c r="DD1030" s="738" t="s">
        <v>2997</v>
      </c>
      <c r="DE1030" s="166">
        <v>9590</v>
      </c>
      <c r="DF1030" s="528">
        <f t="shared" si="503"/>
        <v>9590</v>
      </c>
      <c r="DG1030" s="523"/>
      <c r="DH1030" s="530">
        <f t="shared" si="504"/>
        <v>9590</v>
      </c>
    </row>
    <row r="1031" spans="108:112">
      <c r="DD1031" s="738" t="s">
        <v>2998</v>
      </c>
      <c r="DE1031" s="166">
        <v>9590</v>
      </c>
      <c r="DF1031" s="528">
        <f t="shared" si="503"/>
        <v>9590</v>
      </c>
      <c r="DG1031" s="523"/>
      <c r="DH1031" s="530">
        <f t="shared" si="504"/>
        <v>9590</v>
      </c>
    </row>
    <row r="1032" spans="108:112">
      <c r="DD1032" s="738" t="s">
        <v>2999</v>
      </c>
      <c r="DE1032" s="166">
        <v>9590</v>
      </c>
      <c r="DF1032" s="528">
        <f t="shared" si="503"/>
        <v>9590</v>
      </c>
      <c r="DG1032" s="523"/>
      <c r="DH1032" s="530">
        <f t="shared" si="504"/>
        <v>9590</v>
      </c>
    </row>
    <row r="1033" spans="108:112">
      <c r="DD1033" s="738" t="s">
        <v>3000</v>
      </c>
      <c r="DE1033" s="166">
        <v>9590</v>
      </c>
      <c r="DF1033" s="528">
        <f t="shared" si="503"/>
        <v>9590</v>
      </c>
      <c r="DG1033" s="523"/>
      <c r="DH1033" s="530">
        <f t="shared" si="504"/>
        <v>9590</v>
      </c>
    </row>
    <row r="1034" spans="108:112">
      <c r="DD1034" s="739" t="s">
        <v>3001</v>
      </c>
      <c r="DE1034" s="164">
        <v>9590</v>
      </c>
      <c r="DF1034" s="528">
        <f t="shared" si="503"/>
        <v>9590</v>
      </c>
      <c r="DG1034" s="526"/>
      <c r="DH1034" s="530">
        <f t="shared" si="504"/>
        <v>9590</v>
      </c>
    </row>
    <row r="1035" spans="108:112">
      <c r="DD1035" s="738" t="s">
        <v>3002</v>
      </c>
      <c r="DE1035" s="166">
        <v>9150</v>
      </c>
      <c r="DF1035" s="528">
        <f t="shared" si="503"/>
        <v>9150</v>
      </c>
      <c r="DG1035" s="523"/>
      <c r="DH1035" s="530">
        <f t="shared" si="504"/>
        <v>9150</v>
      </c>
    </row>
    <row r="1036" spans="108:112">
      <c r="DD1036" s="738" t="s">
        <v>3003</v>
      </c>
      <c r="DE1036" s="166">
        <v>10000</v>
      </c>
      <c r="DF1036" s="528">
        <f t="shared" si="503"/>
        <v>10000</v>
      </c>
      <c r="DG1036" s="523"/>
      <c r="DH1036" s="530">
        <f t="shared" si="504"/>
        <v>10000</v>
      </c>
    </row>
    <row r="1037" spans="108:112">
      <c r="DD1037" s="738" t="s">
        <v>3004</v>
      </c>
      <c r="DE1037" s="166">
        <v>10000</v>
      </c>
      <c r="DF1037" s="528">
        <f t="shared" si="503"/>
        <v>10000</v>
      </c>
      <c r="DG1037" s="523"/>
      <c r="DH1037" s="530">
        <f t="shared" si="504"/>
        <v>10000</v>
      </c>
    </row>
    <row r="1038" spans="108:112">
      <c r="DD1038" s="738" t="s">
        <v>3005</v>
      </c>
      <c r="DE1038" s="166">
        <v>10000</v>
      </c>
      <c r="DF1038" s="528">
        <f t="shared" si="503"/>
        <v>10000</v>
      </c>
      <c r="DG1038" s="523"/>
      <c r="DH1038" s="530">
        <f t="shared" si="504"/>
        <v>10000</v>
      </c>
    </row>
    <row r="1039" spans="108:112">
      <c r="DD1039" s="738" t="s">
        <v>3006</v>
      </c>
      <c r="DE1039" s="166">
        <v>10000</v>
      </c>
      <c r="DF1039" s="528">
        <f t="shared" si="503"/>
        <v>10000</v>
      </c>
      <c r="DG1039" s="523"/>
      <c r="DH1039" s="530">
        <f t="shared" si="504"/>
        <v>10000</v>
      </c>
    </row>
    <row r="1040" spans="108:112">
      <c r="DD1040" s="738" t="s">
        <v>3007</v>
      </c>
      <c r="DE1040" s="166">
        <v>10000</v>
      </c>
      <c r="DF1040" s="528">
        <f t="shared" si="503"/>
        <v>10000</v>
      </c>
      <c r="DG1040" s="523"/>
      <c r="DH1040" s="530">
        <f t="shared" si="504"/>
        <v>10000</v>
      </c>
    </row>
    <row r="1041" spans="108:112">
      <c r="DD1041" s="739" t="s">
        <v>3008</v>
      </c>
      <c r="DE1041" s="164">
        <v>10000</v>
      </c>
      <c r="DF1041" s="528">
        <f t="shared" si="503"/>
        <v>10000</v>
      </c>
      <c r="DG1041" s="526"/>
      <c r="DH1041" s="530">
        <f t="shared" si="504"/>
        <v>10000</v>
      </c>
    </row>
    <row r="1042" spans="108:112">
      <c r="DD1042" s="738" t="s">
        <v>5313</v>
      </c>
      <c r="DE1042" s="166">
        <v>9590</v>
      </c>
      <c r="DF1042" s="528">
        <f t="shared" si="503"/>
        <v>9590</v>
      </c>
      <c r="DG1042" s="523"/>
      <c r="DH1042" s="530">
        <f t="shared" si="504"/>
        <v>9590</v>
      </c>
    </row>
    <row r="1043" spans="108:112">
      <c r="DD1043" s="738" t="s">
        <v>5314</v>
      </c>
      <c r="DE1043" s="166">
        <v>10440</v>
      </c>
      <c r="DF1043" s="528">
        <f t="shared" si="503"/>
        <v>10440</v>
      </c>
      <c r="DG1043" s="523"/>
      <c r="DH1043" s="530">
        <f t="shared" si="504"/>
        <v>10440</v>
      </c>
    </row>
    <row r="1044" spans="108:112">
      <c r="DD1044" s="738" t="s">
        <v>5315</v>
      </c>
      <c r="DE1044" s="166">
        <v>10440</v>
      </c>
      <c r="DF1044" s="528">
        <f t="shared" si="503"/>
        <v>10440</v>
      </c>
      <c r="DG1044" s="523"/>
      <c r="DH1044" s="530">
        <f t="shared" si="504"/>
        <v>10440</v>
      </c>
    </row>
    <row r="1045" spans="108:112">
      <c r="DD1045" s="738" t="s">
        <v>5316</v>
      </c>
      <c r="DE1045" s="166">
        <v>10440</v>
      </c>
      <c r="DF1045" s="528">
        <f t="shared" si="503"/>
        <v>10440</v>
      </c>
      <c r="DG1045" s="523"/>
      <c r="DH1045" s="530">
        <f t="shared" si="504"/>
        <v>10440</v>
      </c>
    </row>
    <row r="1046" spans="108:112">
      <c r="DD1046" s="738" t="s">
        <v>5317</v>
      </c>
      <c r="DE1046" s="166">
        <v>10440</v>
      </c>
      <c r="DF1046" s="528">
        <f t="shared" si="503"/>
        <v>10440</v>
      </c>
      <c r="DG1046" s="523"/>
      <c r="DH1046" s="530">
        <f t="shared" si="504"/>
        <v>10440</v>
      </c>
    </row>
    <row r="1047" spans="108:112">
      <c r="DD1047" s="738" t="s">
        <v>5318</v>
      </c>
      <c r="DE1047" s="166">
        <v>10440</v>
      </c>
      <c r="DF1047" s="528">
        <f t="shared" si="503"/>
        <v>10440</v>
      </c>
      <c r="DG1047" s="523"/>
      <c r="DH1047" s="530">
        <f t="shared" si="504"/>
        <v>10440</v>
      </c>
    </row>
    <row r="1048" spans="108:112">
      <c r="DD1048" s="739" t="s">
        <v>5319</v>
      </c>
      <c r="DE1048" s="164">
        <v>10440</v>
      </c>
      <c r="DF1048" s="528">
        <f t="shared" si="503"/>
        <v>10440</v>
      </c>
      <c r="DG1048" s="523"/>
      <c r="DH1048" s="530">
        <f t="shared" si="504"/>
        <v>10440</v>
      </c>
    </row>
    <row r="1049" spans="108:112">
      <c r="DD1049" s="641"/>
      <c r="DE1049" s="642"/>
      <c r="DF1049" s="643"/>
      <c r="DG1049" s="644"/>
      <c r="DH1049" s="645"/>
    </row>
    <row r="1050" spans="108:112">
      <c r="DD1050" s="737" t="s">
        <v>4198</v>
      </c>
      <c r="DE1050" s="163">
        <v>16500</v>
      </c>
      <c r="DF1050" s="528">
        <f>ROUND(((DE1050-(DE1050/6))/$DD$3)*$DE$3,2)</f>
        <v>16500</v>
      </c>
      <c r="DG1050" s="529"/>
      <c r="DH1050" s="530">
        <f>IF(DG1050="",DF1050,
IF(AND($DE$10&gt;=VLOOKUP(DG1050,$DD$5:$DH$9,2,0),$DE$10&lt;=VLOOKUP(DG1050,$DD$5:$DH$9,3,0)),
(DF1050*(1-VLOOKUP(DG1050,$DD$5:$DH$9,4,0))),
DF1050))</f>
        <v>16500</v>
      </c>
    </row>
    <row r="1051" spans="108:112">
      <c r="DD1051" s="738" t="s">
        <v>4199</v>
      </c>
      <c r="DE1051" s="166">
        <v>17250</v>
      </c>
      <c r="DF1051" s="522">
        <f>ROUND(((DE1051-(DE1051/6))/$DD$3)*$DE$3,2)</f>
        <v>17250</v>
      </c>
      <c r="DG1051" s="523"/>
      <c r="DH1051" s="524">
        <f>IF(DG1051="",DF1051,
IF(AND($DE$10&gt;=VLOOKUP(DG1051,$DD$5:$DH$9,2,0),$DE$10&lt;=VLOOKUP(DG1051,$DD$5:$DH$9,3,0)),
(DF1051*(1-VLOOKUP(DG1051,$DD$5:$DH$9,4,0))),
DF1051))</f>
        <v>17250</v>
      </c>
    </row>
    <row r="1052" spans="108:112">
      <c r="DD1052" s="738" t="s">
        <v>4200</v>
      </c>
      <c r="DE1052" s="166">
        <v>17250</v>
      </c>
      <c r="DF1052" s="522">
        <f>ROUND(((DE1052-(DE1052/6))/$DD$3)*$DE$3,2)</f>
        <v>17250</v>
      </c>
      <c r="DG1052" s="523"/>
      <c r="DH1052" s="524">
        <f>IF(DG1052="",DF1052,
IF(AND($DE$10&gt;=VLOOKUP(DG1052,$DD$5:$DH$9,2,0),$DE$10&lt;=VLOOKUP(DG1052,$DD$5:$DH$9,3,0)),
(DF1052*(1-VLOOKUP(DG1052,$DD$5:$DH$9,4,0))),
DF1052))</f>
        <v>17250</v>
      </c>
    </row>
    <row r="1053" spans="108:112">
      <c r="DD1053" s="738" t="s">
        <v>4201</v>
      </c>
      <c r="DE1053" s="166">
        <v>17250</v>
      </c>
      <c r="DF1053" s="522">
        <f>ROUND(((DE1053-(DE1053/6))/$DD$3)*$DE$3,2)</f>
        <v>17250</v>
      </c>
      <c r="DG1053" s="523"/>
      <c r="DH1053" s="524">
        <f>IF(DG1053="",DF1053,
IF(AND($DE$10&gt;=VLOOKUP(DG1053,$DD$5:$DH$9,2,0),$DE$10&lt;=VLOOKUP(DG1053,$DD$5:$DH$9,3,0)),
(DF1053*(1-VLOOKUP(DG1053,$DD$5:$DH$9,4,0))),
DF1053))</f>
        <v>17250</v>
      </c>
    </row>
    <row r="1054" spans="108:112">
      <c r="DD1054" s="739" t="s">
        <v>4202</v>
      </c>
      <c r="DE1054" s="164">
        <v>17250</v>
      </c>
      <c r="DF1054" s="525">
        <f>ROUND(((DE1054-(DE1054/6))/$DD$3)*$DE$3,2)</f>
        <v>17250</v>
      </c>
      <c r="DG1054" s="526"/>
      <c r="DH1054" s="527">
        <f>IF(DG1054="",DF1054,
IF(AND($DE$10&gt;=VLOOKUP(DG1054,$DD$5:$DH$9,2,0),$DE$10&lt;=VLOOKUP(DG1054,$DD$5:$DH$9,3,0)),
(DF1054*(1-VLOOKUP(DG1054,$DD$5:$DH$9,4,0))),
DF1054))</f>
        <v>17250</v>
      </c>
    </row>
    <row r="1055" spans="108:112">
      <c r="DD1055" s="641"/>
      <c r="DE1055" s="642"/>
      <c r="DF1055" s="643"/>
      <c r="DG1055" s="644"/>
      <c r="DH1055" s="645"/>
    </row>
    <row r="1056" spans="108:112">
      <c r="DD1056" s="60"/>
      <c r="DE1056" s="105"/>
      <c r="DF1056" s="403"/>
      <c r="DG1056" s="514"/>
      <c r="DH1056" s="511"/>
    </row>
    <row r="1057" spans="108:112">
      <c r="DD1057" s="631"/>
      <c r="DE1057" s="632"/>
      <c r="DF1057" s="633"/>
      <c r="DG1057" s="634"/>
      <c r="DH1057" s="635"/>
    </row>
    <row r="1058" spans="108:112">
      <c r="DD1058" s="162"/>
      <c r="DE1058" s="163"/>
      <c r="DF1058" s="528"/>
      <c r="DG1058" s="529"/>
      <c r="DH1058" s="530"/>
    </row>
    <row r="1059" spans="108:112">
      <c r="DD1059" s="737" t="s">
        <v>5014</v>
      </c>
      <c r="DE1059" s="163">
        <v>2310</v>
      </c>
      <c r="DF1059" s="528">
        <f>ROUND(((DE1059-(DE1059/6))/$DD$3)*$DE$3,2)</f>
        <v>2310</v>
      </c>
      <c r="DG1059" s="529"/>
      <c r="DH1059" s="530">
        <f>IF(DG1059="",DF1059,
IF(AND($DE$10&gt;=VLOOKUP(DG1059,$DD$5:$DH$9,2,0),$DE$10&lt;=VLOOKUP(DG1059,$DD$5:$DH$9,3,0)),
(DF1059*(1-VLOOKUP(DG1059,$DD$5:$DH$9,4,0))),
DF1059))</f>
        <v>2310</v>
      </c>
    </row>
    <row r="1060" spans="108:112">
      <c r="DD1060" s="739" t="s">
        <v>5015</v>
      </c>
      <c r="DE1060" s="164">
        <v>4630</v>
      </c>
      <c r="DF1060" s="528">
        <f t="shared" ref="DF1060:DF1123" si="505">ROUND(((DE1060-(DE1060/6))/$DD$3)*$DE$3,2)</f>
        <v>4630</v>
      </c>
      <c r="DG1060" s="526"/>
      <c r="DH1060" s="530">
        <f t="shared" ref="DH1060:DH1123" si="506">IF(DG1060="",DF1060,
IF(AND($DE$10&gt;=VLOOKUP(DG1060,$DD$5:$DH$9,2,0),$DE$10&lt;=VLOOKUP(DG1060,$DD$5:$DH$9,3,0)),
(DF1060*(1-VLOOKUP(DG1060,$DD$5:$DH$9,4,0))),
DF1060))</f>
        <v>4630</v>
      </c>
    </row>
    <row r="1061" spans="108:112">
      <c r="DD1061" s="738" t="s">
        <v>3046</v>
      </c>
      <c r="DE1061" s="166">
        <v>2310</v>
      </c>
      <c r="DF1061" s="528">
        <f t="shared" si="505"/>
        <v>2310</v>
      </c>
      <c r="DG1061" s="523"/>
      <c r="DH1061" s="530">
        <f t="shared" si="506"/>
        <v>2310</v>
      </c>
    </row>
    <row r="1062" spans="108:112">
      <c r="DD1062" s="739" t="s">
        <v>3047</v>
      </c>
      <c r="DE1062" s="164">
        <v>4630</v>
      </c>
      <c r="DF1062" s="528">
        <f t="shared" si="505"/>
        <v>4630</v>
      </c>
      <c r="DG1062" s="526"/>
      <c r="DH1062" s="530">
        <f t="shared" si="506"/>
        <v>4630</v>
      </c>
    </row>
    <row r="1063" spans="108:112">
      <c r="DD1063" s="738" t="s">
        <v>3048</v>
      </c>
      <c r="DE1063" s="166">
        <v>2660.0000000000005</v>
      </c>
      <c r="DF1063" s="528">
        <f t="shared" si="505"/>
        <v>2660</v>
      </c>
      <c r="DG1063" s="523"/>
      <c r="DH1063" s="530">
        <f t="shared" si="506"/>
        <v>2660</v>
      </c>
    </row>
    <row r="1064" spans="108:112">
      <c r="DD1064" s="739" t="s">
        <v>3049</v>
      </c>
      <c r="DE1064" s="164">
        <v>5150</v>
      </c>
      <c r="DF1064" s="528">
        <f t="shared" si="505"/>
        <v>5150</v>
      </c>
      <c r="DG1064" s="526"/>
      <c r="DH1064" s="530">
        <f t="shared" si="506"/>
        <v>5150</v>
      </c>
    </row>
    <row r="1065" spans="108:112">
      <c r="DD1065" s="738" t="s">
        <v>3050</v>
      </c>
      <c r="DE1065" s="166">
        <v>2950</v>
      </c>
      <c r="DF1065" s="528">
        <f t="shared" si="505"/>
        <v>2950</v>
      </c>
      <c r="DG1065" s="523"/>
      <c r="DH1065" s="530">
        <f t="shared" si="506"/>
        <v>2950</v>
      </c>
    </row>
    <row r="1066" spans="108:112">
      <c r="DD1066" s="739" t="s">
        <v>3051</v>
      </c>
      <c r="DE1066" s="164">
        <v>5320.0000000000009</v>
      </c>
      <c r="DF1066" s="528">
        <f t="shared" si="505"/>
        <v>5320</v>
      </c>
      <c r="DG1066" s="526"/>
      <c r="DH1066" s="530">
        <f t="shared" si="506"/>
        <v>5320</v>
      </c>
    </row>
    <row r="1067" spans="108:112">
      <c r="DD1067" s="641"/>
      <c r="DE1067" s="642"/>
      <c r="DF1067" s="643"/>
      <c r="DG1067" s="644"/>
      <c r="DH1067" s="645"/>
    </row>
    <row r="1068" spans="108:112">
      <c r="DD1068" s="737" t="s">
        <v>3052</v>
      </c>
      <c r="DE1068" s="166">
        <v>5920.0000000000009</v>
      </c>
      <c r="DF1068" s="522">
        <f t="shared" si="505"/>
        <v>5920</v>
      </c>
      <c r="DG1068" s="523"/>
      <c r="DH1068" s="524">
        <f t="shared" si="506"/>
        <v>5920</v>
      </c>
    </row>
    <row r="1069" spans="108:112">
      <c r="DD1069" s="738" t="s">
        <v>3053</v>
      </c>
      <c r="DE1069" s="166">
        <v>5920.0000000000009</v>
      </c>
      <c r="DF1069" s="522">
        <f t="shared" si="505"/>
        <v>5920</v>
      </c>
      <c r="DG1069" s="523"/>
      <c r="DH1069" s="524">
        <f t="shared" si="506"/>
        <v>5920</v>
      </c>
    </row>
    <row r="1070" spans="108:112">
      <c r="DD1070" s="738" t="s">
        <v>3054</v>
      </c>
      <c r="DE1070" s="166">
        <v>6040.0000000000009</v>
      </c>
      <c r="DF1070" s="522">
        <f t="shared" si="505"/>
        <v>6040</v>
      </c>
      <c r="DG1070" s="523"/>
      <c r="DH1070" s="524">
        <f t="shared" si="506"/>
        <v>6040</v>
      </c>
    </row>
    <row r="1071" spans="108:112">
      <c r="DD1071" s="738" t="s">
        <v>3055</v>
      </c>
      <c r="DE1071" s="166">
        <v>6040.0000000000009</v>
      </c>
      <c r="DF1071" s="522">
        <f t="shared" si="505"/>
        <v>6040</v>
      </c>
      <c r="DG1071" s="523"/>
      <c r="DH1071" s="524">
        <f t="shared" si="506"/>
        <v>6040</v>
      </c>
    </row>
    <row r="1072" spans="108:112">
      <c r="DD1072" s="738" t="s">
        <v>3056</v>
      </c>
      <c r="DE1072" s="166">
        <v>6040.0000000000009</v>
      </c>
      <c r="DF1072" s="522">
        <f t="shared" si="505"/>
        <v>6040</v>
      </c>
      <c r="DG1072" s="523"/>
      <c r="DH1072" s="524">
        <f t="shared" si="506"/>
        <v>6040</v>
      </c>
    </row>
    <row r="1073" spans="108:112">
      <c r="DD1073" s="738" t="s">
        <v>3057</v>
      </c>
      <c r="DE1073" s="166">
        <v>5920.0000000000009</v>
      </c>
      <c r="DF1073" s="522">
        <f t="shared" si="505"/>
        <v>5920</v>
      </c>
      <c r="DG1073" s="523"/>
      <c r="DH1073" s="524">
        <f t="shared" si="506"/>
        <v>5920</v>
      </c>
    </row>
    <row r="1074" spans="108:112">
      <c r="DD1074" s="738" t="s">
        <v>3058</v>
      </c>
      <c r="DE1074" s="166">
        <v>5920.0000000000009</v>
      </c>
      <c r="DF1074" s="522">
        <f t="shared" si="505"/>
        <v>5920</v>
      </c>
      <c r="DG1074" s="523"/>
      <c r="DH1074" s="524">
        <f t="shared" si="506"/>
        <v>5920</v>
      </c>
    </row>
    <row r="1075" spans="108:112">
      <c r="DD1075" s="738" t="s">
        <v>3059</v>
      </c>
      <c r="DE1075" s="166">
        <v>6130.0000000000009</v>
      </c>
      <c r="DF1075" s="522">
        <f t="shared" si="505"/>
        <v>6130</v>
      </c>
      <c r="DG1075" s="523"/>
      <c r="DH1075" s="524">
        <f t="shared" si="506"/>
        <v>6130</v>
      </c>
    </row>
    <row r="1076" spans="108:112">
      <c r="DD1076" s="738" t="s">
        <v>3060</v>
      </c>
      <c r="DE1076" s="166">
        <v>6130.0000000000009</v>
      </c>
      <c r="DF1076" s="522">
        <f t="shared" si="505"/>
        <v>6130</v>
      </c>
      <c r="DG1076" s="523"/>
      <c r="DH1076" s="524">
        <f t="shared" si="506"/>
        <v>6130</v>
      </c>
    </row>
    <row r="1077" spans="108:112">
      <c r="DD1077" s="738" t="s">
        <v>3061</v>
      </c>
      <c r="DE1077" s="166">
        <v>6350</v>
      </c>
      <c r="DF1077" s="522">
        <f t="shared" si="505"/>
        <v>6350</v>
      </c>
      <c r="DG1077" s="523"/>
      <c r="DH1077" s="524">
        <f t="shared" si="506"/>
        <v>6350</v>
      </c>
    </row>
    <row r="1078" spans="108:112">
      <c r="DD1078" s="739" t="s">
        <v>3062</v>
      </c>
      <c r="DE1078" s="164">
        <v>6350</v>
      </c>
      <c r="DF1078" s="522">
        <f t="shared" si="505"/>
        <v>6350</v>
      </c>
      <c r="DG1078" s="526"/>
      <c r="DH1078" s="524">
        <f t="shared" si="506"/>
        <v>6350</v>
      </c>
    </row>
    <row r="1079" spans="108:112">
      <c r="DD1079" s="737" t="s">
        <v>3063</v>
      </c>
      <c r="DE1079" s="166">
        <v>5920.0000000000009</v>
      </c>
      <c r="DF1079" s="522">
        <f t="shared" si="505"/>
        <v>5920</v>
      </c>
      <c r="DG1079" s="523"/>
      <c r="DH1079" s="524">
        <f t="shared" si="506"/>
        <v>5920</v>
      </c>
    </row>
    <row r="1080" spans="108:112">
      <c r="DD1080" s="738" t="s">
        <v>3064</v>
      </c>
      <c r="DE1080" s="166">
        <v>5920.0000000000009</v>
      </c>
      <c r="DF1080" s="522">
        <f t="shared" si="505"/>
        <v>5920</v>
      </c>
      <c r="DG1080" s="523"/>
      <c r="DH1080" s="524">
        <f t="shared" si="506"/>
        <v>5920</v>
      </c>
    </row>
    <row r="1081" spans="108:112">
      <c r="DD1081" s="738" t="s">
        <v>3065</v>
      </c>
      <c r="DE1081" s="166">
        <v>6040.0000000000009</v>
      </c>
      <c r="DF1081" s="522">
        <f t="shared" si="505"/>
        <v>6040</v>
      </c>
      <c r="DG1081" s="523"/>
      <c r="DH1081" s="524">
        <f t="shared" si="506"/>
        <v>6040</v>
      </c>
    </row>
    <row r="1082" spans="108:112">
      <c r="DD1082" s="738" t="s">
        <v>3066</v>
      </c>
      <c r="DE1082" s="166">
        <v>6040.0000000000009</v>
      </c>
      <c r="DF1082" s="522">
        <f t="shared" si="505"/>
        <v>6040</v>
      </c>
      <c r="DG1082" s="523"/>
      <c r="DH1082" s="524">
        <f t="shared" si="506"/>
        <v>6040</v>
      </c>
    </row>
    <row r="1083" spans="108:112">
      <c r="DD1083" s="738" t="s">
        <v>3067</v>
      </c>
      <c r="DE1083" s="166">
        <v>6040.0000000000009</v>
      </c>
      <c r="DF1083" s="522">
        <f t="shared" si="505"/>
        <v>6040</v>
      </c>
      <c r="DG1083" s="523"/>
      <c r="DH1083" s="524">
        <f t="shared" si="506"/>
        <v>6040</v>
      </c>
    </row>
    <row r="1084" spans="108:112">
      <c r="DD1084" s="738" t="s">
        <v>3068</v>
      </c>
      <c r="DE1084" s="166">
        <v>5920.0000000000009</v>
      </c>
      <c r="DF1084" s="522">
        <f t="shared" si="505"/>
        <v>5920</v>
      </c>
      <c r="DG1084" s="523"/>
      <c r="DH1084" s="524">
        <f t="shared" si="506"/>
        <v>5920</v>
      </c>
    </row>
    <row r="1085" spans="108:112">
      <c r="DD1085" s="738" t="s">
        <v>3069</v>
      </c>
      <c r="DE1085" s="166">
        <v>5920.0000000000009</v>
      </c>
      <c r="DF1085" s="522">
        <f t="shared" si="505"/>
        <v>5920</v>
      </c>
      <c r="DG1085" s="523"/>
      <c r="DH1085" s="524">
        <f t="shared" si="506"/>
        <v>5920</v>
      </c>
    </row>
    <row r="1086" spans="108:112">
      <c r="DD1086" s="738" t="s">
        <v>3070</v>
      </c>
      <c r="DE1086" s="166">
        <v>6130.0000000000009</v>
      </c>
      <c r="DF1086" s="522">
        <f t="shared" si="505"/>
        <v>6130</v>
      </c>
      <c r="DG1086" s="523"/>
      <c r="DH1086" s="524">
        <f t="shared" si="506"/>
        <v>6130</v>
      </c>
    </row>
    <row r="1087" spans="108:112">
      <c r="DD1087" s="738" t="s">
        <v>3071</v>
      </c>
      <c r="DE1087" s="166">
        <v>6130.0000000000009</v>
      </c>
      <c r="DF1087" s="522">
        <f t="shared" si="505"/>
        <v>6130</v>
      </c>
      <c r="DG1087" s="523"/>
      <c r="DH1087" s="524">
        <f t="shared" si="506"/>
        <v>6130</v>
      </c>
    </row>
    <row r="1088" spans="108:112">
      <c r="DD1088" s="738" t="s">
        <v>3072</v>
      </c>
      <c r="DE1088" s="166">
        <v>6350</v>
      </c>
      <c r="DF1088" s="522">
        <f t="shared" si="505"/>
        <v>6350</v>
      </c>
      <c r="DG1088" s="523"/>
      <c r="DH1088" s="524">
        <f t="shared" si="506"/>
        <v>6350</v>
      </c>
    </row>
    <row r="1089" spans="108:112">
      <c r="DD1089" s="739" t="s">
        <v>3073</v>
      </c>
      <c r="DE1089" s="164">
        <v>6350</v>
      </c>
      <c r="DF1089" s="522">
        <f t="shared" si="505"/>
        <v>6350</v>
      </c>
      <c r="DG1089" s="526"/>
      <c r="DH1089" s="524">
        <f t="shared" si="506"/>
        <v>6350</v>
      </c>
    </row>
    <row r="1090" spans="108:112">
      <c r="DD1090" s="737" t="s">
        <v>3074</v>
      </c>
      <c r="DE1090" s="166">
        <v>6790.0000000000009</v>
      </c>
      <c r="DF1090" s="522">
        <f t="shared" si="505"/>
        <v>6790</v>
      </c>
      <c r="DG1090" s="523"/>
      <c r="DH1090" s="524">
        <f t="shared" si="506"/>
        <v>6790</v>
      </c>
    </row>
    <row r="1091" spans="108:112">
      <c r="DD1091" s="738" t="s">
        <v>3075</v>
      </c>
      <c r="DE1091" s="166">
        <v>6790.0000000000009</v>
      </c>
      <c r="DF1091" s="522">
        <f t="shared" si="505"/>
        <v>6790</v>
      </c>
      <c r="DG1091" s="523"/>
      <c r="DH1091" s="524">
        <f t="shared" si="506"/>
        <v>6790</v>
      </c>
    </row>
    <row r="1092" spans="108:112">
      <c r="DD1092" s="738" t="s">
        <v>3076</v>
      </c>
      <c r="DE1092" s="166">
        <v>6920</v>
      </c>
      <c r="DF1092" s="522">
        <f t="shared" si="505"/>
        <v>6920</v>
      </c>
      <c r="DG1092" s="523"/>
      <c r="DH1092" s="524">
        <f t="shared" si="506"/>
        <v>6920</v>
      </c>
    </row>
    <row r="1093" spans="108:112">
      <c r="DD1093" s="738" t="s">
        <v>3077</v>
      </c>
      <c r="DE1093" s="166">
        <v>6920</v>
      </c>
      <c r="DF1093" s="522">
        <f t="shared" si="505"/>
        <v>6920</v>
      </c>
      <c r="DG1093" s="523"/>
      <c r="DH1093" s="524">
        <f t="shared" si="506"/>
        <v>6920</v>
      </c>
    </row>
    <row r="1094" spans="108:112">
      <c r="DD1094" s="738" t="s">
        <v>3078</v>
      </c>
      <c r="DE1094" s="166">
        <v>6920</v>
      </c>
      <c r="DF1094" s="522">
        <f t="shared" si="505"/>
        <v>6920</v>
      </c>
      <c r="DG1094" s="523"/>
      <c r="DH1094" s="524">
        <f t="shared" si="506"/>
        <v>6920</v>
      </c>
    </row>
    <row r="1095" spans="108:112">
      <c r="DD1095" s="738" t="s">
        <v>3079</v>
      </c>
      <c r="DE1095" s="166">
        <v>6780</v>
      </c>
      <c r="DF1095" s="522">
        <f t="shared" si="505"/>
        <v>6780</v>
      </c>
      <c r="DG1095" s="523"/>
      <c r="DH1095" s="524">
        <f t="shared" si="506"/>
        <v>6780</v>
      </c>
    </row>
    <row r="1096" spans="108:112">
      <c r="DD1096" s="738" t="s">
        <v>3080</v>
      </c>
      <c r="DE1096" s="166">
        <v>6780</v>
      </c>
      <c r="DF1096" s="522">
        <f t="shared" si="505"/>
        <v>6780</v>
      </c>
      <c r="DG1096" s="523"/>
      <c r="DH1096" s="524">
        <f t="shared" si="506"/>
        <v>6780</v>
      </c>
    </row>
    <row r="1097" spans="108:112">
      <c r="DD1097" s="738" t="s">
        <v>3081</v>
      </c>
      <c r="DE1097" s="166">
        <v>7050</v>
      </c>
      <c r="DF1097" s="522">
        <f t="shared" si="505"/>
        <v>7050</v>
      </c>
      <c r="DG1097" s="523"/>
      <c r="DH1097" s="524">
        <f t="shared" si="506"/>
        <v>7050</v>
      </c>
    </row>
    <row r="1098" spans="108:112">
      <c r="DD1098" s="738" t="s">
        <v>3082</v>
      </c>
      <c r="DE1098" s="166">
        <v>7050</v>
      </c>
      <c r="DF1098" s="522">
        <f t="shared" si="505"/>
        <v>7050</v>
      </c>
      <c r="DG1098" s="523"/>
      <c r="DH1098" s="524">
        <f t="shared" si="506"/>
        <v>7050</v>
      </c>
    </row>
    <row r="1099" spans="108:112">
      <c r="DD1099" s="738" t="s">
        <v>3083</v>
      </c>
      <c r="DE1099" s="166">
        <v>7280</v>
      </c>
      <c r="DF1099" s="522">
        <f t="shared" si="505"/>
        <v>7280</v>
      </c>
      <c r="DG1099" s="523"/>
      <c r="DH1099" s="524">
        <f t="shared" si="506"/>
        <v>7280</v>
      </c>
    </row>
    <row r="1100" spans="108:112">
      <c r="DD1100" s="739" t="s">
        <v>3084</v>
      </c>
      <c r="DE1100" s="164">
        <v>7280</v>
      </c>
      <c r="DF1100" s="522">
        <f t="shared" si="505"/>
        <v>7280</v>
      </c>
      <c r="DG1100" s="526"/>
      <c r="DH1100" s="524">
        <f t="shared" si="506"/>
        <v>7280</v>
      </c>
    </row>
    <row r="1101" spans="108:112">
      <c r="DD1101" s="737" t="s">
        <v>3085</v>
      </c>
      <c r="DE1101" s="166">
        <v>7010</v>
      </c>
      <c r="DF1101" s="522">
        <f t="shared" si="505"/>
        <v>7010</v>
      </c>
      <c r="DG1101" s="523"/>
      <c r="DH1101" s="524">
        <f t="shared" si="506"/>
        <v>7010</v>
      </c>
    </row>
    <row r="1102" spans="108:112">
      <c r="DD1102" s="738" t="s">
        <v>3086</v>
      </c>
      <c r="DE1102" s="166">
        <v>7010</v>
      </c>
      <c r="DF1102" s="522">
        <f t="shared" si="505"/>
        <v>7010</v>
      </c>
      <c r="DG1102" s="523"/>
      <c r="DH1102" s="524">
        <f t="shared" si="506"/>
        <v>7010</v>
      </c>
    </row>
    <row r="1103" spans="108:112">
      <c r="DD1103" s="738" t="s">
        <v>3087</v>
      </c>
      <c r="DE1103" s="166">
        <v>7160</v>
      </c>
      <c r="DF1103" s="522">
        <f t="shared" si="505"/>
        <v>7160</v>
      </c>
      <c r="DG1103" s="523"/>
      <c r="DH1103" s="524">
        <f t="shared" si="506"/>
        <v>7160</v>
      </c>
    </row>
    <row r="1104" spans="108:112">
      <c r="DD1104" s="738" t="s">
        <v>3088</v>
      </c>
      <c r="DE1104" s="166">
        <v>7160</v>
      </c>
      <c r="DF1104" s="522">
        <f t="shared" si="505"/>
        <v>7160</v>
      </c>
      <c r="DG1104" s="523"/>
      <c r="DH1104" s="524">
        <f t="shared" si="506"/>
        <v>7160</v>
      </c>
    </row>
    <row r="1105" spans="108:112">
      <c r="DD1105" s="738" t="s">
        <v>3089</v>
      </c>
      <c r="DE1105" s="166">
        <v>7160</v>
      </c>
      <c r="DF1105" s="522">
        <f t="shared" si="505"/>
        <v>7160</v>
      </c>
      <c r="DG1105" s="523"/>
      <c r="DH1105" s="524">
        <f t="shared" si="506"/>
        <v>7160</v>
      </c>
    </row>
    <row r="1106" spans="108:112">
      <c r="DD1106" s="738" t="s">
        <v>3090</v>
      </c>
      <c r="DE1106" s="166">
        <v>7010</v>
      </c>
      <c r="DF1106" s="522">
        <f t="shared" si="505"/>
        <v>7010</v>
      </c>
      <c r="DG1106" s="523"/>
      <c r="DH1106" s="524">
        <f t="shared" si="506"/>
        <v>7010</v>
      </c>
    </row>
    <row r="1107" spans="108:112">
      <c r="DD1107" s="738" t="s">
        <v>3091</v>
      </c>
      <c r="DE1107" s="166">
        <v>7010</v>
      </c>
      <c r="DF1107" s="522">
        <f t="shared" si="505"/>
        <v>7010</v>
      </c>
      <c r="DG1107" s="523"/>
      <c r="DH1107" s="524">
        <f t="shared" si="506"/>
        <v>7010</v>
      </c>
    </row>
    <row r="1108" spans="108:112">
      <c r="DD1108" s="738" t="s">
        <v>3092</v>
      </c>
      <c r="DE1108" s="166">
        <v>7240.0000000000009</v>
      </c>
      <c r="DF1108" s="522">
        <f t="shared" si="505"/>
        <v>7240</v>
      </c>
      <c r="DG1108" s="523"/>
      <c r="DH1108" s="524">
        <f t="shared" si="506"/>
        <v>7240</v>
      </c>
    </row>
    <row r="1109" spans="108:112">
      <c r="DD1109" s="738" t="s">
        <v>3093</v>
      </c>
      <c r="DE1109" s="166">
        <v>7240.0000000000009</v>
      </c>
      <c r="DF1109" s="522">
        <f t="shared" si="505"/>
        <v>7240</v>
      </c>
      <c r="DG1109" s="523"/>
      <c r="DH1109" s="524">
        <f t="shared" si="506"/>
        <v>7240</v>
      </c>
    </row>
    <row r="1110" spans="108:112">
      <c r="DD1110" s="738" t="s">
        <v>3094</v>
      </c>
      <c r="DE1110" s="166">
        <v>7460</v>
      </c>
      <c r="DF1110" s="522">
        <f t="shared" si="505"/>
        <v>7460</v>
      </c>
      <c r="DG1110" s="523"/>
      <c r="DH1110" s="524">
        <f t="shared" si="506"/>
        <v>7460</v>
      </c>
    </row>
    <row r="1111" spans="108:112">
      <c r="DD1111" s="739" t="s">
        <v>3095</v>
      </c>
      <c r="DE1111" s="164">
        <v>7460</v>
      </c>
      <c r="DF1111" s="522">
        <f t="shared" si="505"/>
        <v>7460</v>
      </c>
      <c r="DG1111" s="526"/>
      <c r="DH1111" s="524">
        <f t="shared" si="506"/>
        <v>7460</v>
      </c>
    </row>
    <row r="1112" spans="108:112">
      <c r="DD1112" s="737" t="s">
        <v>3096</v>
      </c>
      <c r="DE1112" s="166">
        <v>7440</v>
      </c>
      <c r="DF1112" s="522">
        <f t="shared" si="505"/>
        <v>7440</v>
      </c>
      <c r="DG1112" s="523"/>
      <c r="DH1112" s="524">
        <f t="shared" si="506"/>
        <v>7440</v>
      </c>
    </row>
    <row r="1113" spans="108:112">
      <c r="DD1113" s="738" t="s">
        <v>3097</v>
      </c>
      <c r="DE1113" s="166">
        <v>7440</v>
      </c>
      <c r="DF1113" s="522">
        <f t="shared" si="505"/>
        <v>7440</v>
      </c>
      <c r="DG1113" s="523"/>
      <c r="DH1113" s="524">
        <f t="shared" si="506"/>
        <v>7440</v>
      </c>
    </row>
    <row r="1114" spans="108:112">
      <c r="DD1114" s="738" t="s">
        <v>3098</v>
      </c>
      <c r="DE1114" s="166">
        <v>7590</v>
      </c>
      <c r="DF1114" s="522">
        <f t="shared" si="505"/>
        <v>7590</v>
      </c>
      <c r="DG1114" s="523"/>
      <c r="DH1114" s="524">
        <f t="shared" si="506"/>
        <v>7590</v>
      </c>
    </row>
    <row r="1115" spans="108:112">
      <c r="DD1115" s="738" t="s">
        <v>3099</v>
      </c>
      <c r="DE1115" s="166">
        <v>7590</v>
      </c>
      <c r="DF1115" s="522">
        <f t="shared" si="505"/>
        <v>7590</v>
      </c>
      <c r="DG1115" s="523"/>
      <c r="DH1115" s="524">
        <f t="shared" si="506"/>
        <v>7590</v>
      </c>
    </row>
    <row r="1116" spans="108:112">
      <c r="DD1116" s="738" t="s">
        <v>3100</v>
      </c>
      <c r="DE1116" s="166">
        <v>7590</v>
      </c>
      <c r="DF1116" s="522">
        <f t="shared" si="505"/>
        <v>7590</v>
      </c>
      <c r="DG1116" s="523"/>
      <c r="DH1116" s="524">
        <f t="shared" si="506"/>
        <v>7590</v>
      </c>
    </row>
    <row r="1117" spans="108:112">
      <c r="DD1117" s="738" t="s">
        <v>3101</v>
      </c>
      <c r="DE1117" s="166">
        <v>7440</v>
      </c>
      <c r="DF1117" s="522">
        <f t="shared" si="505"/>
        <v>7440</v>
      </c>
      <c r="DG1117" s="523"/>
      <c r="DH1117" s="524">
        <f t="shared" si="506"/>
        <v>7440</v>
      </c>
    </row>
    <row r="1118" spans="108:112">
      <c r="DD1118" s="738" t="s">
        <v>3102</v>
      </c>
      <c r="DE1118" s="166">
        <v>7440</v>
      </c>
      <c r="DF1118" s="522">
        <f t="shared" si="505"/>
        <v>7440</v>
      </c>
      <c r="DG1118" s="523"/>
      <c r="DH1118" s="524">
        <f t="shared" si="506"/>
        <v>7440</v>
      </c>
    </row>
    <row r="1119" spans="108:112">
      <c r="DD1119" s="738" t="s">
        <v>3103</v>
      </c>
      <c r="DE1119" s="166">
        <v>7660</v>
      </c>
      <c r="DF1119" s="522">
        <f t="shared" si="505"/>
        <v>7660</v>
      </c>
      <c r="DG1119" s="523"/>
      <c r="DH1119" s="524">
        <f t="shared" si="506"/>
        <v>7660</v>
      </c>
    </row>
    <row r="1120" spans="108:112">
      <c r="DD1120" s="738" t="s">
        <v>3104</v>
      </c>
      <c r="DE1120" s="166">
        <v>7660</v>
      </c>
      <c r="DF1120" s="522">
        <f t="shared" si="505"/>
        <v>7660</v>
      </c>
      <c r="DG1120" s="523"/>
      <c r="DH1120" s="524">
        <f t="shared" si="506"/>
        <v>7660</v>
      </c>
    </row>
    <row r="1121" spans="108:112">
      <c r="DD1121" s="738" t="s">
        <v>3105</v>
      </c>
      <c r="DE1121" s="166">
        <v>7910</v>
      </c>
      <c r="DF1121" s="522">
        <f t="shared" si="505"/>
        <v>7910</v>
      </c>
      <c r="DG1121" s="523"/>
      <c r="DH1121" s="524">
        <f t="shared" si="506"/>
        <v>7910</v>
      </c>
    </row>
    <row r="1122" spans="108:112">
      <c r="DD1122" s="739" t="s">
        <v>3106</v>
      </c>
      <c r="DE1122" s="164">
        <v>7910</v>
      </c>
      <c r="DF1122" s="522">
        <f t="shared" si="505"/>
        <v>7910</v>
      </c>
      <c r="DG1122" s="526"/>
      <c r="DH1122" s="524">
        <f t="shared" si="506"/>
        <v>7910</v>
      </c>
    </row>
    <row r="1123" spans="108:112">
      <c r="DD1123" s="737" t="s">
        <v>5320</v>
      </c>
      <c r="DE1123" s="166">
        <v>7720</v>
      </c>
      <c r="DF1123" s="522">
        <f t="shared" si="505"/>
        <v>7720</v>
      </c>
      <c r="DG1123" s="523"/>
      <c r="DH1123" s="524">
        <f t="shared" si="506"/>
        <v>7720</v>
      </c>
    </row>
    <row r="1124" spans="108:112">
      <c r="DD1124" s="738" t="s">
        <v>5321</v>
      </c>
      <c r="DE1124" s="166">
        <v>7720</v>
      </c>
      <c r="DF1124" s="522">
        <f t="shared" ref="DF1124:DF1133" si="507">ROUND(((DE1124-(DE1124/6))/$DD$3)*$DE$3,2)</f>
        <v>7720</v>
      </c>
      <c r="DG1124" s="523"/>
      <c r="DH1124" s="524">
        <f t="shared" ref="DH1124:DH1133" si="508">IF(DG1124="",DF1124,
IF(AND($DE$10&gt;=VLOOKUP(DG1124,$DD$5:$DH$9,2,0),$DE$10&lt;=VLOOKUP(DG1124,$DD$5:$DH$9,3,0)),
(DF1124*(1-VLOOKUP(DG1124,$DD$5:$DH$9,4,0))),
DF1124))</f>
        <v>7720</v>
      </c>
    </row>
    <row r="1125" spans="108:112">
      <c r="DD1125" s="738" t="s">
        <v>5322</v>
      </c>
      <c r="DE1125" s="166">
        <v>8350</v>
      </c>
      <c r="DF1125" s="522">
        <f t="shared" si="507"/>
        <v>8350</v>
      </c>
      <c r="DG1125" s="523"/>
      <c r="DH1125" s="524">
        <f t="shared" si="508"/>
        <v>8350</v>
      </c>
    </row>
    <row r="1126" spans="108:112">
      <c r="DD1126" s="738" t="s">
        <v>5323</v>
      </c>
      <c r="DE1126" s="166">
        <v>8350</v>
      </c>
      <c r="DF1126" s="522">
        <f t="shared" si="507"/>
        <v>8350</v>
      </c>
      <c r="DG1126" s="523"/>
      <c r="DH1126" s="524">
        <f t="shared" si="508"/>
        <v>8350</v>
      </c>
    </row>
    <row r="1127" spans="108:112">
      <c r="DD1127" s="738" t="s">
        <v>5324</v>
      </c>
      <c r="DE1127" s="166">
        <v>8350</v>
      </c>
      <c r="DF1127" s="522">
        <f t="shared" si="507"/>
        <v>8350</v>
      </c>
      <c r="DG1127" s="523"/>
      <c r="DH1127" s="524">
        <f t="shared" si="508"/>
        <v>8350</v>
      </c>
    </row>
    <row r="1128" spans="108:112">
      <c r="DD1128" s="738" t="s">
        <v>5325</v>
      </c>
      <c r="DE1128" s="166">
        <v>7720</v>
      </c>
      <c r="DF1128" s="522">
        <f t="shared" si="507"/>
        <v>7720</v>
      </c>
      <c r="DG1128" s="523"/>
      <c r="DH1128" s="524">
        <f t="shared" si="508"/>
        <v>7720</v>
      </c>
    </row>
    <row r="1129" spans="108:112">
      <c r="DD1129" s="738" t="s">
        <v>5326</v>
      </c>
      <c r="DE1129" s="166">
        <v>7720</v>
      </c>
      <c r="DF1129" s="522">
        <f t="shared" si="507"/>
        <v>7720</v>
      </c>
      <c r="DG1129" s="523"/>
      <c r="DH1129" s="524">
        <f t="shared" si="508"/>
        <v>7720</v>
      </c>
    </row>
    <row r="1130" spans="108:112">
      <c r="DD1130" s="738" t="s">
        <v>5327</v>
      </c>
      <c r="DE1130" s="166">
        <v>7910</v>
      </c>
      <c r="DF1130" s="522">
        <f t="shared" si="507"/>
        <v>7910</v>
      </c>
      <c r="DG1130" s="523"/>
      <c r="DH1130" s="524">
        <f t="shared" si="508"/>
        <v>7910</v>
      </c>
    </row>
    <row r="1131" spans="108:112">
      <c r="DD1131" s="738" t="s">
        <v>5328</v>
      </c>
      <c r="DE1131" s="166">
        <v>7910</v>
      </c>
      <c r="DF1131" s="522">
        <f t="shared" si="507"/>
        <v>7910</v>
      </c>
      <c r="DG1131" s="523"/>
      <c r="DH1131" s="524">
        <f t="shared" si="508"/>
        <v>7910</v>
      </c>
    </row>
    <row r="1132" spans="108:112">
      <c r="DD1132" s="738" t="s">
        <v>5329</v>
      </c>
      <c r="DE1132" s="166">
        <v>8150</v>
      </c>
      <c r="DF1132" s="522">
        <f t="shared" si="507"/>
        <v>8150</v>
      </c>
      <c r="DG1132" s="523"/>
      <c r="DH1132" s="524">
        <f t="shared" si="508"/>
        <v>8150</v>
      </c>
    </row>
    <row r="1133" spans="108:112">
      <c r="DD1133" s="739" t="s">
        <v>5330</v>
      </c>
      <c r="DE1133" s="164">
        <v>8150</v>
      </c>
      <c r="DF1133" s="522">
        <f t="shared" si="507"/>
        <v>8150</v>
      </c>
      <c r="DG1133" s="523"/>
      <c r="DH1133" s="524">
        <f t="shared" si="508"/>
        <v>8150</v>
      </c>
    </row>
    <row r="1134" spans="108:112">
      <c r="DD1134" s="641"/>
      <c r="DE1134" s="642"/>
      <c r="DF1134" s="643"/>
      <c r="DG1134" s="644"/>
      <c r="DH1134" s="645"/>
    </row>
    <row r="1135" spans="108:112">
      <c r="DD1135" s="60"/>
      <c r="DE1135" s="105"/>
      <c r="DF1135" s="403"/>
      <c r="DG1135" s="514"/>
      <c r="DH1135" s="511"/>
    </row>
    <row r="1136" spans="108:112">
      <c r="DD1136" s="631"/>
      <c r="DE1136" s="632"/>
      <c r="DF1136" s="633"/>
      <c r="DG1136" s="634"/>
      <c r="DH1136" s="635"/>
    </row>
    <row r="1137" spans="107:112">
      <c r="DD1137" s="162"/>
      <c r="DE1137" s="163"/>
      <c r="DF1137" s="528"/>
      <c r="DG1137" s="529"/>
      <c r="DH1137" s="530"/>
    </row>
    <row r="1138" spans="107:112">
      <c r="DD1138" s="736" t="s">
        <v>5016</v>
      </c>
      <c r="DE1138" s="105">
        <v>1830</v>
      </c>
      <c r="DF1138" s="403">
        <f t="shared" ref="DF1138:DF1201" si="509">ROUND(((DE1138-(DE1138/6))/$DD$3)*$DE$3,2)</f>
        <v>1830</v>
      </c>
      <c r="DG1138" s="514"/>
      <c r="DH1138" s="511">
        <f t="shared" ref="DH1138:DH1201" si="510">IF(DG1138="",DF1138,
IF(AND($DE$10&gt;=VLOOKUP(DG1138,$DD$5:$DH$9,2,0),$DE$10&lt;=VLOOKUP(DG1138,$DD$5:$DH$9,3,0)),
(DF1138*(1-VLOOKUP(DG1138,$DD$5:$DH$9,4,0))),
DF1138))</f>
        <v>1830</v>
      </c>
    </row>
    <row r="1139" spans="107:112">
      <c r="DC1139" s="121"/>
      <c r="DD1139" s="60" t="s">
        <v>921</v>
      </c>
      <c r="DE1139" s="105">
        <v>1830</v>
      </c>
      <c r="DF1139" s="403">
        <f t="shared" si="509"/>
        <v>1830</v>
      </c>
      <c r="DG1139" s="514"/>
      <c r="DH1139" s="511">
        <f t="shared" si="510"/>
        <v>1830</v>
      </c>
    </row>
    <row r="1140" spans="107:112">
      <c r="DC1140" s="121"/>
      <c r="DD1140" s="60" t="s">
        <v>1412</v>
      </c>
      <c r="DE1140" s="105">
        <v>1830</v>
      </c>
      <c r="DF1140" s="403">
        <f t="shared" si="509"/>
        <v>1830</v>
      </c>
      <c r="DG1140" s="514"/>
      <c r="DH1140" s="511">
        <f t="shared" si="510"/>
        <v>1830</v>
      </c>
    </row>
    <row r="1141" spans="107:112">
      <c r="DC1141" s="121"/>
      <c r="DD1141" s="60" t="s">
        <v>2009</v>
      </c>
      <c r="DE1141" s="105">
        <v>2070</v>
      </c>
      <c r="DF1141" s="403">
        <f t="shared" si="509"/>
        <v>2070</v>
      </c>
      <c r="DG1141" s="514"/>
      <c r="DH1141" s="511">
        <f t="shared" si="510"/>
        <v>2070</v>
      </c>
    </row>
    <row r="1142" spans="107:112">
      <c r="DC1142" s="121"/>
      <c r="DD1142" s="60" t="s">
        <v>922</v>
      </c>
      <c r="DE1142" s="105">
        <v>2150</v>
      </c>
      <c r="DF1142" s="403">
        <f t="shared" si="509"/>
        <v>2150</v>
      </c>
      <c r="DG1142" s="514"/>
      <c r="DH1142" s="511">
        <f t="shared" si="510"/>
        <v>2150</v>
      </c>
    </row>
    <row r="1143" spans="107:112">
      <c r="DC1143" s="121"/>
      <c r="DD1143" s="60" t="s">
        <v>923</v>
      </c>
      <c r="DE1143" s="105">
        <v>2370</v>
      </c>
      <c r="DF1143" s="403">
        <f t="shared" si="509"/>
        <v>2370</v>
      </c>
      <c r="DG1143" s="514"/>
      <c r="DH1143" s="511">
        <f t="shared" si="510"/>
        <v>2370</v>
      </c>
    </row>
    <row r="1144" spans="107:112">
      <c r="DC1144" s="121"/>
      <c r="DD1144" s="736" t="s">
        <v>5331</v>
      </c>
      <c r="DE1144" s="105">
        <v>2550</v>
      </c>
      <c r="DF1144" s="403">
        <f t="shared" si="509"/>
        <v>2550</v>
      </c>
      <c r="DG1144" s="514"/>
      <c r="DH1144" s="511">
        <f t="shared" si="510"/>
        <v>2550</v>
      </c>
    </row>
    <row r="1145" spans="107:112">
      <c r="DC1145" s="121"/>
      <c r="DD1145" s="60" t="s">
        <v>1837</v>
      </c>
      <c r="DE1145" s="105">
        <v>2550</v>
      </c>
      <c r="DF1145" s="403">
        <f t="shared" si="509"/>
        <v>2550</v>
      </c>
      <c r="DG1145" s="514"/>
      <c r="DH1145" s="511">
        <f t="shared" si="510"/>
        <v>2550</v>
      </c>
    </row>
    <row r="1146" spans="107:112">
      <c r="DC1146" s="121"/>
      <c r="DD1146" s="641"/>
      <c r="DE1146" s="642"/>
      <c r="DF1146" s="643"/>
      <c r="DG1146" s="644"/>
      <c r="DH1146" s="645"/>
    </row>
    <row r="1147" spans="107:112">
      <c r="DC1147" s="121"/>
      <c r="DD1147" s="736" t="s">
        <v>5017</v>
      </c>
      <c r="DE1147" s="105">
        <v>2220</v>
      </c>
      <c r="DF1147" s="403">
        <f t="shared" si="509"/>
        <v>2220</v>
      </c>
      <c r="DG1147" s="514"/>
      <c r="DH1147" s="511">
        <f t="shared" si="510"/>
        <v>2220</v>
      </c>
    </row>
    <row r="1148" spans="107:112">
      <c r="DC1148" s="121"/>
      <c r="DD1148" s="60" t="s">
        <v>701</v>
      </c>
      <c r="DE1148" s="105">
        <v>2220</v>
      </c>
      <c r="DF1148" s="403">
        <f t="shared" si="509"/>
        <v>2220</v>
      </c>
      <c r="DG1148" s="514"/>
      <c r="DH1148" s="511">
        <f t="shared" si="510"/>
        <v>2220</v>
      </c>
    </row>
    <row r="1149" spans="107:112">
      <c r="DC1149" s="121"/>
      <c r="DD1149" s="60" t="s">
        <v>1413</v>
      </c>
      <c r="DE1149" s="105">
        <v>2220</v>
      </c>
      <c r="DF1149" s="403">
        <f t="shared" si="509"/>
        <v>2220</v>
      </c>
      <c r="DG1149" s="514"/>
      <c r="DH1149" s="511">
        <f t="shared" si="510"/>
        <v>2220</v>
      </c>
    </row>
    <row r="1150" spans="107:112">
      <c r="DC1150" s="121"/>
      <c r="DD1150" s="60" t="s">
        <v>2010</v>
      </c>
      <c r="DE1150" s="105">
        <v>2520</v>
      </c>
      <c r="DF1150" s="403">
        <f t="shared" si="509"/>
        <v>2520</v>
      </c>
      <c r="DG1150" s="514"/>
      <c r="DH1150" s="511">
        <f t="shared" si="510"/>
        <v>2520</v>
      </c>
    </row>
    <row r="1151" spans="107:112">
      <c r="DC1151" s="121"/>
      <c r="DD1151" s="60" t="s">
        <v>438</v>
      </c>
      <c r="DE1151" s="105">
        <v>2680</v>
      </c>
      <c r="DF1151" s="403">
        <f t="shared" si="509"/>
        <v>2680</v>
      </c>
      <c r="DG1151" s="514"/>
      <c r="DH1151" s="511">
        <f t="shared" si="510"/>
        <v>2680</v>
      </c>
    </row>
    <row r="1152" spans="107:112">
      <c r="DC1152" s="121"/>
      <c r="DD1152" s="60" t="s">
        <v>14</v>
      </c>
      <c r="DE1152" s="105">
        <v>2940</v>
      </c>
      <c r="DF1152" s="403">
        <f t="shared" si="509"/>
        <v>2940</v>
      </c>
      <c r="DG1152" s="514"/>
      <c r="DH1152" s="511">
        <f t="shared" si="510"/>
        <v>2940</v>
      </c>
    </row>
    <row r="1153" spans="107:112">
      <c r="DC1153" s="121"/>
      <c r="DD1153" s="736" t="s">
        <v>5332</v>
      </c>
      <c r="DE1153" s="105">
        <v>3240</v>
      </c>
      <c r="DF1153" s="403">
        <f t="shared" si="509"/>
        <v>3240</v>
      </c>
      <c r="DG1153" s="514"/>
      <c r="DH1153" s="511">
        <f t="shared" si="510"/>
        <v>3240</v>
      </c>
    </row>
    <row r="1154" spans="107:112">
      <c r="DC1154" s="121"/>
      <c r="DD1154" s="60" t="s">
        <v>1838</v>
      </c>
      <c r="DE1154" s="105">
        <v>3240</v>
      </c>
      <c r="DF1154" s="403">
        <f t="shared" si="509"/>
        <v>3240</v>
      </c>
      <c r="DG1154" s="514"/>
      <c r="DH1154" s="511">
        <f t="shared" si="510"/>
        <v>3240</v>
      </c>
    </row>
    <row r="1155" spans="107:112">
      <c r="DC1155" s="121"/>
      <c r="DD1155" s="641"/>
      <c r="DE1155" s="642"/>
      <c r="DF1155" s="643"/>
      <c r="DG1155" s="644"/>
      <c r="DH1155" s="645"/>
    </row>
    <row r="1156" spans="107:112">
      <c r="DC1156" s="121"/>
      <c r="DD1156" s="737" t="s">
        <v>5018</v>
      </c>
      <c r="DE1156" s="163">
        <v>2980</v>
      </c>
      <c r="DF1156" s="528">
        <f t="shared" si="509"/>
        <v>2980</v>
      </c>
      <c r="DG1156" s="529"/>
      <c r="DH1156" s="530">
        <f t="shared" si="510"/>
        <v>2980</v>
      </c>
    </row>
    <row r="1157" spans="107:112">
      <c r="DC1157" s="121"/>
      <c r="DD1157" s="738" t="s">
        <v>5019</v>
      </c>
      <c r="DE1157" s="166">
        <v>3160</v>
      </c>
      <c r="DF1157" s="528">
        <f t="shared" si="509"/>
        <v>3160</v>
      </c>
      <c r="DG1157" s="523"/>
      <c r="DH1157" s="530">
        <f t="shared" si="510"/>
        <v>3160</v>
      </c>
    </row>
    <row r="1158" spans="107:112">
      <c r="DC1158" s="121"/>
      <c r="DD1158" s="738" t="s">
        <v>5020</v>
      </c>
      <c r="DE1158" s="166">
        <v>3280</v>
      </c>
      <c r="DF1158" s="528">
        <f t="shared" si="509"/>
        <v>3280</v>
      </c>
      <c r="DG1158" s="523"/>
      <c r="DH1158" s="530">
        <f t="shared" si="510"/>
        <v>3280</v>
      </c>
    </row>
    <row r="1159" spans="107:112">
      <c r="DC1159" s="121"/>
      <c r="DD1159" s="738" t="s">
        <v>5021</v>
      </c>
      <c r="DE1159" s="166">
        <v>3370</v>
      </c>
      <c r="DF1159" s="528">
        <f t="shared" si="509"/>
        <v>3370</v>
      </c>
      <c r="DG1159" s="523"/>
      <c r="DH1159" s="530">
        <f t="shared" si="510"/>
        <v>3370</v>
      </c>
    </row>
    <row r="1160" spans="107:112">
      <c r="DC1160" s="121"/>
      <c r="DD1160" s="738" t="s">
        <v>5022</v>
      </c>
      <c r="DE1160" s="166">
        <v>3550</v>
      </c>
      <c r="DF1160" s="528">
        <f t="shared" si="509"/>
        <v>3550</v>
      </c>
      <c r="DG1160" s="523"/>
      <c r="DH1160" s="530">
        <f t="shared" si="510"/>
        <v>3550</v>
      </c>
    </row>
    <row r="1161" spans="107:112">
      <c r="DC1161" s="121"/>
      <c r="DD1161" s="738" t="s">
        <v>5023</v>
      </c>
      <c r="DE1161" s="166">
        <v>3730</v>
      </c>
      <c r="DF1161" s="528">
        <f t="shared" si="509"/>
        <v>3730</v>
      </c>
      <c r="DG1161" s="523"/>
      <c r="DH1161" s="530">
        <f t="shared" si="510"/>
        <v>3730</v>
      </c>
    </row>
    <row r="1162" spans="107:112">
      <c r="DD1162" s="738" t="s">
        <v>5024</v>
      </c>
      <c r="DE1162" s="166">
        <v>3920</v>
      </c>
      <c r="DF1162" s="528">
        <f t="shared" si="509"/>
        <v>3920</v>
      </c>
      <c r="DG1162" s="523"/>
      <c r="DH1162" s="530">
        <f t="shared" si="510"/>
        <v>3920</v>
      </c>
    </row>
    <row r="1163" spans="107:112">
      <c r="DD1163" s="738" t="s">
        <v>5025</v>
      </c>
      <c r="DE1163" s="166">
        <v>4100</v>
      </c>
      <c r="DF1163" s="528">
        <f t="shared" si="509"/>
        <v>4100</v>
      </c>
      <c r="DG1163" s="523"/>
      <c r="DH1163" s="530">
        <f t="shared" si="510"/>
        <v>4100</v>
      </c>
    </row>
    <row r="1164" spans="107:112">
      <c r="DD1164" s="738" t="s">
        <v>5026</v>
      </c>
      <c r="DE1164" s="166">
        <v>4290</v>
      </c>
      <c r="DF1164" s="528">
        <f t="shared" si="509"/>
        <v>4290</v>
      </c>
      <c r="DG1164" s="523"/>
      <c r="DH1164" s="530">
        <f t="shared" si="510"/>
        <v>4290</v>
      </c>
    </row>
    <row r="1165" spans="107:112">
      <c r="DD1165" s="739" t="s">
        <v>5027</v>
      </c>
      <c r="DE1165" s="164">
        <v>4490</v>
      </c>
      <c r="DF1165" s="528">
        <f t="shared" si="509"/>
        <v>4490</v>
      </c>
      <c r="DG1165" s="526"/>
      <c r="DH1165" s="530">
        <f t="shared" si="510"/>
        <v>4490</v>
      </c>
    </row>
    <row r="1166" spans="107:112">
      <c r="DD1166" s="165" t="s">
        <v>702</v>
      </c>
      <c r="DE1166" s="166">
        <v>2980</v>
      </c>
      <c r="DF1166" s="528">
        <f t="shared" si="509"/>
        <v>2980</v>
      </c>
      <c r="DG1166" s="523"/>
      <c r="DH1166" s="530">
        <f t="shared" si="510"/>
        <v>2980</v>
      </c>
    </row>
    <row r="1167" spans="107:112">
      <c r="DD1167" s="165" t="s">
        <v>703</v>
      </c>
      <c r="DE1167" s="166">
        <v>3160</v>
      </c>
      <c r="DF1167" s="528">
        <f t="shared" si="509"/>
        <v>3160</v>
      </c>
      <c r="DG1167" s="523"/>
      <c r="DH1167" s="530">
        <f t="shared" si="510"/>
        <v>3160</v>
      </c>
    </row>
    <row r="1168" spans="107:112">
      <c r="DD1168" s="165" t="s">
        <v>1275</v>
      </c>
      <c r="DE1168" s="166">
        <v>3280</v>
      </c>
      <c r="DF1168" s="528">
        <f t="shared" si="509"/>
        <v>3280</v>
      </c>
      <c r="DG1168" s="523"/>
      <c r="DH1168" s="530">
        <f t="shared" si="510"/>
        <v>3280</v>
      </c>
    </row>
    <row r="1169" spans="108:112">
      <c r="DD1169" s="165" t="s">
        <v>704</v>
      </c>
      <c r="DE1169" s="166">
        <v>3370</v>
      </c>
      <c r="DF1169" s="528">
        <f t="shared" si="509"/>
        <v>3370</v>
      </c>
      <c r="DG1169" s="523"/>
      <c r="DH1169" s="530">
        <f t="shared" si="510"/>
        <v>3370</v>
      </c>
    </row>
    <row r="1170" spans="108:112">
      <c r="DD1170" s="165" t="s">
        <v>705</v>
      </c>
      <c r="DE1170" s="166">
        <v>3550</v>
      </c>
      <c r="DF1170" s="528">
        <f t="shared" si="509"/>
        <v>3550</v>
      </c>
      <c r="DG1170" s="523"/>
      <c r="DH1170" s="530">
        <f t="shared" si="510"/>
        <v>3550</v>
      </c>
    </row>
    <row r="1171" spans="108:112">
      <c r="DD1171" s="165" t="s">
        <v>706</v>
      </c>
      <c r="DE1171" s="166">
        <v>3730</v>
      </c>
      <c r="DF1171" s="528">
        <f t="shared" si="509"/>
        <v>3730</v>
      </c>
      <c r="DG1171" s="523"/>
      <c r="DH1171" s="530">
        <f t="shared" si="510"/>
        <v>3730</v>
      </c>
    </row>
    <row r="1172" spans="108:112">
      <c r="DD1172" s="165" t="s">
        <v>707</v>
      </c>
      <c r="DE1172" s="166">
        <v>3920</v>
      </c>
      <c r="DF1172" s="528">
        <f t="shared" si="509"/>
        <v>3920</v>
      </c>
      <c r="DG1172" s="523"/>
      <c r="DH1172" s="530">
        <f t="shared" si="510"/>
        <v>3920</v>
      </c>
    </row>
    <row r="1173" spans="108:112">
      <c r="DD1173" s="165" t="s">
        <v>708</v>
      </c>
      <c r="DE1173" s="166">
        <v>4100</v>
      </c>
      <c r="DF1173" s="528">
        <f t="shared" si="509"/>
        <v>4100</v>
      </c>
      <c r="DG1173" s="523"/>
      <c r="DH1173" s="530">
        <f t="shared" si="510"/>
        <v>4100</v>
      </c>
    </row>
    <row r="1174" spans="108:112">
      <c r="DD1174" s="165" t="s">
        <v>709</v>
      </c>
      <c r="DE1174" s="166">
        <v>4290</v>
      </c>
      <c r="DF1174" s="528">
        <f t="shared" si="509"/>
        <v>4290</v>
      </c>
      <c r="DG1174" s="523"/>
      <c r="DH1174" s="530">
        <f t="shared" si="510"/>
        <v>4290</v>
      </c>
    </row>
    <row r="1175" spans="108:112">
      <c r="DD1175" s="108" t="s">
        <v>710</v>
      </c>
      <c r="DE1175" s="164">
        <v>4490</v>
      </c>
      <c r="DF1175" s="528">
        <f t="shared" si="509"/>
        <v>4490</v>
      </c>
      <c r="DG1175" s="526"/>
      <c r="DH1175" s="530">
        <f t="shared" si="510"/>
        <v>4490</v>
      </c>
    </row>
    <row r="1176" spans="108:112">
      <c r="DD1176" s="165" t="s">
        <v>1402</v>
      </c>
      <c r="DE1176" s="166">
        <v>2980</v>
      </c>
      <c r="DF1176" s="528">
        <f t="shared" si="509"/>
        <v>2980</v>
      </c>
      <c r="DG1176" s="523"/>
      <c r="DH1176" s="530">
        <f t="shared" si="510"/>
        <v>2980</v>
      </c>
    </row>
    <row r="1177" spans="108:112">
      <c r="DD1177" s="165" t="s">
        <v>1403</v>
      </c>
      <c r="DE1177" s="166">
        <v>3160</v>
      </c>
      <c r="DF1177" s="528">
        <f t="shared" si="509"/>
        <v>3160</v>
      </c>
      <c r="DG1177" s="523"/>
      <c r="DH1177" s="530">
        <f t="shared" si="510"/>
        <v>3160</v>
      </c>
    </row>
    <row r="1178" spans="108:112">
      <c r="DD1178" s="165" t="s">
        <v>1404</v>
      </c>
      <c r="DE1178" s="166">
        <v>3280</v>
      </c>
      <c r="DF1178" s="528">
        <f t="shared" si="509"/>
        <v>3280</v>
      </c>
      <c r="DG1178" s="523"/>
      <c r="DH1178" s="530">
        <f t="shared" si="510"/>
        <v>3280</v>
      </c>
    </row>
    <row r="1179" spans="108:112">
      <c r="DD1179" s="165" t="s">
        <v>1405</v>
      </c>
      <c r="DE1179" s="166">
        <v>3370</v>
      </c>
      <c r="DF1179" s="528">
        <f t="shared" si="509"/>
        <v>3370</v>
      </c>
      <c r="DG1179" s="523"/>
      <c r="DH1179" s="530">
        <f t="shared" si="510"/>
        <v>3370</v>
      </c>
    </row>
    <row r="1180" spans="108:112">
      <c r="DD1180" s="165" t="s">
        <v>1406</v>
      </c>
      <c r="DE1180" s="166">
        <v>3550</v>
      </c>
      <c r="DF1180" s="528">
        <f t="shared" si="509"/>
        <v>3550</v>
      </c>
      <c r="DG1180" s="523"/>
      <c r="DH1180" s="530">
        <f t="shared" si="510"/>
        <v>3550</v>
      </c>
    </row>
    <row r="1181" spans="108:112">
      <c r="DD1181" s="165" t="s">
        <v>1407</v>
      </c>
      <c r="DE1181" s="166">
        <v>3730</v>
      </c>
      <c r="DF1181" s="528">
        <f t="shared" si="509"/>
        <v>3730</v>
      </c>
      <c r="DG1181" s="523"/>
      <c r="DH1181" s="530">
        <f t="shared" si="510"/>
        <v>3730</v>
      </c>
    </row>
    <row r="1182" spans="108:112">
      <c r="DD1182" s="165" t="s">
        <v>1408</v>
      </c>
      <c r="DE1182" s="166">
        <v>3920</v>
      </c>
      <c r="DF1182" s="528">
        <f t="shared" si="509"/>
        <v>3920</v>
      </c>
      <c r="DG1182" s="523"/>
      <c r="DH1182" s="530">
        <f t="shared" si="510"/>
        <v>3920</v>
      </c>
    </row>
    <row r="1183" spans="108:112">
      <c r="DD1183" s="165" t="s">
        <v>1409</v>
      </c>
      <c r="DE1183" s="166">
        <v>4100</v>
      </c>
      <c r="DF1183" s="528">
        <f t="shared" si="509"/>
        <v>4100</v>
      </c>
      <c r="DG1183" s="523"/>
      <c r="DH1183" s="530">
        <f t="shared" si="510"/>
        <v>4100</v>
      </c>
    </row>
    <row r="1184" spans="108:112">
      <c r="DD1184" s="165" t="s">
        <v>1410</v>
      </c>
      <c r="DE1184" s="166">
        <v>4290</v>
      </c>
      <c r="DF1184" s="528">
        <f t="shared" si="509"/>
        <v>4290</v>
      </c>
      <c r="DG1184" s="523"/>
      <c r="DH1184" s="530">
        <f t="shared" si="510"/>
        <v>4290</v>
      </c>
    </row>
    <row r="1185" spans="108:112">
      <c r="DD1185" s="108" t="s">
        <v>1411</v>
      </c>
      <c r="DE1185" s="164">
        <v>4490</v>
      </c>
      <c r="DF1185" s="528">
        <f t="shared" si="509"/>
        <v>4490</v>
      </c>
      <c r="DG1185" s="526"/>
      <c r="DH1185" s="530">
        <f t="shared" si="510"/>
        <v>4490</v>
      </c>
    </row>
    <row r="1186" spans="108:112">
      <c r="DD1186" s="165" t="s">
        <v>2011</v>
      </c>
      <c r="DE1186" s="166">
        <v>3440.0000000000005</v>
      </c>
      <c r="DF1186" s="528">
        <f t="shared" si="509"/>
        <v>3440</v>
      </c>
      <c r="DG1186" s="523"/>
      <c r="DH1186" s="530">
        <f t="shared" si="510"/>
        <v>3440</v>
      </c>
    </row>
    <row r="1187" spans="108:112">
      <c r="DD1187" s="165" t="s">
        <v>2012</v>
      </c>
      <c r="DE1187" s="166">
        <v>3640</v>
      </c>
      <c r="DF1187" s="528">
        <f t="shared" si="509"/>
        <v>3640</v>
      </c>
      <c r="DG1187" s="523"/>
      <c r="DH1187" s="530">
        <f t="shared" si="510"/>
        <v>3640</v>
      </c>
    </row>
    <row r="1188" spans="108:112">
      <c r="DD1188" s="165" t="s">
        <v>2013</v>
      </c>
      <c r="DE1188" s="166">
        <v>3760</v>
      </c>
      <c r="DF1188" s="528">
        <f t="shared" si="509"/>
        <v>3760</v>
      </c>
      <c r="DG1188" s="523"/>
      <c r="DH1188" s="530">
        <f t="shared" si="510"/>
        <v>3760</v>
      </c>
    </row>
    <row r="1189" spans="108:112">
      <c r="DD1189" s="165" t="s">
        <v>2014</v>
      </c>
      <c r="DE1189" s="166">
        <v>3880</v>
      </c>
      <c r="DF1189" s="528">
        <f t="shared" si="509"/>
        <v>3880</v>
      </c>
      <c r="DG1189" s="523"/>
      <c r="DH1189" s="530">
        <f t="shared" si="510"/>
        <v>3880</v>
      </c>
    </row>
    <row r="1190" spans="108:112">
      <c r="DD1190" s="165" t="s">
        <v>2015</v>
      </c>
      <c r="DE1190" s="166">
        <v>4080</v>
      </c>
      <c r="DF1190" s="528">
        <f t="shared" si="509"/>
        <v>4080</v>
      </c>
      <c r="DG1190" s="523"/>
      <c r="DH1190" s="530">
        <f t="shared" si="510"/>
        <v>4080</v>
      </c>
    </row>
    <row r="1191" spans="108:112">
      <c r="DD1191" s="165" t="s">
        <v>2016</v>
      </c>
      <c r="DE1191" s="166">
        <v>4300</v>
      </c>
      <c r="DF1191" s="528">
        <f t="shared" si="509"/>
        <v>4300</v>
      </c>
      <c r="DG1191" s="523"/>
      <c r="DH1191" s="530">
        <f t="shared" si="510"/>
        <v>4300</v>
      </c>
    </row>
    <row r="1192" spans="108:112">
      <c r="DD1192" s="165" t="s">
        <v>2017</v>
      </c>
      <c r="DE1192" s="166">
        <v>4510</v>
      </c>
      <c r="DF1192" s="528">
        <f t="shared" si="509"/>
        <v>4510</v>
      </c>
      <c r="DG1192" s="523"/>
      <c r="DH1192" s="530">
        <f t="shared" si="510"/>
        <v>4510</v>
      </c>
    </row>
    <row r="1193" spans="108:112">
      <c r="DD1193" s="165" t="s">
        <v>2018</v>
      </c>
      <c r="DE1193" s="166">
        <v>4730</v>
      </c>
      <c r="DF1193" s="528">
        <f t="shared" si="509"/>
        <v>4730</v>
      </c>
      <c r="DG1193" s="523"/>
      <c r="DH1193" s="530">
        <f t="shared" si="510"/>
        <v>4730</v>
      </c>
    </row>
    <row r="1194" spans="108:112">
      <c r="DD1194" s="165" t="s">
        <v>2019</v>
      </c>
      <c r="DE1194" s="166">
        <v>4940</v>
      </c>
      <c r="DF1194" s="528">
        <f t="shared" si="509"/>
        <v>4940</v>
      </c>
      <c r="DG1194" s="523"/>
      <c r="DH1194" s="530">
        <f t="shared" si="510"/>
        <v>4940</v>
      </c>
    </row>
    <row r="1195" spans="108:112">
      <c r="DD1195" s="108" t="s">
        <v>2020</v>
      </c>
      <c r="DE1195" s="164">
        <v>5170.0000000000009</v>
      </c>
      <c r="DF1195" s="528">
        <f t="shared" si="509"/>
        <v>5170</v>
      </c>
      <c r="DG1195" s="526"/>
      <c r="DH1195" s="530">
        <f t="shared" si="510"/>
        <v>5170</v>
      </c>
    </row>
    <row r="1196" spans="108:112">
      <c r="DD1196" s="165" t="s">
        <v>439</v>
      </c>
      <c r="DE1196" s="166">
        <v>3570</v>
      </c>
      <c r="DF1196" s="528">
        <f t="shared" si="509"/>
        <v>3570</v>
      </c>
      <c r="DG1196" s="523"/>
      <c r="DH1196" s="530">
        <f t="shared" si="510"/>
        <v>3570</v>
      </c>
    </row>
    <row r="1197" spans="108:112">
      <c r="DD1197" s="165" t="s">
        <v>440</v>
      </c>
      <c r="DE1197" s="166">
        <v>3800</v>
      </c>
      <c r="DF1197" s="528">
        <f t="shared" si="509"/>
        <v>3800</v>
      </c>
      <c r="DG1197" s="523"/>
      <c r="DH1197" s="530">
        <f t="shared" si="510"/>
        <v>3800</v>
      </c>
    </row>
    <row r="1198" spans="108:112">
      <c r="DD1198" s="165" t="s">
        <v>1276</v>
      </c>
      <c r="DE1198" s="166">
        <v>3910</v>
      </c>
      <c r="DF1198" s="528">
        <f t="shared" si="509"/>
        <v>3910</v>
      </c>
      <c r="DG1198" s="523"/>
      <c r="DH1198" s="530">
        <f t="shared" si="510"/>
        <v>3910</v>
      </c>
    </row>
    <row r="1199" spans="108:112">
      <c r="DD1199" s="165" t="s">
        <v>441</v>
      </c>
      <c r="DE1199" s="166">
        <v>4000</v>
      </c>
      <c r="DF1199" s="528">
        <f t="shared" si="509"/>
        <v>4000</v>
      </c>
      <c r="DG1199" s="523"/>
      <c r="DH1199" s="530">
        <f t="shared" si="510"/>
        <v>4000</v>
      </c>
    </row>
    <row r="1200" spans="108:112">
      <c r="DD1200" s="165" t="s">
        <v>442</v>
      </c>
      <c r="DE1200" s="166">
        <v>4230</v>
      </c>
      <c r="DF1200" s="528">
        <f t="shared" si="509"/>
        <v>4230</v>
      </c>
      <c r="DG1200" s="523"/>
      <c r="DH1200" s="530">
        <f t="shared" si="510"/>
        <v>4230</v>
      </c>
    </row>
    <row r="1201" spans="108:112">
      <c r="DD1201" s="165" t="s">
        <v>443</v>
      </c>
      <c r="DE1201" s="166">
        <v>4430</v>
      </c>
      <c r="DF1201" s="528">
        <f t="shared" si="509"/>
        <v>4430</v>
      </c>
      <c r="DG1201" s="523"/>
      <c r="DH1201" s="530">
        <f t="shared" si="510"/>
        <v>4430</v>
      </c>
    </row>
    <row r="1202" spans="108:112">
      <c r="DD1202" s="165" t="s">
        <v>444</v>
      </c>
      <c r="DE1202" s="166">
        <v>4660</v>
      </c>
      <c r="DF1202" s="528">
        <f t="shared" ref="DF1202:DF1265" si="511">ROUND(((DE1202-(DE1202/6))/$DD$3)*$DE$3,2)</f>
        <v>4660</v>
      </c>
      <c r="DG1202" s="523"/>
      <c r="DH1202" s="530">
        <f t="shared" ref="DH1202:DH1265" si="512">IF(DG1202="",DF1202,
IF(AND($DE$10&gt;=VLOOKUP(DG1202,$DD$5:$DH$9,2,0),$DE$10&lt;=VLOOKUP(DG1202,$DD$5:$DH$9,3,0)),
(DF1202*(1-VLOOKUP(DG1202,$DD$5:$DH$9,4,0))),
DF1202))</f>
        <v>4660</v>
      </c>
    </row>
    <row r="1203" spans="108:112">
      <c r="DD1203" s="165" t="s">
        <v>445</v>
      </c>
      <c r="DE1203" s="166">
        <v>4890</v>
      </c>
      <c r="DF1203" s="528">
        <f t="shared" si="511"/>
        <v>4890</v>
      </c>
      <c r="DG1203" s="523"/>
      <c r="DH1203" s="530">
        <f t="shared" si="512"/>
        <v>4890</v>
      </c>
    </row>
    <row r="1204" spans="108:112">
      <c r="DD1204" s="165" t="s">
        <v>446</v>
      </c>
      <c r="DE1204" s="166">
        <v>5090</v>
      </c>
      <c r="DF1204" s="528">
        <f t="shared" si="511"/>
        <v>5090</v>
      </c>
      <c r="DG1204" s="523"/>
      <c r="DH1204" s="530">
        <f t="shared" si="512"/>
        <v>5090</v>
      </c>
    </row>
    <row r="1205" spans="108:112">
      <c r="DD1205" s="108" t="s">
        <v>447</v>
      </c>
      <c r="DE1205" s="164">
        <v>5300</v>
      </c>
      <c r="DF1205" s="528">
        <f t="shared" si="511"/>
        <v>5300</v>
      </c>
      <c r="DG1205" s="526"/>
      <c r="DH1205" s="530">
        <f t="shared" si="512"/>
        <v>5300</v>
      </c>
    </row>
    <row r="1206" spans="108:112">
      <c r="DD1206" s="165" t="s">
        <v>15</v>
      </c>
      <c r="DE1206" s="166">
        <v>3800</v>
      </c>
      <c r="DF1206" s="528">
        <f t="shared" si="511"/>
        <v>3800</v>
      </c>
      <c r="DG1206" s="523"/>
      <c r="DH1206" s="530">
        <f t="shared" si="512"/>
        <v>3800</v>
      </c>
    </row>
    <row r="1207" spans="108:112">
      <c r="DD1207" s="165" t="s">
        <v>16</v>
      </c>
      <c r="DE1207" s="166">
        <v>4020</v>
      </c>
      <c r="DF1207" s="528">
        <f t="shared" si="511"/>
        <v>4020</v>
      </c>
      <c r="DG1207" s="523"/>
      <c r="DH1207" s="530">
        <f t="shared" si="512"/>
        <v>4020</v>
      </c>
    </row>
    <row r="1208" spans="108:112">
      <c r="DD1208" s="165" t="s">
        <v>1277</v>
      </c>
      <c r="DE1208" s="166">
        <v>4140</v>
      </c>
      <c r="DF1208" s="528">
        <f t="shared" si="511"/>
        <v>4140</v>
      </c>
      <c r="DG1208" s="523"/>
      <c r="DH1208" s="530">
        <f t="shared" si="512"/>
        <v>4140</v>
      </c>
    </row>
    <row r="1209" spans="108:112">
      <c r="DD1209" s="165" t="s">
        <v>102</v>
      </c>
      <c r="DE1209" s="166">
        <v>4250</v>
      </c>
      <c r="DF1209" s="528">
        <f t="shared" si="511"/>
        <v>4250</v>
      </c>
      <c r="DG1209" s="523"/>
      <c r="DH1209" s="530">
        <f t="shared" si="512"/>
        <v>4250</v>
      </c>
    </row>
    <row r="1210" spans="108:112">
      <c r="DD1210" s="165" t="s">
        <v>103</v>
      </c>
      <c r="DE1210" s="166">
        <v>4490</v>
      </c>
      <c r="DF1210" s="528">
        <f t="shared" si="511"/>
        <v>4490</v>
      </c>
      <c r="DG1210" s="523"/>
      <c r="DH1210" s="530">
        <f t="shared" si="512"/>
        <v>4490</v>
      </c>
    </row>
    <row r="1211" spans="108:112">
      <c r="DD1211" s="165" t="s">
        <v>104</v>
      </c>
      <c r="DE1211" s="166">
        <v>4720</v>
      </c>
      <c r="DF1211" s="528">
        <f t="shared" si="511"/>
        <v>4720</v>
      </c>
      <c r="DG1211" s="523"/>
      <c r="DH1211" s="530">
        <f t="shared" si="512"/>
        <v>4720</v>
      </c>
    </row>
    <row r="1212" spans="108:112">
      <c r="DD1212" s="165" t="s">
        <v>105</v>
      </c>
      <c r="DE1212" s="166">
        <v>4940</v>
      </c>
      <c r="DF1212" s="528">
        <f t="shared" si="511"/>
        <v>4940</v>
      </c>
      <c r="DG1212" s="523"/>
      <c r="DH1212" s="530">
        <f t="shared" si="512"/>
        <v>4940</v>
      </c>
    </row>
    <row r="1213" spans="108:112">
      <c r="DD1213" s="165" t="s">
        <v>106</v>
      </c>
      <c r="DE1213" s="166">
        <v>5180</v>
      </c>
      <c r="DF1213" s="528">
        <f t="shared" si="511"/>
        <v>5180</v>
      </c>
      <c r="DG1213" s="523"/>
      <c r="DH1213" s="530">
        <f t="shared" si="512"/>
        <v>5180</v>
      </c>
    </row>
    <row r="1214" spans="108:112">
      <c r="DD1214" s="165" t="s">
        <v>107</v>
      </c>
      <c r="DE1214" s="166">
        <v>5420</v>
      </c>
      <c r="DF1214" s="528">
        <f t="shared" si="511"/>
        <v>5420</v>
      </c>
      <c r="DG1214" s="523"/>
      <c r="DH1214" s="530">
        <f t="shared" si="512"/>
        <v>5420</v>
      </c>
    </row>
    <row r="1215" spans="108:112">
      <c r="DD1215" s="108" t="s">
        <v>108</v>
      </c>
      <c r="DE1215" s="164">
        <v>5640</v>
      </c>
      <c r="DF1215" s="528">
        <f t="shared" si="511"/>
        <v>5640</v>
      </c>
      <c r="DG1215" s="526"/>
      <c r="DH1215" s="530">
        <f t="shared" si="512"/>
        <v>5640</v>
      </c>
    </row>
    <row r="1216" spans="108:112">
      <c r="DD1216" s="738" t="s">
        <v>5333</v>
      </c>
      <c r="DE1216" s="166">
        <v>4060</v>
      </c>
      <c r="DF1216" s="528">
        <f t="shared" si="511"/>
        <v>4060</v>
      </c>
      <c r="DG1216" s="523"/>
      <c r="DH1216" s="530">
        <f t="shared" si="512"/>
        <v>4060</v>
      </c>
    </row>
    <row r="1217" spans="108:112">
      <c r="DD1217" s="738" t="s">
        <v>5334</v>
      </c>
      <c r="DE1217" s="166">
        <v>4300</v>
      </c>
      <c r="DF1217" s="528">
        <f t="shared" si="511"/>
        <v>4300</v>
      </c>
      <c r="DG1217" s="523"/>
      <c r="DH1217" s="530">
        <f t="shared" si="512"/>
        <v>4300</v>
      </c>
    </row>
    <row r="1218" spans="108:112">
      <c r="DD1218" s="738" t="s">
        <v>5335</v>
      </c>
      <c r="DE1218" s="166">
        <v>4420</v>
      </c>
      <c r="DF1218" s="528">
        <f t="shared" si="511"/>
        <v>4420</v>
      </c>
      <c r="DG1218" s="523"/>
      <c r="DH1218" s="530">
        <f t="shared" si="512"/>
        <v>4420</v>
      </c>
    </row>
    <row r="1219" spans="108:112">
      <c r="DD1219" s="738" t="s">
        <v>5336</v>
      </c>
      <c r="DE1219" s="166">
        <v>4550</v>
      </c>
      <c r="DF1219" s="528">
        <f t="shared" si="511"/>
        <v>4550</v>
      </c>
      <c r="DG1219" s="523"/>
      <c r="DH1219" s="530">
        <f t="shared" si="512"/>
        <v>4550</v>
      </c>
    </row>
    <row r="1220" spans="108:112">
      <c r="DD1220" s="738" t="s">
        <v>5337</v>
      </c>
      <c r="DE1220" s="166">
        <v>4780</v>
      </c>
      <c r="DF1220" s="528">
        <f t="shared" si="511"/>
        <v>4780</v>
      </c>
      <c r="DG1220" s="523"/>
      <c r="DH1220" s="530">
        <f t="shared" si="512"/>
        <v>4780</v>
      </c>
    </row>
    <row r="1221" spans="108:112">
      <c r="DD1221" s="738" t="s">
        <v>5338</v>
      </c>
      <c r="DE1221" s="166">
        <v>5030</v>
      </c>
      <c r="DF1221" s="528">
        <f t="shared" si="511"/>
        <v>5030</v>
      </c>
      <c r="DG1221" s="523"/>
      <c r="DH1221" s="530">
        <f t="shared" si="512"/>
        <v>5030</v>
      </c>
    </row>
    <row r="1222" spans="108:112">
      <c r="DD1222" s="738" t="s">
        <v>5339</v>
      </c>
      <c r="DE1222" s="166">
        <v>5280</v>
      </c>
      <c r="DF1222" s="528">
        <f t="shared" si="511"/>
        <v>5280</v>
      </c>
      <c r="DG1222" s="523"/>
      <c r="DH1222" s="530">
        <f t="shared" si="512"/>
        <v>5280</v>
      </c>
    </row>
    <row r="1223" spans="108:112">
      <c r="DD1223" s="738" t="s">
        <v>5340</v>
      </c>
      <c r="DE1223" s="166">
        <v>5520</v>
      </c>
      <c r="DF1223" s="528">
        <f t="shared" si="511"/>
        <v>5520</v>
      </c>
      <c r="DG1223" s="523"/>
      <c r="DH1223" s="530">
        <f t="shared" si="512"/>
        <v>5520</v>
      </c>
    </row>
    <row r="1224" spans="108:112">
      <c r="DD1224" s="738" t="s">
        <v>5341</v>
      </c>
      <c r="DE1224" s="166">
        <v>5770.0000000000009</v>
      </c>
      <c r="DF1224" s="528">
        <f t="shared" si="511"/>
        <v>5770</v>
      </c>
      <c r="DG1224" s="523"/>
      <c r="DH1224" s="530">
        <f t="shared" si="512"/>
        <v>5770</v>
      </c>
    </row>
    <row r="1225" spans="108:112">
      <c r="DD1225" s="739" t="s">
        <v>5342</v>
      </c>
      <c r="DE1225" s="164">
        <v>6020</v>
      </c>
      <c r="DF1225" s="528">
        <f t="shared" si="511"/>
        <v>6020</v>
      </c>
      <c r="DG1225" s="526"/>
      <c r="DH1225" s="530">
        <f t="shared" si="512"/>
        <v>6020</v>
      </c>
    </row>
    <row r="1226" spans="108:112">
      <c r="DD1226" s="165" t="s">
        <v>1839</v>
      </c>
      <c r="DE1226" s="166">
        <v>4060</v>
      </c>
      <c r="DF1226" s="528">
        <f t="shared" si="511"/>
        <v>4060</v>
      </c>
      <c r="DG1226" s="523"/>
      <c r="DH1226" s="530">
        <f t="shared" si="512"/>
        <v>4060</v>
      </c>
    </row>
    <row r="1227" spans="108:112">
      <c r="DD1227" s="165" t="s">
        <v>1840</v>
      </c>
      <c r="DE1227" s="166">
        <v>4300</v>
      </c>
      <c r="DF1227" s="528">
        <f t="shared" si="511"/>
        <v>4300</v>
      </c>
      <c r="DG1227" s="523"/>
      <c r="DH1227" s="530">
        <f t="shared" si="512"/>
        <v>4300</v>
      </c>
    </row>
    <row r="1228" spans="108:112">
      <c r="DD1228" s="165" t="s">
        <v>1841</v>
      </c>
      <c r="DE1228" s="166">
        <v>4420</v>
      </c>
      <c r="DF1228" s="528">
        <f t="shared" si="511"/>
        <v>4420</v>
      </c>
      <c r="DG1228" s="523"/>
      <c r="DH1228" s="530">
        <f t="shared" si="512"/>
        <v>4420</v>
      </c>
    </row>
    <row r="1229" spans="108:112">
      <c r="DD1229" s="165" t="s">
        <v>1842</v>
      </c>
      <c r="DE1229" s="166">
        <v>4550</v>
      </c>
      <c r="DF1229" s="528">
        <f t="shared" si="511"/>
        <v>4550</v>
      </c>
      <c r="DG1229" s="523"/>
      <c r="DH1229" s="530">
        <f t="shared" si="512"/>
        <v>4550</v>
      </c>
    </row>
    <row r="1230" spans="108:112">
      <c r="DD1230" s="165" t="s">
        <v>1843</v>
      </c>
      <c r="DE1230" s="166">
        <v>4780</v>
      </c>
      <c r="DF1230" s="528">
        <f t="shared" si="511"/>
        <v>4780</v>
      </c>
      <c r="DG1230" s="523"/>
      <c r="DH1230" s="530">
        <f t="shared" si="512"/>
        <v>4780</v>
      </c>
    </row>
    <row r="1231" spans="108:112">
      <c r="DD1231" s="165" t="s">
        <v>1844</v>
      </c>
      <c r="DE1231" s="166">
        <v>5030</v>
      </c>
      <c r="DF1231" s="528">
        <f t="shared" si="511"/>
        <v>5030</v>
      </c>
      <c r="DG1231" s="523"/>
      <c r="DH1231" s="530">
        <f t="shared" si="512"/>
        <v>5030</v>
      </c>
    </row>
    <row r="1232" spans="108:112">
      <c r="DD1232" s="165" t="s">
        <v>1845</v>
      </c>
      <c r="DE1232" s="166">
        <v>5280</v>
      </c>
      <c r="DF1232" s="528">
        <f t="shared" si="511"/>
        <v>5280</v>
      </c>
      <c r="DG1232" s="523"/>
      <c r="DH1232" s="530">
        <f t="shared" si="512"/>
        <v>5280</v>
      </c>
    </row>
    <row r="1233" spans="108:112">
      <c r="DD1233" s="165" t="s">
        <v>1846</v>
      </c>
      <c r="DE1233" s="166">
        <v>5520</v>
      </c>
      <c r="DF1233" s="528">
        <f t="shared" si="511"/>
        <v>5520</v>
      </c>
      <c r="DG1233" s="523"/>
      <c r="DH1233" s="530">
        <f t="shared" si="512"/>
        <v>5520</v>
      </c>
    </row>
    <row r="1234" spans="108:112">
      <c r="DD1234" s="165" t="s">
        <v>1847</v>
      </c>
      <c r="DE1234" s="166">
        <v>5770.0000000000009</v>
      </c>
      <c r="DF1234" s="528">
        <f t="shared" si="511"/>
        <v>5770</v>
      </c>
      <c r="DG1234" s="523"/>
      <c r="DH1234" s="530">
        <f t="shared" si="512"/>
        <v>5770</v>
      </c>
    </row>
    <row r="1235" spans="108:112">
      <c r="DD1235" s="108" t="s">
        <v>1848</v>
      </c>
      <c r="DE1235" s="164">
        <v>6020</v>
      </c>
      <c r="DF1235" s="528">
        <f t="shared" si="511"/>
        <v>6020</v>
      </c>
      <c r="DG1235" s="526"/>
      <c r="DH1235" s="530">
        <f t="shared" si="512"/>
        <v>6020</v>
      </c>
    </row>
    <row r="1236" spans="108:112">
      <c r="DD1236" s="641"/>
      <c r="DE1236" s="642"/>
      <c r="DF1236" s="643"/>
      <c r="DG1236" s="644"/>
      <c r="DH1236" s="645"/>
    </row>
    <row r="1237" spans="108:112">
      <c r="DD1237" s="737" t="s">
        <v>5028</v>
      </c>
      <c r="DE1237" s="163">
        <v>3320.0000000000005</v>
      </c>
      <c r="DF1237" s="528">
        <f t="shared" si="511"/>
        <v>3320</v>
      </c>
      <c r="DG1237" s="529"/>
      <c r="DH1237" s="530">
        <f t="shared" si="512"/>
        <v>3320</v>
      </c>
    </row>
    <row r="1238" spans="108:112">
      <c r="DD1238" s="738" t="s">
        <v>5029</v>
      </c>
      <c r="DE1238" s="166">
        <v>3500.0000000000005</v>
      </c>
      <c r="DF1238" s="528">
        <f t="shared" si="511"/>
        <v>3500</v>
      </c>
      <c r="DG1238" s="523"/>
      <c r="DH1238" s="530">
        <f t="shared" si="512"/>
        <v>3500</v>
      </c>
    </row>
    <row r="1239" spans="108:112">
      <c r="DD1239" s="738" t="s">
        <v>5030</v>
      </c>
      <c r="DE1239" s="166">
        <v>3600</v>
      </c>
      <c r="DF1239" s="528">
        <f t="shared" si="511"/>
        <v>3600</v>
      </c>
      <c r="DG1239" s="523"/>
      <c r="DH1239" s="530">
        <f t="shared" si="512"/>
        <v>3600</v>
      </c>
    </row>
    <row r="1240" spans="108:112">
      <c r="DD1240" s="738" t="s">
        <v>5031</v>
      </c>
      <c r="DE1240" s="166">
        <v>3690</v>
      </c>
      <c r="DF1240" s="528">
        <f t="shared" si="511"/>
        <v>3690</v>
      </c>
      <c r="DG1240" s="523"/>
      <c r="DH1240" s="530">
        <f t="shared" si="512"/>
        <v>3690</v>
      </c>
    </row>
    <row r="1241" spans="108:112">
      <c r="DD1241" s="738" t="s">
        <v>5032</v>
      </c>
      <c r="DE1241" s="166">
        <v>3890</v>
      </c>
      <c r="DF1241" s="528">
        <f t="shared" si="511"/>
        <v>3890</v>
      </c>
      <c r="DG1241" s="523"/>
      <c r="DH1241" s="530">
        <f t="shared" si="512"/>
        <v>3890</v>
      </c>
    </row>
    <row r="1242" spans="108:112">
      <c r="DD1242" s="738" t="s">
        <v>5033</v>
      </c>
      <c r="DE1242" s="166">
        <v>4060</v>
      </c>
      <c r="DF1242" s="528">
        <f t="shared" si="511"/>
        <v>4060</v>
      </c>
      <c r="DG1242" s="523"/>
      <c r="DH1242" s="530">
        <f t="shared" si="512"/>
        <v>4060</v>
      </c>
    </row>
    <row r="1243" spans="108:112">
      <c r="DD1243" s="738" t="s">
        <v>5034</v>
      </c>
      <c r="DE1243" s="166">
        <v>4260</v>
      </c>
      <c r="DF1243" s="528">
        <f t="shared" si="511"/>
        <v>4260</v>
      </c>
      <c r="DG1243" s="523"/>
      <c r="DH1243" s="530">
        <f t="shared" si="512"/>
        <v>4260</v>
      </c>
    </row>
    <row r="1244" spans="108:112">
      <c r="DD1244" s="738" t="s">
        <v>5035</v>
      </c>
      <c r="DE1244" s="166">
        <v>4430</v>
      </c>
      <c r="DF1244" s="528">
        <f t="shared" si="511"/>
        <v>4430</v>
      </c>
      <c r="DG1244" s="523"/>
      <c r="DH1244" s="530">
        <f t="shared" si="512"/>
        <v>4430</v>
      </c>
    </row>
    <row r="1245" spans="108:112">
      <c r="DD1245" s="738" t="s">
        <v>5036</v>
      </c>
      <c r="DE1245" s="166">
        <v>4610</v>
      </c>
      <c r="DF1245" s="528">
        <f t="shared" si="511"/>
        <v>4610</v>
      </c>
      <c r="DG1245" s="523"/>
      <c r="DH1245" s="530">
        <f t="shared" si="512"/>
        <v>4610</v>
      </c>
    </row>
    <row r="1246" spans="108:112">
      <c r="DD1246" s="739" t="s">
        <v>5037</v>
      </c>
      <c r="DE1246" s="164">
        <v>4800</v>
      </c>
      <c r="DF1246" s="528">
        <f t="shared" si="511"/>
        <v>4800</v>
      </c>
      <c r="DG1246" s="526"/>
      <c r="DH1246" s="530">
        <f t="shared" si="512"/>
        <v>4800</v>
      </c>
    </row>
    <row r="1247" spans="108:112">
      <c r="DD1247" s="165" t="s">
        <v>924</v>
      </c>
      <c r="DE1247" s="166">
        <v>3320.0000000000005</v>
      </c>
      <c r="DF1247" s="528">
        <f t="shared" si="511"/>
        <v>3320</v>
      </c>
      <c r="DG1247" s="523"/>
      <c r="DH1247" s="530">
        <f t="shared" si="512"/>
        <v>3320</v>
      </c>
    </row>
    <row r="1248" spans="108:112">
      <c r="DD1248" s="165" t="s">
        <v>925</v>
      </c>
      <c r="DE1248" s="166">
        <v>3500.0000000000005</v>
      </c>
      <c r="DF1248" s="528">
        <f t="shared" si="511"/>
        <v>3500</v>
      </c>
      <c r="DG1248" s="523"/>
      <c r="DH1248" s="530">
        <f t="shared" si="512"/>
        <v>3500</v>
      </c>
    </row>
    <row r="1249" spans="108:112">
      <c r="DD1249" s="165" t="s">
        <v>1292</v>
      </c>
      <c r="DE1249" s="166">
        <v>3600</v>
      </c>
      <c r="DF1249" s="528">
        <f t="shared" si="511"/>
        <v>3600</v>
      </c>
      <c r="DG1249" s="523"/>
      <c r="DH1249" s="530">
        <f t="shared" si="512"/>
        <v>3600</v>
      </c>
    </row>
    <row r="1250" spans="108:112">
      <c r="DD1250" s="165" t="s">
        <v>926</v>
      </c>
      <c r="DE1250" s="166">
        <v>3690</v>
      </c>
      <c r="DF1250" s="528">
        <f t="shared" si="511"/>
        <v>3690</v>
      </c>
      <c r="DG1250" s="523"/>
      <c r="DH1250" s="530">
        <f t="shared" si="512"/>
        <v>3690</v>
      </c>
    </row>
    <row r="1251" spans="108:112">
      <c r="DD1251" s="165" t="s">
        <v>927</v>
      </c>
      <c r="DE1251" s="166">
        <v>3890</v>
      </c>
      <c r="DF1251" s="528">
        <f t="shared" si="511"/>
        <v>3890</v>
      </c>
      <c r="DG1251" s="523"/>
      <c r="DH1251" s="530">
        <f t="shared" si="512"/>
        <v>3890</v>
      </c>
    </row>
    <row r="1252" spans="108:112">
      <c r="DD1252" s="165" t="s">
        <v>928</v>
      </c>
      <c r="DE1252" s="166">
        <v>4060</v>
      </c>
      <c r="DF1252" s="528">
        <f t="shared" si="511"/>
        <v>4060</v>
      </c>
      <c r="DG1252" s="523"/>
      <c r="DH1252" s="530">
        <f t="shared" si="512"/>
        <v>4060</v>
      </c>
    </row>
    <row r="1253" spans="108:112">
      <c r="DD1253" s="165" t="s">
        <v>929</v>
      </c>
      <c r="DE1253" s="166">
        <v>4260</v>
      </c>
      <c r="DF1253" s="528">
        <f t="shared" si="511"/>
        <v>4260</v>
      </c>
      <c r="DG1253" s="523"/>
      <c r="DH1253" s="530">
        <f t="shared" si="512"/>
        <v>4260</v>
      </c>
    </row>
    <row r="1254" spans="108:112">
      <c r="DD1254" s="165" t="s">
        <v>930</v>
      </c>
      <c r="DE1254" s="166">
        <v>4430</v>
      </c>
      <c r="DF1254" s="528">
        <f t="shared" si="511"/>
        <v>4430</v>
      </c>
      <c r="DG1254" s="523"/>
      <c r="DH1254" s="530">
        <f t="shared" si="512"/>
        <v>4430</v>
      </c>
    </row>
    <row r="1255" spans="108:112">
      <c r="DD1255" s="165" t="s">
        <v>931</v>
      </c>
      <c r="DE1255" s="166">
        <v>4610</v>
      </c>
      <c r="DF1255" s="528">
        <f t="shared" si="511"/>
        <v>4610</v>
      </c>
      <c r="DG1255" s="523"/>
      <c r="DH1255" s="530">
        <f t="shared" si="512"/>
        <v>4610</v>
      </c>
    </row>
    <row r="1256" spans="108:112">
      <c r="DD1256" s="108" t="s">
        <v>932</v>
      </c>
      <c r="DE1256" s="164">
        <v>4800</v>
      </c>
      <c r="DF1256" s="528">
        <f t="shared" si="511"/>
        <v>4800</v>
      </c>
      <c r="DG1256" s="526"/>
      <c r="DH1256" s="530">
        <f t="shared" si="512"/>
        <v>4800</v>
      </c>
    </row>
    <row r="1257" spans="108:112">
      <c r="DD1257" s="165" t="s">
        <v>1414</v>
      </c>
      <c r="DE1257" s="166">
        <v>3320.0000000000005</v>
      </c>
      <c r="DF1257" s="528">
        <f t="shared" si="511"/>
        <v>3320</v>
      </c>
      <c r="DG1257" s="523"/>
      <c r="DH1257" s="530">
        <f t="shared" si="512"/>
        <v>3320</v>
      </c>
    </row>
    <row r="1258" spans="108:112">
      <c r="DD1258" s="165" t="s">
        <v>1415</v>
      </c>
      <c r="DE1258" s="166">
        <v>3500.0000000000005</v>
      </c>
      <c r="DF1258" s="528">
        <f t="shared" si="511"/>
        <v>3500</v>
      </c>
      <c r="DG1258" s="523"/>
      <c r="DH1258" s="530">
        <f t="shared" si="512"/>
        <v>3500</v>
      </c>
    </row>
    <row r="1259" spans="108:112">
      <c r="DD1259" s="165" t="s">
        <v>1416</v>
      </c>
      <c r="DE1259" s="166">
        <v>3600</v>
      </c>
      <c r="DF1259" s="528">
        <f t="shared" si="511"/>
        <v>3600</v>
      </c>
      <c r="DG1259" s="523"/>
      <c r="DH1259" s="530">
        <f t="shared" si="512"/>
        <v>3600</v>
      </c>
    </row>
    <row r="1260" spans="108:112">
      <c r="DD1260" s="165" t="s">
        <v>1417</v>
      </c>
      <c r="DE1260" s="166">
        <v>3690</v>
      </c>
      <c r="DF1260" s="528">
        <f t="shared" si="511"/>
        <v>3690</v>
      </c>
      <c r="DG1260" s="523"/>
      <c r="DH1260" s="530">
        <f t="shared" si="512"/>
        <v>3690</v>
      </c>
    </row>
    <row r="1261" spans="108:112">
      <c r="DD1261" s="165" t="s">
        <v>1418</v>
      </c>
      <c r="DE1261" s="166">
        <v>3890</v>
      </c>
      <c r="DF1261" s="528">
        <f t="shared" si="511"/>
        <v>3890</v>
      </c>
      <c r="DG1261" s="523"/>
      <c r="DH1261" s="530">
        <f t="shared" si="512"/>
        <v>3890</v>
      </c>
    </row>
    <row r="1262" spans="108:112">
      <c r="DD1262" s="165" t="s">
        <v>1419</v>
      </c>
      <c r="DE1262" s="166">
        <v>4060</v>
      </c>
      <c r="DF1262" s="528">
        <f t="shared" si="511"/>
        <v>4060</v>
      </c>
      <c r="DG1262" s="523"/>
      <c r="DH1262" s="530">
        <f t="shared" si="512"/>
        <v>4060</v>
      </c>
    </row>
    <row r="1263" spans="108:112">
      <c r="DD1263" s="165" t="s">
        <v>1420</v>
      </c>
      <c r="DE1263" s="166">
        <v>4260</v>
      </c>
      <c r="DF1263" s="528">
        <f t="shared" si="511"/>
        <v>4260</v>
      </c>
      <c r="DG1263" s="523"/>
      <c r="DH1263" s="530">
        <f t="shared" si="512"/>
        <v>4260</v>
      </c>
    </row>
    <row r="1264" spans="108:112">
      <c r="DD1264" s="165" t="s">
        <v>1421</v>
      </c>
      <c r="DE1264" s="166">
        <v>4430</v>
      </c>
      <c r="DF1264" s="528">
        <f t="shared" si="511"/>
        <v>4430</v>
      </c>
      <c r="DG1264" s="523"/>
      <c r="DH1264" s="530">
        <f t="shared" si="512"/>
        <v>4430</v>
      </c>
    </row>
    <row r="1265" spans="108:112">
      <c r="DD1265" s="165" t="s">
        <v>1422</v>
      </c>
      <c r="DE1265" s="166">
        <v>4610</v>
      </c>
      <c r="DF1265" s="528">
        <f t="shared" si="511"/>
        <v>4610</v>
      </c>
      <c r="DG1265" s="523"/>
      <c r="DH1265" s="530">
        <f t="shared" si="512"/>
        <v>4610</v>
      </c>
    </row>
    <row r="1266" spans="108:112">
      <c r="DD1266" s="108" t="s">
        <v>1423</v>
      </c>
      <c r="DE1266" s="164">
        <v>4800</v>
      </c>
      <c r="DF1266" s="528">
        <f t="shared" ref="DF1266:DF1329" si="513">ROUND(((DE1266-(DE1266/6))/$DD$3)*$DE$3,2)</f>
        <v>4800</v>
      </c>
      <c r="DG1266" s="526"/>
      <c r="DH1266" s="530">
        <f t="shared" ref="DH1266:DH1329" si="514">IF(DG1266="",DF1266,
IF(AND($DE$10&gt;=VLOOKUP(DG1266,$DD$5:$DH$9,2,0),$DE$10&lt;=VLOOKUP(DG1266,$DD$5:$DH$9,3,0)),
(DF1266*(1-VLOOKUP(DG1266,$DD$5:$DH$9,4,0))),
DF1266))</f>
        <v>4800</v>
      </c>
    </row>
    <row r="1267" spans="108:112">
      <c r="DD1267" s="165" t="s">
        <v>2021</v>
      </c>
      <c r="DE1267" s="166">
        <v>3820</v>
      </c>
      <c r="DF1267" s="528">
        <f t="shared" si="513"/>
        <v>3820</v>
      </c>
      <c r="DG1267" s="523"/>
      <c r="DH1267" s="530">
        <f t="shared" si="514"/>
        <v>3820</v>
      </c>
    </row>
    <row r="1268" spans="108:112">
      <c r="DD1268" s="165" t="s">
        <v>2022</v>
      </c>
      <c r="DE1268" s="166">
        <v>4040</v>
      </c>
      <c r="DF1268" s="528">
        <f t="shared" si="513"/>
        <v>4040</v>
      </c>
      <c r="DG1268" s="523"/>
      <c r="DH1268" s="530">
        <f t="shared" si="514"/>
        <v>4040</v>
      </c>
    </row>
    <row r="1269" spans="108:112">
      <c r="DD1269" s="165" t="s">
        <v>2023</v>
      </c>
      <c r="DE1269" s="166">
        <v>4150</v>
      </c>
      <c r="DF1269" s="528">
        <f t="shared" si="513"/>
        <v>4150</v>
      </c>
      <c r="DG1269" s="523"/>
      <c r="DH1269" s="530">
        <f t="shared" si="514"/>
        <v>4150</v>
      </c>
    </row>
    <row r="1270" spans="108:112">
      <c r="DD1270" s="165" t="s">
        <v>2024</v>
      </c>
      <c r="DE1270" s="166">
        <v>4240</v>
      </c>
      <c r="DF1270" s="528">
        <f t="shared" si="513"/>
        <v>4240</v>
      </c>
      <c r="DG1270" s="523"/>
      <c r="DH1270" s="530">
        <f t="shared" si="514"/>
        <v>4240</v>
      </c>
    </row>
    <row r="1271" spans="108:112">
      <c r="DD1271" s="165" t="s">
        <v>2025</v>
      </c>
      <c r="DE1271" s="166">
        <v>4480</v>
      </c>
      <c r="DF1271" s="528">
        <f t="shared" si="513"/>
        <v>4480</v>
      </c>
      <c r="DG1271" s="523"/>
      <c r="DH1271" s="530">
        <f t="shared" si="514"/>
        <v>4480</v>
      </c>
    </row>
    <row r="1272" spans="108:112">
      <c r="DD1272" s="165" t="s">
        <v>2026</v>
      </c>
      <c r="DE1272" s="166">
        <v>4670</v>
      </c>
      <c r="DF1272" s="528">
        <f t="shared" si="513"/>
        <v>4670</v>
      </c>
      <c r="DG1272" s="523"/>
      <c r="DH1272" s="530">
        <f t="shared" si="514"/>
        <v>4670</v>
      </c>
    </row>
    <row r="1273" spans="108:112">
      <c r="DD1273" s="165" t="s">
        <v>2027</v>
      </c>
      <c r="DE1273" s="166">
        <v>4890</v>
      </c>
      <c r="DF1273" s="528">
        <f t="shared" si="513"/>
        <v>4890</v>
      </c>
      <c r="DG1273" s="523"/>
      <c r="DH1273" s="530">
        <f t="shared" si="514"/>
        <v>4890</v>
      </c>
    </row>
    <row r="1274" spans="108:112">
      <c r="DD1274" s="165" t="s">
        <v>2028</v>
      </c>
      <c r="DE1274" s="166">
        <v>5100</v>
      </c>
      <c r="DF1274" s="528">
        <f t="shared" si="513"/>
        <v>5100</v>
      </c>
      <c r="DG1274" s="523"/>
      <c r="DH1274" s="530">
        <f t="shared" si="514"/>
        <v>5100</v>
      </c>
    </row>
    <row r="1275" spans="108:112">
      <c r="DD1275" s="165" t="s">
        <v>2029</v>
      </c>
      <c r="DE1275" s="166">
        <v>5300</v>
      </c>
      <c r="DF1275" s="528">
        <f t="shared" si="513"/>
        <v>5300</v>
      </c>
      <c r="DG1275" s="523"/>
      <c r="DH1275" s="530">
        <f t="shared" si="514"/>
        <v>5300</v>
      </c>
    </row>
    <row r="1276" spans="108:112">
      <c r="DD1276" s="108" t="s">
        <v>2030</v>
      </c>
      <c r="DE1276" s="164">
        <v>5530.0000000000009</v>
      </c>
      <c r="DF1276" s="528">
        <f t="shared" si="513"/>
        <v>5530</v>
      </c>
      <c r="DG1276" s="526"/>
      <c r="DH1276" s="530">
        <f t="shared" si="514"/>
        <v>5530</v>
      </c>
    </row>
    <row r="1277" spans="108:112">
      <c r="DD1277" s="165" t="s">
        <v>933</v>
      </c>
      <c r="DE1277" s="166">
        <v>4060</v>
      </c>
      <c r="DF1277" s="528">
        <f t="shared" si="513"/>
        <v>4060</v>
      </c>
      <c r="DG1277" s="523"/>
      <c r="DH1277" s="530">
        <f t="shared" si="514"/>
        <v>4060</v>
      </c>
    </row>
    <row r="1278" spans="108:112">
      <c r="DD1278" s="165" t="s">
        <v>934</v>
      </c>
      <c r="DE1278" s="166">
        <v>4270</v>
      </c>
      <c r="DF1278" s="528">
        <f t="shared" si="513"/>
        <v>4270</v>
      </c>
      <c r="DG1278" s="523"/>
      <c r="DH1278" s="530">
        <f t="shared" si="514"/>
        <v>4270</v>
      </c>
    </row>
    <row r="1279" spans="108:112">
      <c r="DD1279" s="165" t="s">
        <v>1293</v>
      </c>
      <c r="DE1279" s="166">
        <v>4390</v>
      </c>
      <c r="DF1279" s="528">
        <f t="shared" si="513"/>
        <v>4390</v>
      </c>
      <c r="DG1279" s="523"/>
      <c r="DH1279" s="530">
        <f t="shared" si="514"/>
        <v>4390</v>
      </c>
    </row>
    <row r="1280" spans="108:112">
      <c r="DD1280" s="165" t="s">
        <v>935</v>
      </c>
      <c r="DE1280" s="166">
        <v>4490</v>
      </c>
      <c r="DF1280" s="528">
        <f t="shared" si="513"/>
        <v>4490</v>
      </c>
      <c r="DG1280" s="523"/>
      <c r="DH1280" s="530">
        <f t="shared" si="514"/>
        <v>4490</v>
      </c>
    </row>
    <row r="1281" spans="108:112">
      <c r="DD1281" s="165" t="s">
        <v>936</v>
      </c>
      <c r="DE1281" s="166">
        <v>4690</v>
      </c>
      <c r="DF1281" s="528">
        <f t="shared" si="513"/>
        <v>4690</v>
      </c>
      <c r="DG1281" s="523"/>
      <c r="DH1281" s="530">
        <f t="shared" si="514"/>
        <v>4690</v>
      </c>
    </row>
    <row r="1282" spans="108:112">
      <c r="DD1282" s="165" t="s">
        <v>937</v>
      </c>
      <c r="DE1282" s="166">
        <v>4900</v>
      </c>
      <c r="DF1282" s="528">
        <f t="shared" si="513"/>
        <v>4900</v>
      </c>
      <c r="DG1282" s="523"/>
      <c r="DH1282" s="530">
        <f t="shared" si="514"/>
        <v>4900</v>
      </c>
    </row>
    <row r="1283" spans="108:112">
      <c r="DD1283" s="165" t="s">
        <v>938</v>
      </c>
      <c r="DE1283" s="166">
        <v>5130</v>
      </c>
      <c r="DF1283" s="528">
        <f t="shared" si="513"/>
        <v>5130</v>
      </c>
      <c r="DG1283" s="523"/>
      <c r="DH1283" s="530">
        <f t="shared" si="514"/>
        <v>5130</v>
      </c>
    </row>
    <row r="1284" spans="108:112">
      <c r="DD1284" s="165" t="s">
        <v>939</v>
      </c>
      <c r="DE1284" s="166">
        <v>5340</v>
      </c>
      <c r="DF1284" s="528">
        <f t="shared" si="513"/>
        <v>5340</v>
      </c>
      <c r="DG1284" s="523"/>
      <c r="DH1284" s="530">
        <f t="shared" si="514"/>
        <v>5340</v>
      </c>
    </row>
    <row r="1285" spans="108:112">
      <c r="DD1285" s="165" t="s">
        <v>383</v>
      </c>
      <c r="DE1285" s="166">
        <v>5550</v>
      </c>
      <c r="DF1285" s="528">
        <f t="shared" si="513"/>
        <v>5550</v>
      </c>
      <c r="DG1285" s="523"/>
      <c r="DH1285" s="530">
        <f t="shared" si="514"/>
        <v>5550</v>
      </c>
    </row>
    <row r="1286" spans="108:112">
      <c r="DD1286" s="108" t="s">
        <v>384</v>
      </c>
      <c r="DE1286" s="164">
        <v>5750</v>
      </c>
      <c r="DF1286" s="528">
        <f t="shared" si="513"/>
        <v>5750</v>
      </c>
      <c r="DG1286" s="526"/>
      <c r="DH1286" s="530">
        <f t="shared" si="514"/>
        <v>5750</v>
      </c>
    </row>
    <row r="1287" spans="108:112">
      <c r="DD1287" s="165" t="s">
        <v>385</v>
      </c>
      <c r="DE1287" s="166">
        <v>4340</v>
      </c>
      <c r="DF1287" s="528">
        <f t="shared" si="513"/>
        <v>4340</v>
      </c>
      <c r="DG1287" s="523"/>
      <c r="DH1287" s="530">
        <f t="shared" si="514"/>
        <v>4340</v>
      </c>
    </row>
    <row r="1288" spans="108:112">
      <c r="DD1288" s="165" t="s">
        <v>386</v>
      </c>
      <c r="DE1288" s="166">
        <v>4580</v>
      </c>
      <c r="DF1288" s="528">
        <f t="shared" si="513"/>
        <v>4580</v>
      </c>
      <c r="DG1288" s="523"/>
      <c r="DH1288" s="530">
        <f t="shared" si="514"/>
        <v>4580</v>
      </c>
    </row>
    <row r="1289" spans="108:112">
      <c r="DD1289" s="165" t="s">
        <v>1294</v>
      </c>
      <c r="DE1289" s="166">
        <v>4680</v>
      </c>
      <c r="DF1289" s="528">
        <f t="shared" si="513"/>
        <v>4680</v>
      </c>
      <c r="DG1289" s="523"/>
      <c r="DH1289" s="530">
        <f t="shared" si="514"/>
        <v>4680</v>
      </c>
    </row>
    <row r="1290" spans="108:112">
      <c r="DD1290" s="165" t="s">
        <v>387</v>
      </c>
      <c r="DE1290" s="166">
        <v>4800</v>
      </c>
      <c r="DF1290" s="528">
        <f t="shared" si="513"/>
        <v>4800</v>
      </c>
      <c r="DG1290" s="523"/>
      <c r="DH1290" s="530">
        <f t="shared" si="514"/>
        <v>4800</v>
      </c>
    </row>
    <row r="1291" spans="108:112">
      <c r="DD1291" s="165" t="s">
        <v>388</v>
      </c>
      <c r="DE1291" s="166">
        <v>5020.0000000000009</v>
      </c>
      <c r="DF1291" s="528">
        <f t="shared" si="513"/>
        <v>5020</v>
      </c>
      <c r="DG1291" s="523"/>
      <c r="DH1291" s="530">
        <f t="shared" si="514"/>
        <v>5020</v>
      </c>
    </row>
    <row r="1292" spans="108:112">
      <c r="DD1292" s="165" t="s">
        <v>389</v>
      </c>
      <c r="DE1292" s="166">
        <v>5240</v>
      </c>
      <c r="DF1292" s="528">
        <f t="shared" si="513"/>
        <v>5240</v>
      </c>
      <c r="DG1292" s="523"/>
      <c r="DH1292" s="530">
        <f t="shared" si="514"/>
        <v>5240</v>
      </c>
    </row>
    <row r="1293" spans="108:112">
      <c r="DD1293" s="165" t="s">
        <v>390</v>
      </c>
      <c r="DE1293" s="166">
        <v>5480</v>
      </c>
      <c r="DF1293" s="528">
        <f t="shared" si="513"/>
        <v>5480</v>
      </c>
      <c r="DG1293" s="523"/>
      <c r="DH1293" s="530">
        <f t="shared" si="514"/>
        <v>5480</v>
      </c>
    </row>
    <row r="1294" spans="108:112">
      <c r="DD1294" s="165" t="s">
        <v>391</v>
      </c>
      <c r="DE1294" s="166">
        <v>5710.0000000000009</v>
      </c>
      <c r="DF1294" s="528">
        <f t="shared" si="513"/>
        <v>5710</v>
      </c>
      <c r="DG1294" s="523"/>
      <c r="DH1294" s="530">
        <f t="shared" si="514"/>
        <v>5710</v>
      </c>
    </row>
    <row r="1295" spans="108:112">
      <c r="DD1295" s="165" t="s">
        <v>392</v>
      </c>
      <c r="DE1295" s="166">
        <v>5920.0000000000009</v>
      </c>
      <c r="DF1295" s="528">
        <f t="shared" si="513"/>
        <v>5920</v>
      </c>
      <c r="DG1295" s="523"/>
      <c r="DH1295" s="530">
        <f t="shared" si="514"/>
        <v>5920</v>
      </c>
    </row>
    <row r="1296" spans="108:112">
      <c r="DD1296" s="108" t="s">
        <v>393</v>
      </c>
      <c r="DE1296" s="164">
        <v>6160.0000000000009</v>
      </c>
      <c r="DF1296" s="528">
        <f t="shared" si="513"/>
        <v>6160</v>
      </c>
      <c r="DG1296" s="526"/>
      <c r="DH1296" s="530">
        <f t="shared" si="514"/>
        <v>6160</v>
      </c>
    </row>
    <row r="1297" spans="108:112">
      <c r="DD1297" s="738" t="s">
        <v>5343</v>
      </c>
      <c r="DE1297" s="166">
        <v>4660</v>
      </c>
      <c r="DF1297" s="528">
        <f t="shared" si="513"/>
        <v>4660</v>
      </c>
      <c r="DG1297" s="523"/>
      <c r="DH1297" s="530">
        <f t="shared" si="514"/>
        <v>4660</v>
      </c>
    </row>
    <row r="1298" spans="108:112">
      <c r="DD1298" s="738" t="s">
        <v>5344</v>
      </c>
      <c r="DE1298" s="166">
        <v>4890</v>
      </c>
      <c r="DF1298" s="528">
        <f t="shared" si="513"/>
        <v>4890</v>
      </c>
      <c r="DG1298" s="523"/>
      <c r="DH1298" s="530">
        <f t="shared" si="514"/>
        <v>4890</v>
      </c>
    </row>
    <row r="1299" spans="108:112">
      <c r="DD1299" s="738" t="s">
        <v>5345</v>
      </c>
      <c r="DE1299" s="166">
        <v>5020.0000000000009</v>
      </c>
      <c r="DF1299" s="528">
        <f t="shared" si="513"/>
        <v>5020</v>
      </c>
      <c r="DG1299" s="523"/>
      <c r="DH1299" s="530">
        <f t="shared" si="514"/>
        <v>5020</v>
      </c>
    </row>
    <row r="1300" spans="108:112">
      <c r="DD1300" s="738" t="s">
        <v>5346</v>
      </c>
      <c r="DE1300" s="166">
        <v>5150</v>
      </c>
      <c r="DF1300" s="528">
        <f t="shared" si="513"/>
        <v>5150</v>
      </c>
      <c r="DG1300" s="523"/>
      <c r="DH1300" s="530">
        <f t="shared" si="514"/>
        <v>5150</v>
      </c>
    </row>
    <row r="1301" spans="108:112">
      <c r="DD1301" s="738" t="s">
        <v>5347</v>
      </c>
      <c r="DE1301" s="166">
        <v>5400</v>
      </c>
      <c r="DF1301" s="528">
        <f t="shared" si="513"/>
        <v>5400</v>
      </c>
      <c r="DG1301" s="523"/>
      <c r="DH1301" s="530">
        <f t="shared" si="514"/>
        <v>5400</v>
      </c>
    </row>
    <row r="1302" spans="108:112">
      <c r="DD1302" s="738" t="s">
        <v>5348</v>
      </c>
      <c r="DE1302" s="166">
        <v>5660</v>
      </c>
      <c r="DF1302" s="528">
        <f t="shared" si="513"/>
        <v>5660</v>
      </c>
      <c r="DG1302" s="523"/>
      <c r="DH1302" s="530">
        <f t="shared" si="514"/>
        <v>5660</v>
      </c>
    </row>
    <row r="1303" spans="108:112">
      <c r="DD1303" s="738" t="s">
        <v>5349</v>
      </c>
      <c r="DE1303" s="166">
        <v>5910</v>
      </c>
      <c r="DF1303" s="528">
        <f t="shared" si="513"/>
        <v>5910</v>
      </c>
      <c r="DG1303" s="523"/>
      <c r="DH1303" s="530">
        <f t="shared" si="514"/>
        <v>5910</v>
      </c>
    </row>
    <row r="1304" spans="108:112">
      <c r="DD1304" s="738" t="s">
        <v>5350</v>
      </c>
      <c r="DE1304" s="166">
        <v>6170</v>
      </c>
      <c r="DF1304" s="528">
        <f t="shared" si="513"/>
        <v>6170</v>
      </c>
      <c r="DG1304" s="523"/>
      <c r="DH1304" s="530">
        <f t="shared" si="514"/>
        <v>6170</v>
      </c>
    </row>
    <row r="1305" spans="108:112">
      <c r="DD1305" s="738" t="s">
        <v>5351</v>
      </c>
      <c r="DE1305" s="166">
        <v>6420</v>
      </c>
      <c r="DF1305" s="528">
        <f t="shared" si="513"/>
        <v>6420</v>
      </c>
      <c r="DG1305" s="523"/>
      <c r="DH1305" s="530">
        <f t="shared" si="514"/>
        <v>6420</v>
      </c>
    </row>
    <row r="1306" spans="108:112">
      <c r="DD1306" s="739" t="s">
        <v>5352</v>
      </c>
      <c r="DE1306" s="164">
        <v>6680</v>
      </c>
      <c r="DF1306" s="528">
        <f t="shared" si="513"/>
        <v>6680</v>
      </c>
      <c r="DG1306" s="526"/>
      <c r="DH1306" s="530">
        <f t="shared" si="514"/>
        <v>6680</v>
      </c>
    </row>
    <row r="1307" spans="108:112">
      <c r="DD1307" s="165" t="s">
        <v>1849</v>
      </c>
      <c r="DE1307" s="166">
        <v>4660</v>
      </c>
      <c r="DF1307" s="528">
        <f t="shared" si="513"/>
        <v>4660</v>
      </c>
      <c r="DG1307" s="523"/>
      <c r="DH1307" s="530">
        <f t="shared" si="514"/>
        <v>4660</v>
      </c>
    </row>
    <row r="1308" spans="108:112">
      <c r="DD1308" s="165" t="s">
        <v>1850</v>
      </c>
      <c r="DE1308" s="166">
        <v>4890</v>
      </c>
      <c r="DF1308" s="528">
        <f t="shared" si="513"/>
        <v>4890</v>
      </c>
      <c r="DG1308" s="523"/>
      <c r="DH1308" s="530">
        <f t="shared" si="514"/>
        <v>4890</v>
      </c>
    </row>
    <row r="1309" spans="108:112">
      <c r="DD1309" s="165" t="s">
        <v>1851</v>
      </c>
      <c r="DE1309" s="166">
        <v>5020.0000000000009</v>
      </c>
      <c r="DF1309" s="528">
        <f t="shared" si="513"/>
        <v>5020</v>
      </c>
      <c r="DG1309" s="523"/>
      <c r="DH1309" s="530">
        <f t="shared" si="514"/>
        <v>5020</v>
      </c>
    </row>
    <row r="1310" spans="108:112">
      <c r="DD1310" s="165" t="s">
        <v>1852</v>
      </c>
      <c r="DE1310" s="166">
        <v>5150</v>
      </c>
      <c r="DF1310" s="528">
        <f t="shared" si="513"/>
        <v>5150</v>
      </c>
      <c r="DG1310" s="523"/>
      <c r="DH1310" s="530">
        <f t="shared" si="514"/>
        <v>5150</v>
      </c>
    </row>
    <row r="1311" spans="108:112">
      <c r="DD1311" s="165" t="s">
        <v>1853</v>
      </c>
      <c r="DE1311" s="166">
        <v>5400</v>
      </c>
      <c r="DF1311" s="528">
        <f t="shared" si="513"/>
        <v>5400</v>
      </c>
      <c r="DG1311" s="523"/>
      <c r="DH1311" s="530">
        <f t="shared" si="514"/>
        <v>5400</v>
      </c>
    </row>
    <row r="1312" spans="108:112">
      <c r="DD1312" s="165" t="s">
        <v>1854</v>
      </c>
      <c r="DE1312" s="166">
        <v>5660</v>
      </c>
      <c r="DF1312" s="528">
        <f t="shared" si="513"/>
        <v>5660</v>
      </c>
      <c r="DG1312" s="523"/>
      <c r="DH1312" s="530">
        <f t="shared" si="514"/>
        <v>5660</v>
      </c>
    </row>
    <row r="1313" spans="108:112">
      <c r="DD1313" s="165" t="s">
        <v>1855</v>
      </c>
      <c r="DE1313" s="166">
        <v>5910</v>
      </c>
      <c r="DF1313" s="528">
        <f t="shared" si="513"/>
        <v>5910</v>
      </c>
      <c r="DG1313" s="523"/>
      <c r="DH1313" s="530">
        <f t="shared" si="514"/>
        <v>5910</v>
      </c>
    </row>
    <row r="1314" spans="108:112">
      <c r="DD1314" s="165" t="s">
        <v>1856</v>
      </c>
      <c r="DE1314" s="166">
        <v>6170</v>
      </c>
      <c r="DF1314" s="528">
        <f t="shared" si="513"/>
        <v>6170</v>
      </c>
      <c r="DG1314" s="523"/>
      <c r="DH1314" s="530">
        <f t="shared" si="514"/>
        <v>6170</v>
      </c>
    </row>
    <row r="1315" spans="108:112">
      <c r="DD1315" s="165" t="s">
        <v>1857</v>
      </c>
      <c r="DE1315" s="166">
        <v>6420</v>
      </c>
      <c r="DF1315" s="528">
        <f t="shared" si="513"/>
        <v>6420</v>
      </c>
      <c r="DG1315" s="523"/>
      <c r="DH1315" s="530">
        <f t="shared" si="514"/>
        <v>6420</v>
      </c>
    </row>
    <row r="1316" spans="108:112">
      <c r="DD1316" s="108" t="s">
        <v>1858</v>
      </c>
      <c r="DE1316" s="164">
        <v>6680</v>
      </c>
      <c r="DF1316" s="528">
        <f t="shared" si="513"/>
        <v>6680</v>
      </c>
      <c r="DG1316" s="526"/>
      <c r="DH1316" s="530">
        <f t="shared" si="514"/>
        <v>6680</v>
      </c>
    </row>
    <row r="1317" spans="108:112">
      <c r="DD1317" s="641"/>
      <c r="DE1317" s="642"/>
      <c r="DF1317" s="643"/>
      <c r="DG1317" s="644"/>
      <c r="DH1317" s="645"/>
    </row>
    <row r="1318" spans="108:112">
      <c r="DD1318" s="737" t="s">
        <v>5038</v>
      </c>
      <c r="DE1318" s="163">
        <v>3570</v>
      </c>
      <c r="DF1318" s="528">
        <f t="shared" si="513"/>
        <v>3570</v>
      </c>
      <c r="DG1318" s="529"/>
      <c r="DH1318" s="530">
        <f t="shared" si="514"/>
        <v>3570</v>
      </c>
    </row>
    <row r="1319" spans="108:112">
      <c r="DD1319" s="738" t="s">
        <v>5039</v>
      </c>
      <c r="DE1319" s="166">
        <v>3740</v>
      </c>
      <c r="DF1319" s="528">
        <f t="shared" si="513"/>
        <v>3740</v>
      </c>
      <c r="DG1319" s="523"/>
      <c r="DH1319" s="530">
        <f t="shared" si="514"/>
        <v>3740</v>
      </c>
    </row>
    <row r="1320" spans="108:112">
      <c r="DD1320" s="738" t="s">
        <v>5040</v>
      </c>
      <c r="DE1320" s="166">
        <v>3820</v>
      </c>
      <c r="DF1320" s="528">
        <f t="shared" si="513"/>
        <v>3820</v>
      </c>
      <c r="DG1320" s="523"/>
      <c r="DH1320" s="530">
        <f t="shared" si="514"/>
        <v>3820</v>
      </c>
    </row>
    <row r="1321" spans="108:112">
      <c r="DD1321" s="738" t="s">
        <v>5041</v>
      </c>
      <c r="DE1321" s="166">
        <v>3910</v>
      </c>
      <c r="DF1321" s="528">
        <f t="shared" si="513"/>
        <v>3910</v>
      </c>
      <c r="DG1321" s="523"/>
      <c r="DH1321" s="530">
        <f t="shared" si="514"/>
        <v>3910</v>
      </c>
    </row>
    <row r="1322" spans="108:112">
      <c r="DD1322" s="738" t="s">
        <v>5042</v>
      </c>
      <c r="DE1322" s="166">
        <v>4080</v>
      </c>
      <c r="DF1322" s="528">
        <f t="shared" si="513"/>
        <v>4080</v>
      </c>
      <c r="DG1322" s="523"/>
      <c r="DH1322" s="530">
        <f t="shared" si="514"/>
        <v>4080</v>
      </c>
    </row>
    <row r="1323" spans="108:112">
      <c r="DD1323" s="738" t="s">
        <v>5043</v>
      </c>
      <c r="DE1323" s="166">
        <v>4250</v>
      </c>
      <c r="DF1323" s="528">
        <f t="shared" si="513"/>
        <v>4250</v>
      </c>
      <c r="DG1323" s="523"/>
      <c r="DH1323" s="530">
        <f t="shared" si="514"/>
        <v>4250</v>
      </c>
    </row>
    <row r="1324" spans="108:112">
      <c r="DD1324" s="738" t="s">
        <v>5044</v>
      </c>
      <c r="DE1324" s="166">
        <v>4420</v>
      </c>
      <c r="DF1324" s="528">
        <f t="shared" si="513"/>
        <v>4420</v>
      </c>
      <c r="DG1324" s="523"/>
      <c r="DH1324" s="530">
        <f t="shared" si="514"/>
        <v>4420</v>
      </c>
    </row>
    <row r="1325" spans="108:112">
      <c r="DD1325" s="738" t="s">
        <v>5045</v>
      </c>
      <c r="DE1325" s="166">
        <v>4590</v>
      </c>
      <c r="DF1325" s="528">
        <f t="shared" si="513"/>
        <v>4590</v>
      </c>
      <c r="DG1325" s="523"/>
      <c r="DH1325" s="530">
        <f t="shared" si="514"/>
        <v>4590</v>
      </c>
    </row>
    <row r="1326" spans="108:112">
      <c r="DD1326" s="738" t="s">
        <v>5046</v>
      </c>
      <c r="DE1326" s="166">
        <v>4760</v>
      </c>
      <c r="DF1326" s="528">
        <f t="shared" si="513"/>
        <v>4760</v>
      </c>
      <c r="DG1326" s="523"/>
      <c r="DH1326" s="530">
        <f t="shared" si="514"/>
        <v>4760</v>
      </c>
    </row>
    <row r="1327" spans="108:112">
      <c r="DD1327" s="739" t="s">
        <v>5047</v>
      </c>
      <c r="DE1327" s="164">
        <v>4930.0000000000009</v>
      </c>
      <c r="DF1327" s="528">
        <f t="shared" si="513"/>
        <v>4930</v>
      </c>
      <c r="DG1327" s="526"/>
      <c r="DH1327" s="530">
        <f t="shared" si="514"/>
        <v>4930</v>
      </c>
    </row>
    <row r="1328" spans="108:112">
      <c r="DD1328" s="165" t="s">
        <v>947</v>
      </c>
      <c r="DE1328" s="166">
        <v>3570</v>
      </c>
      <c r="DF1328" s="528">
        <f t="shared" si="513"/>
        <v>3570</v>
      </c>
      <c r="DG1328" s="523"/>
      <c r="DH1328" s="530">
        <f t="shared" si="514"/>
        <v>3570</v>
      </c>
    </row>
    <row r="1329" spans="108:112">
      <c r="DD1329" s="165" t="s">
        <v>948</v>
      </c>
      <c r="DE1329" s="166">
        <v>3740</v>
      </c>
      <c r="DF1329" s="528">
        <f t="shared" si="513"/>
        <v>3740</v>
      </c>
      <c r="DG1329" s="523"/>
      <c r="DH1329" s="530">
        <f t="shared" si="514"/>
        <v>3740</v>
      </c>
    </row>
    <row r="1330" spans="108:112">
      <c r="DD1330" s="165" t="s">
        <v>1295</v>
      </c>
      <c r="DE1330" s="166">
        <v>3820</v>
      </c>
      <c r="DF1330" s="528">
        <f t="shared" ref="DF1330:DF1393" si="515">ROUND(((DE1330-(DE1330/6))/$DD$3)*$DE$3,2)</f>
        <v>3820</v>
      </c>
      <c r="DG1330" s="523"/>
      <c r="DH1330" s="530">
        <f t="shared" ref="DH1330:DH1393" si="516">IF(DG1330="",DF1330,
IF(AND($DE$10&gt;=VLOOKUP(DG1330,$DD$5:$DH$9,2,0),$DE$10&lt;=VLOOKUP(DG1330,$DD$5:$DH$9,3,0)),
(DF1330*(1-VLOOKUP(DG1330,$DD$5:$DH$9,4,0))),
DF1330))</f>
        <v>3820</v>
      </c>
    </row>
    <row r="1331" spans="108:112">
      <c r="DD1331" s="165" t="s">
        <v>949</v>
      </c>
      <c r="DE1331" s="166">
        <v>3910</v>
      </c>
      <c r="DF1331" s="528">
        <f t="shared" si="515"/>
        <v>3910</v>
      </c>
      <c r="DG1331" s="523"/>
      <c r="DH1331" s="530">
        <f t="shared" si="516"/>
        <v>3910</v>
      </c>
    </row>
    <row r="1332" spans="108:112">
      <c r="DD1332" s="165" t="s">
        <v>950</v>
      </c>
      <c r="DE1332" s="166">
        <v>4080</v>
      </c>
      <c r="DF1332" s="528">
        <f t="shared" si="515"/>
        <v>4080</v>
      </c>
      <c r="DG1332" s="523"/>
      <c r="DH1332" s="530">
        <f t="shared" si="516"/>
        <v>4080</v>
      </c>
    </row>
    <row r="1333" spans="108:112">
      <c r="DD1333" s="165" t="s">
        <v>951</v>
      </c>
      <c r="DE1333" s="166">
        <v>4250</v>
      </c>
      <c r="DF1333" s="528">
        <f t="shared" si="515"/>
        <v>4250</v>
      </c>
      <c r="DG1333" s="523"/>
      <c r="DH1333" s="530">
        <f t="shared" si="516"/>
        <v>4250</v>
      </c>
    </row>
    <row r="1334" spans="108:112">
      <c r="DD1334" s="165" t="s">
        <v>952</v>
      </c>
      <c r="DE1334" s="166">
        <v>4420</v>
      </c>
      <c r="DF1334" s="528">
        <f t="shared" si="515"/>
        <v>4420</v>
      </c>
      <c r="DG1334" s="523"/>
      <c r="DH1334" s="530">
        <f t="shared" si="516"/>
        <v>4420</v>
      </c>
    </row>
    <row r="1335" spans="108:112">
      <c r="DD1335" s="165" t="s">
        <v>953</v>
      </c>
      <c r="DE1335" s="166">
        <v>4590</v>
      </c>
      <c r="DF1335" s="528">
        <f t="shared" si="515"/>
        <v>4590</v>
      </c>
      <c r="DG1335" s="523"/>
      <c r="DH1335" s="530">
        <f t="shared" si="516"/>
        <v>4590</v>
      </c>
    </row>
    <row r="1336" spans="108:112">
      <c r="DD1336" s="165" t="s">
        <v>954</v>
      </c>
      <c r="DE1336" s="166">
        <v>4760</v>
      </c>
      <c r="DF1336" s="528">
        <f t="shared" si="515"/>
        <v>4760</v>
      </c>
      <c r="DG1336" s="523"/>
      <c r="DH1336" s="530">
        <f t="shared" si="516"/>
        <v>4760</v>
      </c>
    </row>
    <row r="1337" spans="108:112">
      <c r="DD1337" s="108" t="s">
        <v>955</v>
      </c>
      <c r="DE1337" s="164">
        <v>4930.0000000000009</v>
      </c>
      <c r="DF1337" s="528">
        <f t="shared" si="515"/>
        <v>4930</v>
      </c>
      <c r="DG1337" s="526"/>
      <c r="DH1337" s="530">
        <f t="shared" si="516"/>
        <v>4930</v>
      </c>
    </row>
    <row r="1338" spans="108:112">
      <c r="DD1338" s="165" t="s">
        <v>1424</v>
      </c>
      <c r="DE1338" s="166">
        <v>3570</v>
      </c>
      <c r="DF1338" s="528">
        <f t="shared" si="515"/>
        <v>3570</v>
      </c>
      <c r="DG1338" s="523"/>
      <c r="DH1338" s="530">
        <f t="shared" si="516"/>
        <v>3570</v>
      </c>
    </row>
    <row r="1339" spans="108:112">
      <c r="DD1339" s="165" t="s">
        <v>1425</v>
      </c>
      <c r="DE1339" s="166">
        <v>3740</v>
      </c>
      <c r="DF1339" s="528">
        <f t="shared" si="515"/>
        <v>3740</v>
      </c>
      <c r="DG1339" s="523"/>
      <c r="DH1339" s="530">
        <f t="shared" si="516"/>
        <v>3740</v>
      </c>
    </row>
    <row r="1340" spans="108:112">
      <c r="DD1340" s="165" t="s">
        <v>1426</v>
      </c>
      <c r="DE1340" s="166">
        <v>3820</v>
      </c>
      <c r="DF1340" s="528">
        <f t="shared" si="515"/>
        <v>3820</v>
      </c>
      <c r="DG1340" s="523"/>
      <c r="DH1340" s="530">
        <f t="shared" si="516"/>
        <v>3820</v>
      </c>
    </row>
    <row r="1341" spans="108:112">
      <c r="DD1341" s="165" t="s">
        <v>1427</v>
      </c>
      <c r="DE1341" s="166">
        <v>3910</v>
      </c>
      <c r="DF1341" s="528">
        <f t="shared" si="515"/>
        <v>3910</v>
      </c>
      <c r="DG1341" s="523"/>
      <c r="DH1341" s="530">
        <f t="shared" si="516"/>
        <v>3910</v>
      </c>
    </row>
    <row r="1342" spans="108:112">
      <c r="DD1342" s="165" t="s">
        <v>1428</v>
      </c>
      <c r="DE1342" s="166">
        <v>4080</v>
      </c>
      <c r="DF1342" s="528">
        <f t="shared" si="515"/>
        <v>4080</v>
      </c>
      <c r="DG1342" s="523"/>
      <c r="DH1342" s="530">
        <f t="shared" si="516"/>
        <v>4080</v>
      </c>
    </row>
    <row r="1343" spans="108:112">
      <c r="DD1343" s="165" t="s">
        <v>1429</v>
      </c>
      <c r="DE1343" s="166">
        <v>4250</v>
      </c>
      <c r="DF1343" s="528">
        <f t="shared" si="515"/>
        <v>4250</v>
      </c>
      <c r="DG1343" s="523"/>
      <c r="DH1343" s="530">
        <f t="shared" si="516"/>
        <v>4250</v>
      </c>
    </row>
    <row r="1344" spans="108:112">
      <c r="DD1344" s="165" t="s">
        <v>1430</v>
      </c>
      <c r="DE1344" s="166">
        <v>4420</v>
      </c>
      <c r="DF1344" s="528">
        <f t="shared" si="515"/>
        <v>4420</v>
      </c>
      <c r="DG1344" s="523"/>
      <c r="DH1344" s="530">
        <f t="shared" si="516"/>
        <v>4420</v>
      </c>
    </row>
    <row r="1345" spans="108:112">
      <c r="DD1345" s="165" t="s">
        <v>1431</v>
      </c>
      <c r="DE1345" s="166">
        <v>4590</v>
      </c>
      <c r="DF1345" s="528">
        <f t="shared" si="515"/>
        <v>4590</v>
      </c>
      <c r="DG1345" s="523"/>
      <c r="DH1345" s="530">
        <f t="shared" si="516"/>
        <v>4590</v>
      </c>
    </row>
    <row r="1346" spans="108:112">
      <c r="DD1346" s="165" t="s">
        <v>1432</v>
      </c>
      <c r="DE1346" s="166">
        <v>4760</v>
      </c>
      <c r="DF1346" s="528">
        <f t="shared" si="515"/>
        <v>4760</v>
      </c>
      <c r="DG1346" s="523"/>
      <c r="DH1346" s="530">
        <f t="shared" si="516"/>
        <v>4760</v>
      </c>
    </row>
    <row r="1347" spans="108:112">
      <c r="DD1347" s="108" t="s">
        <v>1433</v>
      </c>
      <c r="DE1347" s="164">
        <v>4930.0000000000009</v>
      </c>
      <c r="DF1347" s="528">
        <f t="shared" si="515"/>
        <v>4930</v>
      </c>
      <c r="DG1347" s="526"/>
      <c r="DH1347" s="530">
        <f t="shared" si="516"/>
        <v>4930</v>
      </c>
    </row>
    <row r="1348" spans="108:112">
      <c r="DD1348" s="165" t="s">
        <v>2031</v>
      </c>
      <c r="DE1348" s="166">
        <v>4101</v>
      </c>
      <c r="DF1348" s="528">
        <f t="shared" si="515"/>
        <v>4101</v>
      </c>
      <c r="DG1348" s="523"/>
      <c r="DH1348" s="530">
        <f t="shared" si="516"/>
        <v>4101</v>
      </c>
    </row>
    <row r="1349" spans="108:112">
      <c r="DD1349" s="165" t="s">
        <v>2032</v>
      </c>
      <c r="DE1349" s="166">
        <v>4310</v>
      </c>
      <c r="DF1349" s="528">
        <f t="shared" si="515"/>
        <v>4310</v>
      </c>
      <c r="DG1349" s="523"/>
      <c r="DH1349" s="530">
        <f t="shared" si="516"/>
        <v>4310</v>
      </c>
    </row>
    <row r="1350" spans="108:112">
      <c r="DD1350" s="165" t="s">
        <v>2033</v>
      </c>
      <c r="DE1350" s="166">
        <v>4400</v>
      </c>
      <c r="DF1350" s="528">
        <f t="shared" si="515"/>
        <v>4400</v>
      </c>
      <c r="DG1350" s="523"/>
      <c r="DH1350" s="530">
        <f t="shared" si="516"/>
        <v>4400</v>
      </c>
    </row>
    <row r="1351" spans="108:112">
      <c r="DD1351" s="165" t="s">
        <v>2034</v>
      </c>
      <c r="DE1351" s="166">
        <v>4500</v>
      </c>
      <c r="DF1351" s="528">
        <f t="shared" si="515"/>
        <v>4500</v>
      </c>
      <c r="DG1351" s="523"/>
      <c r="DH1351" s="530">
        <f t="shared" si="516"/>
        <v>4500</v>
      </c>
    </row>
    <row r="1352" spans="108:112">
      <c r="DD1352" s="165" t="s">
        <v>2035</v>
      </c>
      <c r="DE1352" s="166">
        <v>4690</v>
      </c>
      <c r="DF1352" s="528">
        <f t="shared" si="515"/>
        <v>4690</v>
      </c>
      <c r="DG1352" s="523"/>
      <c r="DH1352" s="530">
        <f t="shared" si="516"/>
        <v>4690</v>
      </c>
    </row>
    <row r="1353" spans="108:112">
      <c r="DD1353" s="165" t="s">
        <v>2036</v>
      </c>
      <c r="DE1353" s="166">
        <v>4880</v>
      </c>
      <c r="DF1353" s="528">
        <f t="shared" si="515"/>
        <v>4880</v>
      </c>
      <c r="DG1353" s="523"/>
      <c r="DH1353" s="530">
        <f t="shared" si="516"/>
        <v>4880</v>
      </c>
    </row>
    <row r="1354" spans="108:112">
      <c r="DD1354" s="165" t="s">
        <v>2037</v>
      </c>
      <c r="DE1354" s="166">
        <v>5090</v>
      </c>
      <c r="DF1354" s="528">
        <f t="shared" si="515"/>
        <v>5090</v>
      </c>
      <c r="DG1354" s="523"/>
      <c r="DH1354" s="530">
        <f t="shared" si="516"/>
        <v>5090</v>
      </c>
    </row>
    <row r="1355" spans="108:112">
      <c r="DD1355" s="165" t="s">
        <v>2038</v>
      </c>
      <c r="DE1355" s="166">
        <v>5280</v>
      </c>
      <c r="DF1355" s="528">
        <f t="shared" si="515"/>
        <v>5280</v>
      </c>
      <c r="DG1355" s="523"/>
      <c r="DH1355" s="530">
        <f t="shared" si="516"/>
        <v>5280</v>
      </c>
    </row>
    <row r="1356" spans="108:112">
      <c r="DD1356" s="165" t="s">
        <v>2039</v>
      </c>
      <c r="DE1356" s="166">
        <v>5470.0000000000009</v>
      </c>
      <c r="DF1356" s="528">
        <f t="shared" si="515"/>
        <v>5470</v>
      </c>
      <c r="DG1356" s="523"/>
      <c r="DH1356" s="530">
        <f t="shared" si="516"/>
        <v>5470</v>
      </c>
    </row>
    <row r="1357" spans="108:112">
      <c r="DD1357" s="108" t="s">
        <v>2040</v>
      </c>
      <c r="DE1357" s="164">
        <v>5660</v>
      </c>
      <c r="DF1357" s="528">
        <f t="shared" si="515"/>
        <v>5660</v>
      </c>
      <c r="DG1357" s="526"/>
      <c r="DH1357" s="530">
        <f t="shared" si="516"/>
        <v>5660</v>
      </c>
    </row>
    <row r="1358" spans="108:112">
      <c r="DD1358" s="165" t="s">
        <v>956</v>
      </c>
      <c r="DE1358" s="166">
        <v>4320</v>
      </c>
      <c r="DF1358" s="528">
        <f t="shared" si="515"/>
        <v>4320</v>
      </c>
      <c r="DG1358" s="523"/>
      <c r="DH1358" s="530">
        <f t="shared" si="516"/>
        <v>4320</v>
      </c>
    </row>
    <row r="1359" spans="108:112">
      <c r="DD1359" s="165" t="s">
        <v>957</v>
      </c>
      <c r="DE1359" s="166">
        <v>4520</v>
      </c>
      <c r="DF1359" s="528">
        <f t="shared" si="515"/>
        <v>4520</v>
      </c>
      <c r="DG1359" s="523"/>
      <c r="DH1359" s="530">
        <f t="shared" si="516"/>
        <v>4520</v>
      </c>
    </row>
    <row r="1360" spans="108:112">
      <c r="DD1360" s="165" t="s">
        <v>1296</v>
      </c>
      <c r="DE1360" s="166">
        <v>4630</v>
      </c>
      <c r="DF1360" s="528">
        <f t="shared" si="515"/>
        <v>4630</v>
      </c>
      <c r="DG1360" s="523"/>
      <c r="DH1360" s="530">
        <f t="shared" si="516"/>
        <v>4630</v>
      </c>
    </row>
    <row r="1361" spans="108:112">
      <c r="DD1361" s="165" t="s">
        <v>958</v>
      </c>
      <c r="DE1361" s="166">
        <v>4710</v>
      </c>
      <c r="DF1361" s="528">
        <f t="shared" si="515"/>
        <v>4710</v>
      </c>
      <c r="DG1361" s="523"/>
      <c r="DH1361" s="530">
        <f t="shared" si="516"/>
        <v>4710</v>
      </c>
    </row>
    <row r="1362" spans="108:112">
      <c r="DD1362" s="165" t="s">
        <v>959</v>
      </c>
      <c r="DE1362" s="166">
        <v>4930.0000000000009</v>
      </c>
      <c r="DF1362" s="528">
        <f t="shared" si="515"/>
        <v>4930</v>
      </c>
      <c r="DG1362" s="523"/>
      <c r="DH1362" s="530">
        <f t="shared" si="516"/>
        <v>4930</v>
      </c>
    </row>
    <row r="1363" spans="108:112">
      <c r="DD1363" s="165" t="s">
        <v>960</v>
      </c>
      <c r="DE1363" s="166">
        <v>5140.0000000000009</v>
      </c>
      <c r="DF1363" s="528">
        <f t="shared" si="515"/>
        <v>5140</v>
      </c>
      <c r="DG1363" s="523"/>
      <c r="DH1363" s="530">
        <f t="shared" si="516"/>
        <v>5140</v>
      </c>
    </row>
    <row r="1364" spans="108:112">
      <c r="DD1364" s="165" t="s">
        <v>961</v>
      </c>
      <c r="DE1364" s="166">
        <v>5350.0000000000009</v>
      </c>
      <c r="DF1364" s="528">
        <f t="shared" si="515"/>
        <v>5350</v>
      </c>
      <c r="DG1364" s="523"/>
      <c r="DH1364" s="530">
        <f t="shared" si="516"/>
        <v>5350</v>
      </c>
    </row>
    <row r="1365" spans="108:112">
      <c r="DD1365" s="165" t="s">
        <v>962</v>
      </c>
      <c r="DE1365" s="166">
        <v>5560.0000000000009</v>
      </c>
      <c r="DF1365" s="528">
        <f t="shared" si="515"/>
        <v>5560</v>
      </c>
      <c r="DG1365" s="523"/>
      <c r="DH1365" s="530">
        <f t="shared" si="516"/>
        <v>5560</v>
      </c>
    </row>
    <row r="1366" spans="108:112">
      <c r="DD1366" s="165" t="s">
        <v>963</v>
      </c>
      <c r="DE1366" s="166">
        <v>5760</v>
      </c>
      <c r="DF1366" s="528">
        <f t="shared" si="515"/>
        <v>5760</v>
      </c>
      <c r="DG1366" s="523"/>
      <c r="DH1366" s="530">
        <f t="shared" si="516"/>
        <v>5760</v>
      </c>
    </row>
    <row r="1367" spans="108:112">
      <c r="DD1367" s="108" t="s">
        <v>964</v>
      </c>
      <c r="DE1367" s="164">
        <v>5990</v>
      </c>
      <c r="DF1367" s="528">
        <f t="shared" si="515"/>
        <v>5990</v>
      </c>
      <c r="DG1367" s="526"/>
      <c r="DH1367" s="530">
        <f t="shared" si="516"/>
        <v>5990</v>
      </c>
    </row>
    <row r="1368" spans="108:112">
      <c r="DD1368" s="165" t="s">
        <v>965</v>
      </c>
      <c r="DE1368" s="166">
        <v>4610</v>
      </c>
      <c r="DF1368" s="528">
        <f t="shared" si="515"/>
        <v>4610</v>
      </c>
      <c r="DG1368" s="523"/>
      <c r="DH1368" s="530">
        <f t="shared" si="516"/>
        <v>4610</v>
      </c>
    </row>
    <row r="1369" spans="108:112">
      <c r="DD1369" s="165" t="s">
        <v>966</v>
      </c>
      <c r="DE1369" s="166">
        <v>4840</v>
      </c>
      <c r="DF1369" s="528">
        <f t="shared" si="515"/>
        <v>4840</v>
      </c>
      <c r="DG1369" s="523"/>
      <c r="DH1369" s="530">
        <f t="shared" si="516"/>
        <v>4840</v>
      </c>
    </row>
    <row r="1370" spans="108:112">
      <c r="DD1370" s="165" t="s">
        <v>1297</v>
      </c>
      <c r="DE1370" s="166">
        <v>4950</v>
      </c>
      <c r="DF1370" s="528">
        <f t="shared" si="515"/>
        <v>4950</v>
      </c>
      <c r="DG1370" s="523"/>
      <c r="DH1370" s="530">
        <f t="shared" si="516"/>
        <v>4950</v>
      </c>
    </row>
    <row r="1371" spans="108:112">
      <c r="DD1371" s="165" t="s">
        <v>967</v>
      </c>
      <c r="DE1371" s="166">
        <v>5060</v>
      </c>
      <c r="DF1371" s="528">
        <f t="shared" si="515"/>
        <v>5060</v>
      </c>
      <c r="DG1371" s="523"/>
      <c r="DH1371" s="530">
        <f t="shared" si="516"/>
        <v>5060</v>
      </c>
    </row>
    <row r="1372" spans="108:112">
      <c r="DD1372" s="165" t="s">
        <v>968</v>
      </c>
      <c r="DE1372" s="166">
        <v>5290.0000000000009</v>
      </c>
      <c r="DF1372" s="528">
        <f t="shared" si="515"/>
        <v>5290</v>
      </c>
      <c r="DG1372" s="523"/>
      <c r="DH1372" s="530">
        <f t="shared" si="516"/>
        <v>5290</v>
      </c>
    </row>
    <row r="1373" spans="108:112">
      <c r="DD1373" s="165" t="s">
        <v>969</v>
      </c>
      <c r="DE1373" s="166">
        <v>5520</v>
      </c>
      <c r="DF1373" s="528">
        <f t="shared" si="515"/>
        <v>5520</v>
      </c>
      <c r="DG1373" s="523"/>
      <c r="DH1373" s="530">
        <f t="shared" si="516"/>
        <v>5520</v>
      </c>
    </row>
    <row r="1374" spans="108:112">
      <c r="DD1374" s="165" t="s">
        <v>970</v>
      </c>
      <c r="DE1374" s="166">
        <v>5740.0000000000009</v>
      </c>
      <c r="DF1374" s="528">
        <f t="shared" si="515"/>
        <v>5740</v>
      </c>
      <c r="DG1374" s="523"/>
      <c r="DH1374" s="530">
        <f t="shared" si="516"/>
        <v>5740</v>
      </c>
    </row>
    <row r="1375" spans="108:112">
      <c r="DD1375" s="165" t="s">
        <v>971</v>
      </c>
      <c r="DE1375" s="166">
        <v>5970</v>
      </c>
      <c r="DF1375" s="528">
        <f t="shared" si="515"/>
        <v>5970</v>
      </c>
      <c r="DG1375" s="523"/>
      <c r="DH1375" s="530">
        <f t="shared" si="516"/>
        <v>5970</v>
      </c>
    </row>
    <row r="1376" spans="108:112">
      <c r="DD1376" s="165" t="s">
        <v>972</v>
      </c>
      <c r="DE1376" s="166">
        <v>6190.0000000000009</v>
      </c>
      <c r="DF1376" s="528">
        <f t="shared" si="515"/>
        <v>6190</v>
      </c>
      <c r="DG1376" s="523"/>
      <c r="DH1376" s="530">
        <f t="shared" si="516"/>
        <v>6190</v>
      </c>
    </row>
    <row r="1377" spans="108:112">
      <c r="DD1377" s="108" t="s">
        <v>973</v>
      </c>
      <c r="DE1377" s="164">
        <v>6420</v>
      </c>
      <c r="DF1377" s="528">
        <f t="shared" si="515"/>
        <v>6420</v>
      </c>
      <c r="DG1377" s="526"/>
      <c r="DH1377" s="530">
        <f t="shared" si="516"/>
        <v>6420</v>
      </c>
    </row>
    <row r="1378" spans="108:112">
      <c r="DD1378" s="738" t="s">
        <v>5353</v>
      </c>
      <c r="DE1378" s="166">
        <v>4930.0000000000009</v>
      </c>
      <c r="DF1378" s="528">
        <f t="shared" si="515"/>
        <v>4930</v>
      </c>
      <c r="DG1378" s="523"/>
      <c r="DH1378" s="530">
        <f t="shared" si="516"/>
        <v>4930</v>
      </c>
    </row>
    <row r="1379" spans="108:112">
      <c r="DD1379" s="738" t="s">
        <v>5354</v>
      </c>
      <c r="DE1379" s="166">
        <v>5170</v>
      </c>
      <c r="DF1379" s="528">
        <f t="shared" si="515"/>
        <v>5170</v>
      </c>
      <c r="DG1379" s="523"/>
      <c r="DH1379" s="530">
        <f t="shared" si="516"/>
        <v>5170</v>
      </c>
    </row>
    <row r="1380" spans="108:112">
      <c r="DD1380" s="738" t="s">
        <v>5355</v>
      </c>
      <c r="DE1380" s="166">
        <v>5280</v>
      </c>
      <c r="DF1380" s="528">
        <f t="shared" si="515"/>
        <v>5280</v>
      </c>
      <c r="DG1380" s="523"/>
      <c r="DH1380" s="530">
        <f t="shared" si="516"/>
        <v>5280</v>
      </c>
    </row>
    <row r="1381" spans="108:112">
      <c r="DD1381" s="738" t="s">
        <v>5356</v>
      </c>
      <c r="DE1381" s="166">
        <v>5400</v>
      </c>
      <c r="DF1381" s="528">
        <f t="shared" si="515"/>
        <v>5400</v>
      </c>
      <c r="DG1381" s="523"/>
      <c r="DH1381" s="530">
        <f t="shared" si="516"/>
        <v>5400</v>
      </c>
    </row>
    <row r="1382" spans="108:112">
      <c r="DD1382" s="738" t="s">
        <v>5357</v>
      </c>
      <c r="DE1382" s="166">
        <v>5650.0000000000009</v>
      </c>
      <c r="DF1382" s="528">
        <f t="shared" si="515"/>
        <v>5650</v>
      </c>
      <c r="DG1382" s="523"/>
      <c r="DH1382" s="530">
        <f t="shared" si="516"/>
        <v>5650</v>
      </c>
    </row>
    <row r="1383" spans="108:112">
      <c r="DD1383" s="738" t="s">
        <v>5358</v>
      </c>
      <c r="DE1383" s="166">
        <v>5890.0000000000009</v>
      </c>
      <c r="DF1383" s="528">
        <f t="shared" si="515"/>
        <v>5890</v>
      </c>
      <c r="DG1383" s="523"/>
      <c r="DH1383" s="530">
        <f t="shared" si="516"/>
        <v>5890</v>
      </c>
    </row>
    <row r="1384" spans="108:112">
      <c r="DD1384" s="738" t="s">
        <v>5359</v>
      </c>
      <c r="DE1384" s="166">
        <v>6140</v>
      </c>
      <c r="DF1384" s="528">
        <f t="shared" si="515"/>
        <v>6140</v>
      </c>
      <c r="DG1384" s="523"/>
      <c r="DH1384" s="530">
        <f t="shared" si="516"/>
        <v>6140</v>
      </c>
    </row>
    <row r="1385" spans="108:112">
      <c r="DD1385" s="738" t="s">
        <v>5360</v>
      </c>
      <c r="DE1385" s="166">
        <v>6370.0000000000009</v>
      </c>
      <c r="DF1385" s="528">
        <f t="shared" si="515"/>
        <v>6370</v>
      </c>
      <c r="DG1385" s="523"/>
      <c r="DH1385" s="530">
        <f t="shared" si="516"/>
        <v>6370</v>
      </c>
    </row>
    <row r="1386" spans="108:112">
      <c r="DD1386" s="738" t="s">
        <v>5361</v>
      </c>
      <c r="DE1386" s="166">
        <v>6600</v>
      </c>
      <c r="DF1386" s="528">
        <f t="shared" si="515"/>
        <v>6600</v>
      </c>
      <c r="DG1386" s="523"/>
      <c r="DH1386" s="530">
        <f t="shared" si="516"/>
        <v>6600</v>
      </c>
    </row>
    <row r="1387" spans="108:112">
      <c r="DD1387" s="739" t="s">
        <v>5362</v>
      </c>
      <c r="DE1387" s="164">
        <v>6850.0000000000009</v>
      </c>
      <c r="DF1387" s="528">
        <f t="shared" si="515"/>
        <v>6850</v>
      </c>
      <c r="DG1387" s="526"/>
      <c r="DH1387" s="530">
        <f t="shared" si="516"/>
        <v>6850</v>
      </c>
    </row>
    <row r="1388" spans="108:112">
      <c r="DD1388" s="165" t="s">
        <v>1859</v>
      </c>
      <c r="DE1388" s="166">
        <v>4930.0000000000009</v>
      </c>
      <c r="DF1388" s="528">
        <f t="shared" si="515"/>
        <v>4930</v>
      </c>
      <c r="DG1388" s="523"/>
      <c r="DH1388" s="530">
        <f t="shared" si="516"/>
        <v>4930</v>
      </c>
    </row>
    <row r="1389" spans="108:112">
      <c r="DD1389" s="165" t="s">
        <v>1860</v>
      </c>
      <c r="DE1389" s="166">
        <v>5170</v>
      </c>
      <c r="DF1389" s="528">
        <f t="shared" si="515"/>
        <v>5170</v>
      </c>
      <c r="DG1389" s="523"/>
      <c r="DH1389" s="530">
        <f t="shared" si="516"/>
        <v>5170</v>
      </c>
    </row>
    <row r="1390" spans="108:112">
      <c r="DD1390" s="165" t="s">
        <v>1861</v>
      </c>
      <c r="DE1390" s="166">
        <v>5280</v>
      </c>
      <c r="DF1390" s="528">
        <f t="shared" si="515"/>
        <v>5280</v>
      </c>
      <c r="DG1390" s="523"/>
      <c r="DH1390" s="530">
        <f t="shared" si="516"/>
        <v>5280</v>
      </c>
    </row>
    <row r="1391" spans="108:112">
      <c r="DD1391" s="165" t="s">
        <v>1862</v>
      </c>
      <c r="DE1391" s="166">
        <v>5400</v>
      </c>
      <c r="DF1391" s="528">
        <f t="shared" si="515"/>
        <v>5400</v>
      </c>
      <c r="DG1391" s="523"/>
      <c r="DH1391" s="530">
        <f t="shared" si="516"/>
        <v>5400</v>
      </c>
    </row>
    <row r="1392" spans="108:112">
      <c r="DD1392" s="165" t="s">
        <v>1863</v>
      </c>
      <c r="DE1392" s="166">
        <v>5650.0000000000009</v>
      </c>
      <c r="DF1392" s="528">
        <f t="shared" si="515"/>
        <v>5650</v>
      </c>
      <c r="DG1392" s="523"/>
      <c r="DH1392" s="530">
        <f t="shared" si="516"/>
        <v>5650</v>
      </c>
    </row>
    <row r="1393" spans="108:112">
      <c r="DD1393" s="165" t="s">
        <v>1864</v>
      </c>
      <c r="DE1393" s="166">
        <v>5890.0000000000009</v>
      </c>
      <c r="DF1393" s="528">
        <f t="shared" si="515"/>
        <v>5890</v>
      </c>
      <c r="DG1393" s="523"/>
      <c r="DH1393" s="530">
        <f t="shared" si="516"/>
        <v>5890</v>
      </c>
    </row>
    <row r="1394" spans="108:112">
      <c r="DD1394" s="165" t="s">
        <v>1865</v>
      </c>
      <c r="DE1394" s="166">
        <v>6140</v>
      </c>
      <c r="DF1394" s="528">
        <f t="shared" ref="DF1394:DF1406" si="517">ROUND(((DE1394-(DE1394/6))/$DD$3)*$DE$3,2)</f>
        <v>6140</v>
      </c>
      <c r="DG1394" s="523"/>
      <c r="DH1394" s="530">
        <f t="shared" ref="DH1394:DH1406" si="518">IF(DG1394="",DF1394,
IF(AND($DE$10&gt;=VLOOKUP(DG1394,$DD$5:$DH$9,2,0),$DE$10&lt;=VLOOKUP(DG1394,$DD$5:$DH$9,3,0)),
(DF1394*(1-VLOOKUP(DG1394,$DD$5:$DH$9,4,0))),
DF1394))</f>
        <v>6140</v>
      </c>
    </row>
    <row r="1395" spans="108:112">
      <c r="DD1395" s="165" t="s">
        <v>1866</v>
      </c>
      <c r="DE1395" s="166">
        <v>6370.0000000000009</v>
      </c>
      <c r="DF1395" s="528">
        <f t="shared" si="517"/>
        <v>6370</v>
      </c>
      <c r="DG1395" s="523"/>
      <c r="DH1395" s="530">
        <f t="shared" si="518"/>
        <v>6370</v>
      </c>
    </row>
    <row r="1396" spans="108:112">
      <c r="DD1396" s="165" t="s">
        <v>1867</v>
      </c>
      <c r="DE1396" s="166">
        <v>6600</v>
      </c>
      <c r="DF1396" s="528">
        <f t="shared" si="517"/>
        <v>6600</v>
      </c>
      <c r="DG1396" s="523"/>
      <c r="DH1396" s="530">
        <f t="shared" si="518"/>
        <v>6600</v>
      </c>
    </row>
    <row r="1397" spans="108:112">
      <c r="DD1397" s="108" t="s">
        <v>1868</v>
      </c>
      <c r="DE1397" s="164">
        <v>6850.0000000000009</v>
      </c>
      <c r="DF1397" s="528">
        <f t="shared" si="517"/>
        <v>6850</v>
      </c>
      <c r="DG1397" s="526"/>
      <c r="DH1397" s="530">
        <f t="shared" si="518"/>
        <v>6850</v>
      </c>
    </row>
    <row r="1398" spans="108:112">
      <c r="DD1398" s="641"/>
      <c r="DE1398" s="642"/>
      <c r="DF1398" s="643"/>
      <c r="DG1398" s="644"/>
      <c r="DH1398" s="645"/>
    </row>
    <row r="1399" spans="108:112">
      <c r="DD1399" s="736" t="s">
        <v>5048</v>
      </c>
      <c r="DE1399" s="105">
        <v>3780</v>
      </c>
      <c r="DF1399" s="403">
        <f t="shared" si="517"/>
        <v>3780</v>
      </c>
      <c r="DG1399" s="514"/>
      <c r="DH1399" s="511">
        <f t="shared" si="518"/>
        <v>3780</v>
      </c>
    </row>
    <row r="1400" spans="108:112">
      <c r="DD1400" s="60" t="s">
        <v>711</v>
      </c>
      <c r="DE1400" s="105">
        <v>3780</v>
      </c>
      <c r="DF1400" s="403">
        <f t="shared" si="517"/>
        <v>3780</v>
      </c>
      <c r="DG1400" s="514"/>
      <c r="DH1400" s="511">
        <f t="shared" si="518"/>
        <v>3780</v>
      </c>
    </row>
    <row r="1401" spans="108:112">
      <c r="DD1401" s="60" t="s">
        <v>1578</v>
      </c>
      <c r="DE1401" s="105">
        <v>3780</v>
      </c>
      <c r="DF1401" s="403">
        <f t="shared" si="517"/>
        <v>3780</v>
      </c>
      <c r="DG1401" s="514"/>
      <c r="DH1401" s="511">
        <f t="shared" si="518"/>
        <v>3780</v>
      </c>
    </row>
    <row r="1402" spans="108:112">
      <c r="DD1402" s="60" t="s">
        <v>2041</v>
      </c>
      <c r="DE1402" s="105">
        <v>3920</v>
      </c>
      <c r="DF1402" s="403">
        <f t="shared" si="517"/>
        <v>3920</v>
      </c>
      <c r="DG1402" s="514"/>
      <c r="DH1402" s="511">
        <f t="shared" si="518"/>
        <v>3920</v>
      </c>
    </row>
    <row r="1403" spans="108:112">
      <c r="DD1403" s="60" t="s">
        <v>448</v>
      </c>
      <c r="DE1403" s="105">
        <v>4030</v>
      </c>
      <c r="DF1403" s="403">
        <f t="shared" si="517"/>
        <v>4030</v>
      </c>
      <c r="DG1403" s="514"/>
      <c r="DH1403" s="511">
        <f t="shared" si="518"/>
        <v>4030</v>
      </c>
    </row>
    <row r="1404" spans="108:112">
      <c r="DD1404" s="60" t="s">
        <v>109</v>
      </c>
      <c r="DE1404" s="105">
        <v>4370</v>
      </c>
      <c r="DF1404" s="403">
        <f t="shared" si="517"/>
        <v>4370</v>
      </c>
      <c r="DG1404" s="514"/>
      <c r="DH1404" s="511">
        <f t="shared" si="518"/>
        <v>4370</v>
      </c>
    </row>
    <row r="1405" spans="108:112">
      <c r="DD1405" s="736" t="s">
        <v>5363</v>
      </c>
      <c r="DE1405" s="105">
        <v>4620</v>
      </c>
      <c r="DF1405" s="403">
        <f t="shared" si="517"/>
        <v>4620</v>
      </c>
      <c r="DG1405" s="514"/>
      <c r="DH1405" s="511">
        <f t="shared" si="518"/>
        <v>4620</v>
      </c>
    </row>
    <row r="1406" spans="108:112">
      <c r="DD1406" s="60" t="s">
        <v>1869</v>
      </c>
      <c r="DE1406" s="105">
        <v>4620</v>
      </c>
      <c r="DF1406" s="403">
        <f t="shared" si="517"/>
        <v>4620</v>
      </c>
      <c r="DG1406" s="514"/>
      <c r="DH1406" s="511">
        <f t="shared" si="518"/>
        <v>4620</v>
      </c>
    </row>
    <row r="1407" spans="108:112">
      <c r="DD1407" s="641"/>
      <c r="DE1407" s="642"/>
      <c r="DF1407" s="643"/>
      <c r="DG1407" s="644"/>
      <c r="DH1407" s="645"/>
    </row>
    <row r="1408" spans="108:112">
      <c r="DD1408" s="60"/>
      <c r="DE1408" s="105"/>
      <c r="DF1408" s="403"/>
      <c r="DG1408" s="514"/>
      <c r="DH1408" s="511"/>
    </row>
    <row r="1409" spans="108:112">
      <c r="DD1409" s="631"/>
      <c r="DE1409" s="632"/>
      <c r="DF1409" s="633"/>
      <c r="DG1409" s="634"/>
      <c r="DH1409" s="635"/>
    </row>
    <row r="1410" spans="108:112">
      <c r="DD1410" s="162"/>
      <c r="DE1410" s="163"/>
      <c r="DF1410" s="528"/>
      <c r="DG1410" s="529"/>
      <c r="DH1410" s="530"/>
    </row>
    <row r="1411" spans="108:112">
      <c r="DD1411" s="736" t="s">
        <v>5049</v>
      </c>
      <c r="DE1411" s="105">
        <v>750</v>
      </c>
      <c r="DF1411" s="403">
        <f t="shared" ref="DF1411:DF1474" si="519">ROUND(((DE1411-(DE1411/6))/$DD$3)*$DE$3,2)</f>
        <v>750</v>
      </c>
      <c r="DG1411" s="514"/>
      <c r="DH1411" s="511">
        <f t="shared" ref="DH1411:DH1474" si="520">IF(DG1411="",DF1411,
IF(AND($DE$10&gt;=VLOOKUP(DG1411,$DD$5:$DH$9,2,0),$DE$10&lt;=VLOOKUP(DG1411,$DD$5:$DH$9,3,0)),
(DF1411*(1-VLOOKUP(DG1411,$DD$5:$DH$9,4,0))),
DF1411))</f>
        <v>750</v>
      </c>
    </row>
    <row r="1412" spans="108:112">
      <c r="DD1412" s="60" t="s">
        <v>255</v>
      </c>
      <c r="DE1412" s="105">
        <v>750</v>
      </c>
      <c r="DF1412" s="403">
        <f t="shared" si="519"/>
        <v>750</v>
      </c>
      <c r="DG1412" s="514"/>
      <c r="DH1412" s="511">
        <f t="shared" si="520"/>
        <v>750</v>
      </c>
    </row>
    <row r="1413" spans="108:112">
      <c r="DD1413" s="60" t="s">
        <v>1579</v>
      </c>
      <c r="DE1413" s="105">
        <v>750</v>
      </c>
      <c r="DF1413" s="403">
        <f t="shared" si="519"/>
        <v>750</v>
      </c>
      <c r="DG1413" s="514"/>
      <c r="DH1413" s="511">
        <f t="shared" si="520"/>
        <v>750</v>
      </c>
    </row>
    <row r="1414" spans="108:112">
      <c r="DD1414" s="60" t="s">
        <v>2042</v>
      </c>
      <c r="DE1414" s="105">
        <v>840</v>
      </c>
      <c r="DF1414" s="403">
        <f t="shared" si="519"/>
        <v>840</v>
      </c>
      <c r="DG1414" s="514"/>
      <c r="DH1414" s="511">
        <f t="shared" si="520"/>
        <v>840</v>
      </c>
    </row>
    <row r="1415" spans="108:112">
      <c r="DD1415" s="60" t="s">
        <v>449</v>
      </c>
      <c r="DE1415" s="105">
        <v>880</v>
      </c>
      <c r="DF1415" s="403">
        <f t="shared" si="519"/>
        <v>880</v>
      </c>
      <c r="DG1415" s="514"/>
      <c r="DH1415" s="511">
        <f t="shared" si="520"/>
        <v>880</v>
      </c>
    </row>
    <row r="1416" spans="108:112">
      <c r="DD1416" s="60" t="s">
        <v>110</v>
      </c>
      <c r="DE1416" s="105">
        <v>960</v>
      </c>
      <c r="DF1416" s="403">
        <f t="shared" si="519"/>
        <v>960</v>
      </c>
      <c r="DG1416" s="514"/>
      <c r="DH1416" s="511">
        <f t="shared" si="520"/>
        <v>960</v>
      </c>
    </row>
    <row r="1417" spans="108:112">
      <c r="DD1417" s="736" t="s">
        <v>5364</v>
      </c>
      <c r="DE1417" s="105">
        <v>1060</v>
      </c>
      <c r="DF1417" s="403">
        <f t="shared" si="519"/>
        <v>1060</v>
      </c>
      <c r="DG1417" s="514"/>
      <c r="DH1417" s="511">
        <f t="shared" si="520"/>
        <v>1060</v>
      </c>
    </row>
    <row r="1418" spans="108:112">
      <c r="DD1418" s="60" t="s">
        <v>1870</v>
      </c>
      <c r="DE1418" s="105">
        <v>1060</v>
      </c>
      <c r="DF1418" s="403">
        <f t="shared" si="519"/>
        <v>1060</v>
      </c>
      <c r="DG1418" s="514"/>
      <c r="DH1418" s="511">
        <f t="shared" si="520"/>
        <v>1060</v>
      </c>
    </row>
    <row r="1419" spans="108:112">
      <c r="DD1419" s="641"/>
      <c r="DE1419" s="642"/>
      <c r="DF1419" s="643"/>
      <c r="DG1419" s="644"/>
      <c r="DH1419" s="645"/>
    </row>
    <row r="1420" spans="108:112">
      <c r="DD1420" s="737" t="s">
        <v>5050</v>
      </c>
      <c r="DE1420" s="163">
        <v>980</v>
      </c>
      <c r="DF1420" s="528">
        <f t="shared" si="519"/>
        <v>980</v>
      </c>
      <c r="DG1420" s="529"/>
      <c r="DH1420" s="530">
        <f t="shared" si="520"/>
        <v>980</v>
      </c>
    </row>
    <row r="1421" spans="108:112">
      <c r="DD1421" s="738" t="s">
        <v>5051</v>
      </c>
      <c r="DE1421" s="166">
        <v>1060</v>
      </c>
      <c r="DF1421" s="528">
        <f t="shared" si="519"/>
        <v>1060</v>
      </c>
      <c r="DG1421" s="523"/>
      <c r="DH1421" s="530">
        <f t="shared" si="520"/>
        <v>1060</v>
      </c>
    </row>
    <row r="1422" spans="108:112">
      <c r="DD1422" s="738" t="s">
        <v>5052</v>
      </c>
      <c r="DE1422" s="166">
        <v>1100</v>
      </c>
      <c r="DF1422" s="528">
        <f t="shared" si="519"/>
        <v>1100</v>
      </c>
      <c r="DG1422" s="523"/>
      <c r="DH1422" s="530">
        <f t="shared" si="520"/>
        <v>1100</v>
      </c>
    </row>
    <row r="1423" spans="108:112">
      <c r="DD1423" s="738" t="s">
        <v>5053</v>
      </c>
      <c r="DE1423" s="166">
        <v>1150</v>
      </c>
      <c r="DF1423" s="528">
        <f t="shared" si="519"/>
        <v>1150</v>
      </c>
      <c r="DG1423" s="523"/>
      <c r="DH1423" s="530">
        <f t="shared" si="520"/>
        <v>1150</v>
      </c>
    </row>
    <row r="1424" spans="108:112">
      <c r="DD1424" s="738" t="s">
        <v>5054</v>
      </c>
      <c r="DE1424" s="166">
        <v>1230</v>
      </c>
      <c r="DF1424" s="528">
        <f t="shared" si="519"/>
        <v>1230</v>
      </c>
      <c r="DG1424" s="523"/>
      <c r="DH1424" s="530">
        <f t="shared" si="520"/>
        <v>1230</v>
      </c>
    </row>
    <row r="1425" spans="108:112">
      <c r="DD1425" s="738" t="s">
        <v>5055</v>
      </c>
      <c r="DE1425" s="166">
        <v>1320</v>
      </c>
      <c r="DF1425" s="528">
        <f t="shared" si="519"/>
        <v>1320</v>
      </c>
      <c r="DG1425" s="523"/>
      <c r="DH1425" s="530">
        <f t="shared" si="520"/>
        <v>1320</v>
      </c>
    </row>
    <row r="1426" spans="108:112">
      <c r="DD1426" s="738" t="s">
        <v>5056</v>
      </c>
      <c r="DE1426" s="166">
        <v>1400</v>
      </c>
      <c r="DF1426" s="528">
        <f t="shared" si="519"/>
        <v>1400</v>
      </c>
      <c r="DG1426" s="523"/>
      <c r="DH1426" s="530">
        <f t="shared" si="520"/>
        <v>1400</v>
      </c>
    </row>
    <row r="1427" spans="108:112">
      <c r="DD1427" s="738" t="s">
        <v>5057</v>
      </c>
      <c r="DE1427" s="166">
        <v>1490</v>
      </c>
      <c r="DF1427" s="528">
        <f t="shared" si="519"/>
        <v>1490</v>
      </c>
      <c r="DG1427" s="523"/>
      <c r="DH1427" s="530">
        <f t="shared" si="520"/>
        <v>1490</v>
      </c>
    </row>
    <row r="1428" spans="108:112">
      <c r="DD1428" s="738" t="s">
        <v>5058</v>
      </c>
      <c r="DE1428" s="166">
        <v>1570.0000000000002</v>
      </c>
      <c r="DF1428" s="528">
        <f t="shared" si="519"/>
        <v>1570</v>
      </c>
      <c r="DG1428" s="523"/>
      <c r="DH1428" s="530">
        <f t="shared" si="520"/>
        <v>1570</v>
      </c>
    </row>
    <row r="1429" spans="108:112">
      <c r="DD1429" s="739" t="s">
        <v>5059</v>
      </c>
      <c r="DE1429" s="164">
        <v>1660.0000000000002</v>
      </c>
      <c r="DF1429" s="528">
        <f t="shared" si="519"/>
        <v>1660</v>
      </c>
      <c r="DG1429" s="526"/>
      <c r="DH1429" s="530">
        <f t="shared" si="520"/>
        <v>1660</v>
      </c>
    </row>
    <row r="1430" spans="108:112">
      <c r="DD1430" s="165" t="s">
        <v>712</v>
      </c>
      <c r="DE1430" s="166">
        <v>980</v>
      </c>
      <c r="DF1430" s="528">
        <f t="shared" si="519"/>
        <v>980</v>
      </c>
      <c r="DG1430" s="523"/>
      <c r="DH1430" s="530">
        <f t="shared" si="520"/>
        <v>980</v>
      </c>
    </row>
    <row r="1431" spans="108:112">
      <c r="DD1431" s="165" t="s">
        <v>713</v>
      </c>
      <c r="DE1431" s="166">
        <v>1060</v>
      </c>
      <c r="DF1431" s="528">
        <f t="shared" si="519"/>
        <v>1060</v>
      </c>
      <c r="DG1431" s="523"/>
      <c r="DH1431" s="530">
        <f t="shared" si="520"/>
        <v>1060</v>
      </c>
    </row>
    <row r="1432" spans="108:112">
      <c r="DD1432" s="165" t="s">
        <v>1298</v>
      </c>
      <c r="DE1432" s="166">
        <v>1100</v>
      </c>
      <c r="DF1432" s="528">
        <f t="shared" si="519"/>
        <v>1100</v>
      </c>
      <c r="DG1432" s="523"/>
      <c r="DH1432" s="530">
        <f t="shared" si="520"/>
        <v>1100</v>
      </c>
    </row>
    <row r="1433" spans="108:112">
      <c r="DD1433" s="165" t="s">
        <v>714</v>
      </c>
      <c r="DE1433" s="166">
        <v>1150</v>
      </c>
      <c r="DF1433" s="528">
        <f t="shared" si="519"/>
        <v>1150</v>
      </c>
      <c r="DG1433" s="523"/>
      <c r="DH1433" s="530">
        <f t="shared" si="520"/>
        <v>1150</v>
      </c>
    </row>
    <row r="1434" spans="108:112">
      <c r="DD1434" s="165" t="s">
        <v>715</v>
      </c>
      <c r="DE1434" s="166">
        <v>1230</v>
      </c>
      <c r="DF1434" s="528">
        <f t="shared" si="519"/>
        <v>1230</v>
      </c>
      <c r="DG1434" s="523"/>
      <c r="DH1434" s="530">
        <f t="shared" si="520"/>
        <v>1230</v>
      </c>
    </row>
    <row r="1435" spans="108:112">
      <c r="DD1435" s="165" t="s">
        <v>716</v>
      </c>
      <c r="DE1435" s="166">
        <v>1320</v>
      </c>
      <c r="DF1435" s="528">
        <f t="shared" si="519"/>
        <v>1320</v>
      </c>
      <c r="DG1435" s="523"/>
      <c r="DH1435" s="530">
        <f t="shared" si="520"/>
        <v>1320</v>
      </c>
    </row>
    <row r="1436" spans="108:112">
      <c r="DD1436" s="165" t="s">
        <v>717</v>
      </c>
      <c r="DE1436" s="166">
        <v>1400</v>
      </c>
      <c r="DF1436" s="528">
        <f t="shared" si="519"/>
        <v>1400</v>
      </c>
      <c r="DG1436" s="523"/>
      <c r="DH1436" s="530">
        <f t="shared" si="520"/>
        <v>1400</v>
      </c>
    </row>
    <row r="1437" spans="108:112">
      <c r="DD1437" s="165" t="s">
        <v>718</v>
      </c>
      <c r="DE1437" s="166">
        <v>1490</v>
      </c>
      <c r="DF1437" s="528">
        <f t="shared" si="519"/>
        <v>1490</v>
      </c>
      <c r="DG1437" s="523"/>
      <c r="DH1437" s="530">
        <f t="shared" si="520"/>
        <v>1490</v>
      </c>
    </row>
    <row r="1438" spans="108:112">
      <c r="DD1438" s="165" t="s">
        <v>719</v>
      </c>
      <c r="DE1438" s="166">
        <v>1570.0000000000002</v>
      </c>
      <c r="DF1438" s="528">
        <f t="shared" si="519"/>
        <v>1570</v>
      </c>
      <c r="DG1438" s="523"/>
      <c r="DH1438" s="530">
        <f t="shared" si="520"/>
        <v>1570</v>
      </c>
    </row>
    <row r="1439" spans="108:112">
      <c r="DD1439" s="108" t="s">
        <v>720</v>
      </c>
      <c r="DE1439" s="164">
        <v>1660.0000000000002</v>
      </c>
      <c r="DF1439" s="528">
        <f t="shared" si="519"/>
        <v>1660</v>
      </c>
      <c r="DG1439" s="526"/>
      <c r="DH1439" s="530">
        <f t="shared" si="520"/>
        <v>1660</v>
      </c>
    </row>
    <row r="1440" spans="108:112">
      <c r="DD1440" s="165" t="s">
        <v>1580</v>
      </c>
      <c r="DE1440" s="166">
        <v>980</v>
      </c>
      <c r="DF1440" s="528">
        <f t="shared" si="519"/>
        <v>980</v>
      </c>
      <c r="DG1440" s="523"/>
      <c r="DH1440" s="530">
        <f t="shared" si="520"/>
        <v>980</v>
      </c>
    </row>
    <row r="1441" spans="108:112">
      <c r="DD1441" s="165" t="s">
        <v>1581</v>
      </c>
      <c r="DE1441" s="166">
        <v>1060</v>
      </c>
      <c r="DF1441" s="528">
        <f t="shared" si="519"/>
        <v>1060</v>
      </c>
      <c r="DG1441" s="523"/>
      <c r="DH1441" s="530">
        <f t="shared" si="520"/>
        <v>1060</v>
      </c>
    </row>
    <row r="1442" spans="108:112">
      <c r="DD1442" s="165" t="s">
        <v>1582</v>
      </c>
      <c r="DE1442" s="166">
        <v>1100</v>
      </c>
      <c r="DF1442" s="528">
        <f t="shared" si="519"/>
        <v>1100</v>
      </c>
      <c r="DG1442" s="523"/>
      <c r="DH1442" s="530">
        <f t="shared" si="520"/>
        <v>1100</v>
      </c>
    </row>
    <row r="1443" spans="108:112">
      <c r="DD1443" s="165" t="s">
        <v>1583</v>
      </c>
      <c r="DE1443" s="166">
        <v>1150</v>
      </c>
      <c r="DF1443" s="528">
        <f t="shared" si="519"/>
        <v>1150</v>
      </c>
      <c r="DG1443" s="523"/>
      <c r="DH1443" s="530">
        <f t="shared" si="520"/>
        <v>1150</v>
      </c>
    </row>
    <row r="1444" spans="108:112">
      <c r="DD1444" s="165" t="s">
        <v>1584</v>
      </c>
      <c r="DE1444" s="166">
        <v>1230</v>
      </c>
      <c r="DF1444" s="528">
        <f t="shared" si="519"/>
        <v>1230</v>
      </c>
      <c r="DG1444" s="523"/>
      <c r="DH1444" s="530">
        <f t="shared" si="520"/>
        <v>1230</v>
      </c>
    </row>
    <row r="1445" spans="108:112">
      <c r="DD1445" s="165" t="s">
        <v>1585</v>
      </c>
      <c r="DE1445" s="166">
        <v>1320</v>
      </c>
      <c r="DF1445" s="528">
        <f t="shared" si="519"/>
        <v>1320</v>
      </c>
      <c r="DG1445" s="523"/>
      <c r="DH1445" s="530">
        <f t="shared" si="520"/>
        <v>1320</v>
      </c>
    </row>
    <row r="1446" spans="108:112">
      <c r="DD1446" s="165" t="s">
        <v>1586</v>
      </c>
      <c r="DE1446" s="166">
        <v>1400</v>
      </c>
      <c r="DF1446" s="528">
        <f t="shared" si="519"/>
        <v>1400</v>
      </c>
      <c r="DG1446" s="523"/>
      <c r="DH1446" s="530">
        <f t="shared" si="520"/>
        <v>1400</v>
      </c>
    </row>
    <row r="1447" spans="108:112">
      <c r="DD1447" s="165" t="s">
        <v>1587</v>
      </c>
      <c r="DE1447" s="166">
        <v>1490</v>
      </c>
      <c r="DF1447" s="528">
        <f t="shared" si="519"/>
        <v>1490</v>
      </c>
      <c r="DG1447" s="523"/>
      <c r="DH1447" s="530">
        <f t="shared" si="520"/>
        <v>1490</v>
      </c>
    </row>
    <row r="1448" spans="108:112">
      <c r="DD1448" s="165" t="s">
        <v>1588</v>
      </c>
      <c r="DE1448" s="166">
        <v>1570.0000000000002</v>
      </c>
      <c r="DF1448" s="528">
        <f t="shared" si="519"/>
        <v>1570</v>
      </c>
      <c r="DG1448" s="523"/>
      <c r="DH1448" s="530">
        <f t="shared" si="520"/>
        <v>1570</v>
      </c>
    </row>
    <row r="1449" spans="108:112">
      <c r="DD1449" s="108" t="s">
        <v>1589</v>
      </c>
      <c r="DE1449" s="164">
        <v>1660.0000000000002</v>
      </c>
      <c r="DF1449" s="528">
        <f t="shared" si="519"/>
        <v>1660</v>
      </c>
      <c r="DG1449" s="526"/>
      <c r="DH1449" s="530">
        <f t="shared" si="520"/>
        <v>1660</v>
      </c>
    </row>
    <row r="1450" spans="108:112">
      <c r="DD1450" s="165" t="s">
        <v>2043</v>
      </c>
      <c r="DE1450" s="166">
        <v>1130</v>
      </c>
      <c r="DF1450" s="528">
        <f t="shared" si="519"/>
        <v>1130</v>
      </c>
      <c r="DG1450" s="523"/>
      <c r="DH1450" s="530">
        <f t="shared" si="520"/>
        <v>1130</v>
      </c>
    </row>
    <row r="1451" spans="108:112">
      <c r="DD1451" s="165" t="s">
        <v>2044</v>
      </c>
      <c r="DE1451" s="166">
        <v>1220</v>
      </c>
      <c r="DF1451" s="528">
        <f t="shared" si="519"/>
        <v>1220</v>
      </c>
      <c r="DG1451" s="523"/>
      <c r="DH1451" s="530">
        <f t="shared" si="520"/>
        <v>1220</v>
      </c>
    </row>
    <row r="1452" spans="108:112">
      <c r="DD1452" s="165" t="s">
        <v>2045</v>
      </c>
      <c r="DE1452" s="166">
        <v>1270.0000000000002</v>
      </c>
      <c r="DF1452" s="528">
        <f t="shared" si="519"/>
        <v>1270</v>
      </c>
      <c r="DG1452" s="523"/>
      <c r="DH1452" s="530">
        <f t="shared" si="520"/>
        <v>1270</v>
      </c>
    </row>
    <row r="1453" spans="108:112">
      <c r="DD1453" s="165" t="s">
        <v>2046</v>
      </c>
      <c r="DE1453" s="166">
        <v>1320</v>
      </c>
      <c r="DF1453" s="528">
        <f t="shared" si="519"/>
        <v>1320</v>
      </c>
      <c r="DG1453" s="523"/>
      <c r="DH1453" s="530">
        <f t="shared" si="520"/>
        <v>1320</v>
      </c>
    </row>
    <row r="1454" spans="108:112">
      <c r="DD1454" s="165" t="s">
        <v>2047</v>
      </c>
      <c r="DE1454" s="166">
        <v>1410</v>
      </c>
      <c r="DF1454" s="528">
        <f t="shared" si="519"/>
        <v>1410</v>
      </c>
      <c r="DG1454" s="523"/>
      <c r="DH1454" s="530">
        <f t="shared" si="520"/>
        <v>1410</v>
      </c>
    </row>
    <row r="1455" spans="108:112">
      <c r="DD1455" s="165" t="s">
        <v>2048</v>
      </c>
      <c r="DE1455" s="166">
        <v>1530</v>
      </c>
      <c r="DF1455" s="528">
        <f t="shared" si="519"/>
        <v>1530</v>
      </c>
      <c r="DG1455" s="523"/>
      <c r="DH1455" s="530">
        <f t="shared" si="520"/>
        <v>1530</v>
      </c>
    </row>
    <row r="1456" spans="108:112">
      <c r="DD1456" s="165" t="s">
        <v>2049</v>
      </c>
      <c r="DE1456" s="166">
        <v>1630.0000000000002</v>
      </c>
      <c r="DF1456" s="528">
        <f t="shared" si="519"/>
        <v>1630</v>
      </c>
      <c r="DG1456" s="523"/>
      <c r="DH1456" s="530">
        <f t="shared" si="520"/>
        <v>1630</v>
      </c>
    </row>
    <row r="1457" spans="108:112">
      <c r="DD1457" s="165" t="s">
        <v>2050</v>
      </c>
      <c r="DE1457" s="166">
        <v>1720.0000000000002</v>
      </c>
      <c r="DF1457" s="528">
        <f t="shared" si="519"/>
        <v>1720</v>
      </c>
      <c r="DG1457" s="523"/>
      <c r="DH1457" s="530">
        <f t="shared" si="520"/>
        <v>1720</v>
      </c>
    </row>
    <row r="1458" spans="108:112">
      <c r="DD1458" s="165" t="s">
        <v>2051</v>
      </c>
      <c r="DE1458" s="166">
        <v>1810.0000000000002</v>
      </c>
      <c r="DF1458" s="528">
        <f t="shared" si="519"/>
        <v>1810</v>
      </c>
      <c r="DG1458" s="523"/>
      <c r="DH1458" s="530">
        <f t="shared" si="520"/>
        <v>1810</v>
      </c>
    </row>
    <row r="1459" spans="108:112">
      <c r="DD1459" s="108" t="s">
        <v>2052</v>
      </c>
      <c r="DE1459" s="164">
        <v>1910</v>
      </c>
      <c r="DF1459" s="528">
        <f t="shared" si="519"/>
        <v>1910</v>
      </c>
      <c r="DG1459" s="526"/>
      <c r="DH1459" s="530">
        <f t="shared" si="520"/>
        <v>1910</v>
      </c>
    </row>
    <row r="1460" spans="108:112">
      <c r="DD1460" s="165" t="s">
        <v>450</v>
      </c>
      <c r="DE1460" s="166">
        <v>1190</v>
      </c>
      <c r="DF1460" s="528">
        <f t="shared" si="519"/>
        <v>1190</v>
      </c>
      <c r="DG1460" s="523"/>
      <c r="DH1460" s="530">
        <f t="shared" si="520"/>
        <v>1190</v>
      </c>
    </row>
    <row r="1461" spans="108:112">
      <c r="DD1461" s="165" t="s">
        <v>451</v>
      </c>
      <c r="DE1461" s="166">
        <v>1310</v>
      </c>
      <c r="DF1461" s="528">
        <f t="shared" si="519"/>
        <v>1310</v>
      </c>
      <c r="DG1461" s="523"/>
      <c r="DH1461" s="530">
        <f t="shared" si="520"/>
        <v>1310</v>
      </c>
    </row>
    <row r="1462" spans="108:112">
      <c r="DD1462" s="165" t="s">
        <v>1299</v>
      </c>
      <c r="DE1462" s="166">
        <v>1360.0000000000002</v>
      </c>
      <c r="DF1462" s="528">
        <f t="shared" si="519"/>
        <v>1360</v>
      </c>
      <c r="DG1462" s="523"/>
      <c r="DH1462" s="530">
        <f t="shared" si="520"/>
        <v>1360</v>
      </c>
    </row>
    <row r="1463" spans="108:112">
      <c r="DD1463" s="165" t="s">
        <v>621</v>
      </c>
      <c r="DE1463" s="166">
        <v>1410</v>
      </c>
      <c r="DF1463" s="528">
        <f t="shared" si="519"/>
        <v>1410</v>
      </c>
      <c r="DG1463" s="523"/>
      <c r="DH1463" s="530">
        <f t="shared" si="520"/>
        <v>1410</v>
      </c>
    </row>
    <row r="1464" spans="108:112">
      <c r="DD1464" s="165" t="s">
        <v>622</v>
      </c>
      <c r="DE1464" s="166">
        <v>1530</v>
      </c>
      <c r="DF1464" s="528">
        <f t="shared" si="519"/>
        <v>1530</v>
      </c>
      <c r="DG1464" s="523"/>
      <c r="DH1464" s="530">
        <f t="shared" si="520"/>
        <v>1530</v>
      </c>
    </row>
    <row r="1465" spans="108:112">
      <c r="DD1465" s="165" t="s">
        <v>623</v>
      </c>
      <c r="DE1465" s="166">
        <v>1650</v>
      </c>
      <c r="DF1465" s="528">
        <f t="shared" si="519"/>
        <v>1650</v>
      </c>
      <c r="DG1465" s="523"/>
      <c r="DH1465" s="530">
        <f t="shared" si="520"/>
        <v>1650</v>
      </c>
    </row>
    <row r="1466" spans="108:112">
      <c r="DD1466" s="165" t="s">
        <v>624</v>
      </c>
      <c r="DE1466" s="166">
        <v>1750.0000000000002</v>
      </c>
      <c r="DF1466" s="528">
        <f t="shared" si="519"/>
        <v>1750</v>
      </c>
      <c r="DG1466" s="523"/>
      <c r="DH1466" s="530">
        <f t="shared" si="520"/>
        <v>1750</v>
      </c>
    </row>
    <row r="1467" spans="108:112">
      <c r="DD1467" s="165" t="s">
        <v>625</v>
      </c>
      <c r="DE1467" s="166">
        <v>1880</v>
      </c>
      <c r="DF1467" s="528">
        <f t="shared" si="519"/>
        <v>1880</v>
      </c>
      <c r="DG1467" s="523"/>
      <c r="DH1467" s="530">
        <f t="shared" si="520"/>
        <v>1880</v>
      </c>
    </row>
    <row r="1468" spans="108:112">
      <c r="DD1468" s="165" t="s">
        <v>626</v>
      </c>
      <c r="DE1468" s="166">
        <v>1980</v>
      </c>
      <c r="DF1468" s="528">
        <f t="shared" si="519"/>
        <v>1980</v>
      </c>
      <c r="DG1468" s="523"/>
      <c r="DH1468" s="530">
        <f t="shared" si="520"/>
        <v>1980</v>
      </c>
    </row>
    <row r="1469" spans="108:112">
      <c r="DD1469" s="108" t="s">
        <v>627</v>
      </c>
      <c r="DE1469" s="164">
        <v>2090</v>
      </c>
      <c r="DF1469" s="528">
        <f t="shared" si="519"/>
        <v>2090</v>
      </c>
      <c r="DG1469" s="526"/>
      <c r="DH1469" s="530">
        <f t="shared" si="520"/>
        <v>2090</v>
      </c>
    </row>
    <row r="1470" spans="108:112">
      <c r="DD1470" s="165" t="s">
        <v>111</v>
      </c>
      <c r="DE1470" s="166">
        <v>1260</v>
      </c>
      <c r="DF1470" s="528">
        <f t="shared" si="519"/>
        <v>1260</v>
      </c>
      <c r="DG1470" s="523"/>
      <c r="DH1470" s="530">
        <f t="shared" si="520"/>
        <v>1260</v>
      </c>
    </row>
    <row r="1471" spans="108:112">
      <c r="DD1471" s="165" t="s">
        <v>112</v>
      </c>
      <c r="DE1471" s="166">
        <v>1370</v>
      </c>
      <c r="DF1471" s="528">
        <f t="shared" si="519"/>
        <v>1370</v>
      </c>
      <c r="DG1471" s="523"/>
      <c r="DH1471" s="530">
        <f t="shared" si="520"/>
        <v>1370</v>
      </c>
    </row>
    <row r="1472" spans="108:112">
      <c r="DD1472" s="165" t="s">
        <v>1300</v>
      </c>
      <c r="DE1472" s="166">
        <v>1430</v>
      </c>
      <c r="DF1472" s="528">
        <f t="shared" si="519"/>
        <v>1430</v>
      </c>
      <c r="DG1472" s="523"/>
      <c r="DH1472" s="530">
        <f t="shared" si="520"/>
        <v>1430</v>
      </c>
    </row>
    <row r="1473" spans="108:112">
      <c r="DD1473" s="165" t="s">
        <v>113</v>
      </c>
      <c r="DE1473" s="166">
        <v>1490</v>
      </c>
      <c r="DF1473" s="528">
        <f t="shared" si="519"/>
        <v>1490</v>
      </c>
      <c r="DG1473" s="523"/>
      <c r="DH1473" s="530">
        <f t="shared" si="520"/>
        <v>1490</v>
      </c>
    </row>
    <row r="1474" spans="108:112">
      <c r="DD1474" s="165" t="s">
        <v>395</v>
      </c>
      <c r="DE1474" s="166">
        <v>1610</v>
      </c>
      <c r="DF1474" s="528">
        <f t="shared" si="519"/>
        <v>1610</v>
      </c>
      <c r="DG1474" s="523"/>
      <c r="DH1474" s="530">
        <f t="shared" si="520"/>
        <v>1610</v>
      </c>
    </row>
    <row r="1475" spans="108:112">
      <c r="DD1475" s="165" t="s">
        <v>396</v>
      </c>
      <c r="DE1475" s="166">
        <v>1720.0000000000002</v>
      </c>
      <c r="DF1475" s="528">
        <f t="shared" ref="DF1475:DF1499" si="521">ROUND(((DE1475-(DE1475/6))/$DD$3)*$DE$3,2)</f>
        <v>1720</v>
      </c>
      <c r="DG1475" s="523"/>
      <c r="DH1475" s="530">
        <f t="shared" ref="DH1475:DH1499" si="522">IF(DG1475="",DF1475,
IF(AND($DE$10&gt;=VLOOKUP(DG1475,$DD$5:$DH$9,2,0),$DE$10&lt;=VLOOKUP(DG1475,$DD$5:$DH$9,3,0)),
(DF1475*(1-VLOOKUP(DG1475,$DD$5:$DH$9,4,0))),
DF1475))</f>
        <v>1720</v>
      </c>
    </row>
    <row r="1476" spans="108:112">
      <c r="DD1476" s="165" t="s">
        <v>397</v>
      </c>
      <c r="DE1476" s="166">
        <v>1830</v>
      </c>
      <c r="DF1476" s="528">
        <f t="shared" si="521"/>
        <v>1830</v>
      </c>
      <c r="DG1476" s="523"/>
      <c r="DH1476" s="530">
        <f t="shared" si="522"/>
        <v>1830</v>
      </c>
    </row>
    <row r="1477" spans="108:112">
      <c r="DD1477" s="165" t="s">
        <v>398</v>
      </c>
      <c r="DE1477" s="166">
        <v>1940</v>
      </c>
      <c r="DF1477" s="528">
        <f t="shared" si="521"/>
        <v>1940</v>
      </c>
      <c r="DG1477" s="523"/>
      <c r="DH1477" s="530">
        <f t="shared" si="522"/>
        <v>1940</v>
      </c>
    </row>
    <row r="1478" spans="108:112">
      <c r="DD1478" s="165" t="s">
        <v>399</v>
      </c>
      <c r="DE1478" s="166">
        <v>2060</v>
      </c>
      <c r="DF1478" s="528">
        <f t="shared" si="521"/>
        <v>2060</v>
      </c>
      <c r="DG1478" s="523"/>
      <c r="DH1478" s="530">
        <f t="shared" si="522"/>
        <v>2060</v>
      </c>
    </row>
    <row r="1479" spans="108:112">
      <c r="DD1479" s="108" t="s">
        <v>400</v>
      </c>
      <c r="DE1479" s="164">
        <v>2170</v>
      </c>
      <c r="DF1479" s="528">
        <f t="shared" si="521"/>
        <v>2170</v>
      </c>
      <c r="DG1479" s="526"/>
      <c r="DH1479" s="530">
        <f t="shared" si="522"/>
        <v>2170</v>
      </c>
    </row>
    <row r="1480" spans="108:112">
      <c r="DD1480" s="738" t="s">
        <v>5365</v>
      </c>
      <c r="DE1480" s="166">
        <v>1350</v>
      </c>
      <c r="DF1480" s="528">
        <f t="shared" si="521"/>
        <v>1350</v>
      </c>
      <c r="DG1480" s="523"/>
      <c r="DH1480" s="530">
        <f t="shared" si="522"/>
        <v>1350</v>
      </c>
    </row>
    <row r="1481" spans="108:112">
      <c r="DD1481" s="738" t="s">
        <v>5366</v>
      </c>
      <c r="DE1481" s="166">
        <v>1480.0000000000002</v>
      </c>
      <c r="DF1481" s="528">
        <f t="shared" si="521"/>
        <v>1480</v>
      </c>
      <c r="DG1481" s="523"/>
      <c r="DH1481" s="530">
        <f t="shared" si="522"/>
        <v>1480</v>
      </c>
    </row>
    <row r="1482" spans="108:112">
      <c r="DD1482" s="738" t="s">
        <v>5367</v>
      </c>
      <c r="DE1482" s="166">
        <v>1550</v>
      </c>
      <c r="DF1482" s="528">
        <f t="shared" si="521"/>
        <v>1550</v>
      </c>
      <c r="DG1482" s="523"/>
      <c r="DH1482" s="530">
        <f t="shared" si="522"/>
        <v>1550</v>
      </c>
    </row>
    <row r="1483" spans="108:112">
      <c r="DD1483" s="738" t="s">
        <v>5368</v>
      </c>
      <c r="DE1483" s="166">
        <v>1590</v>
      </c>
      <c r="DF1483" s="528">
        <f t="shared" si="521"/>
        <v>1590</v>
      </c>
      <c r="DG1483" s="523"/>
      <c r="DH1483" s="530">
        <f t="shared" si="522"/>
        <v>1590</v>
      </c>
    </row>
    <row r="1484" spans="108:112">
      <c r="DD1484" s="738" t="s">
        <v>5369</v>
      </c>
      <c r="DE1484" s="166">
        <v>1730</v>
      </c>
      <c r="DF1484" s="528">
        <f t="shared" si="521"/>
        <v>1730</v>
      </c>
      <c r="DG1484" s="523"/>
      <c r="DH1484" s="530">
        <f t="shared" si="522"/>
        <v>1730</v>
      </c>
    </row>
    <row r="1485" spans="108:112">
      <c r="DD1485" s="738" t="s">
        <v>5370</v>
      </c>
      <c r="DE1485" s="166">
        <v>1850</v>
      </c>
      <c r="DF1485" s="528">
        <f t="shared" si="521"/>
        <v>1850</v>
      </c>
      <c r="DG1485" s="523"/>
      <c r="DH1485" s="530">
        <f t="shared" si="522"/>
        <v>1850</v>
      </c>
    </row>
    <row r="1486" spans="108:112">
      <c r="DD1486" s="738" t="s">
        <v>5371</v>
      </c>
      <c r="DE1486" s="166">
        <v>1980</v>
      </c>
      <c r="DF1486" s="528">
        <f t="shared" si="521"/>
        <v>1980</v>
      </c>
      <c r="DG1486" s="523"/>
      <c r="DH1486" s="530">
        <f t="shared" si="522"/>
        <v>1980</v>
      </c>
    </row>
    <row r="1487" spans="108:112">
      <c r="DD1487" s="738" t="s">
        <v>5372</v>
      </c>
      <c r="DE1487" s="166">
        <v>2100</v>
      </c>
      <c r="DF1487" s="528">
        <f t="shared" si="521"/>
        <v>2100</v>
      </c>
      <c r="DG1487" s="523"/>
      <c r="DH1487" s="530">
        <f t="shared" si="522"/>
        <v>2100</v>
      </c>
    </row>
    <row r="1488" spans="108:112">
      <c r="DD1488" s="738" t="s">
        <v>5373</v>
      </c>
      <c r="DE1488" s="166">
        <v>2240</v>
      </c>
      <c r="DF1488" s="528">
        <f t="shared" si="521"/>
        <v>2240</v>
      </c>
      <c r="DG1488" s="523"/>
      <c r="DH1488" s="530">
        <f t="shared" si="522"/>
        <v>2240</v>
      </c>
    </row>
    <row r="1489" spans="108:112">
      <c r="DD1489" s="739" t="s">
        <v>5374</v>
      </c>
      <c r="DE1489" s="164">
        <v>2361</v>
      </c>
      <c r="DF1489" s="528">
        <f t="shared" si="521"/>
        <v>2361</v>
      </c>
      <c r="DG1489" s="526"/>
      <c r="DH1489" s="530">
        <f t="shared" si="522"/>
        <v>2361</v>
      </c>
    </row>
    <row r="1490" spans="108:112">
      <c r="DD1490" s="165" t="s">
        <v>1871</v>
      </c>
      <c r="DE1490" s="166">
        <v>1350</v>
      </c>
      <c r="DF1490" s="528">
        <f t="shared" si="521"/>
        <v>1350</v>
      </c>
      <c r="DG1490" s="523"/>
      <c r="DH1490" s="530">
        <f t="shared" si="522"/>
        <v>1350</v>
      </c>
    </row>
    <row r="1491" spans="108:112">
      <c r="DD1491" s="165" t="s">
        <v>1872</v>
      </c>
      <c r="DE1491" s="166">
        <v>1480.0000000000002</v>
      </c>
      <c r="DF1491" s="528">
        <f t="shared" si="521"/>
        <v>1480</v>
      </c>
      <c r="DG1491" s="523"/>
      <c r="DH1491" s="530">
        <f t="shared" si="522"/>
        <v>1480</v>
      </c>
    </row>
    <row r="1492" spans="108:112">
      <c r="DD1492" s="165" t="s">
        <v>1873</v>
      </c>
      <c r="DE1492" s="166">
        <v>1550</v>
      </c>
      <c r="DF1492" s="528">
        <f t="shared" si="521"/>
        <v>1550</v>
      </c>
      <c r="DG1492" s="523"/>
      <c r="DH1492" s="530">
        <f t="shared" si="522"/>
        <v>1550</v>
      </c>
    </row>
    <row r="1493" spans="108:112">
      <c r="DD1493" s="165" t="s">
        <v>1874</v>
      </c>
      <c r="DE1493" s="166">
        <v>1590</v>
      </c>
      <c r="DF1493" s="528">
        <f t="shared" si="521"/>
        <v>1590</v>
      </c>
      <c r="DG1493" s="523"/>
      <c r="DH1493" s="530">
        <f t="shared" si="522"/>
        <v>1590</v>
      </c>
    </row>
    <row r="1494" spans="108:112">
      <c r="DD1494" s="165" t="s">
        <v>1875</v>
      </c>
      <c r="DE1494" s="166">
        <v>1730</v>
      </c>
      <c r="DF1494" s="528">
        <f t="shared" si="521"/>
        <v>1730</v>
      </c>
      <c r="DG1494" s="523"/>
      <c r="DH1494" s="530">
        <f t="shared" si="522"/>
        <v>1730</v>
      </c>
    </row>
    <row r="1495" spans="108:112">
      <c r="DD1495" s="165" t="s">
        <v>1876</v>
      </c>
      <c r="DE1495" s="166">
        <v>1850</v>
      </c>
      <c r="DF1495" s="528">
        <f t="shared" si="521"/>
        <v>1850</v>
      </c>
      <c r="DG1495" s="523"/>
      <c r="DH1495" s="530">
        <f t="shared" si="522"/>
        <v>1850</v>
      </c>
    </row>
    <row r="1496" spans="108:112">
      <c r="DD1496" s="165" t="s">
        <v>1877</v>
      </c>
      <c r="DE1496" s="166">
        <v>1980</v>
      </c>
      <c r="DF1496" s="528">
        <f t="shared" si="521"/>
        <v>1980</v>
      </c>
      <c r="DG1496" s="523"/>
      <c r="DH1496" s="530">
        <f t="shared" si="522"/>
        <v>1980</v>
      </c>
    </row>
    <row r="1497" spans="108:112">
      <c r="DD1497" s="165" t="s">
        <v>1878</v>
      </c>
      <c r="DE1497" s="166">
        <v>2100</v>
      </c>
      <c r="DF1497" s="528">
        <f t="shared" si="521"/>
        <v>2100</v>
      </c>
      <c r="DG1497" s="523"/>
      <c r="DH1497" s="530">
        <f t="shared" si="522"/>
        <v>2100</v>
      </c>
    </row>
    <row r="1498" spans="108:112">
      <c r="DD1498" s="165" t="s">
        <v>1879</v>
      </c>
      <c r="DE1498" s="166">
        <v>2240</v>
      </c>
      <c r="DF1498" s="528">
        <f t="shared" si="521"/>
        <v>2240</v>
      </c>
      <c r="DG1498" s="523"/>
      <c r="DH1498" s="530">
        <f t="shared" si="522"/>
        <v>2240</v>
      </c>
    </row>
    <row r="1499" spans="108:112">
      <c r="DD1499" s="108" t="s">
        <v>1880</v>
      </c>
      <c r="DE1499" s="164">
        <v>2361</v>
      </c>
      <c r="DF1499" s="528">
        <f t="shared" si="521"/>
        <v>2361</v>
      </c>
      <c r="DG1499" s="526"/>
      <c r="DH1499" s="530">
        <f t="shared" si="522"/>
        <v>2361</v>
      </c>
    </row>
    <row r="1500" spans="108:112">
      <c r="DD1500" s="641"/>
      <c r="DE1500" s="642"/>
      <c r="DF1500" s="643"/>
      <c r="DG1500" s="644"/>
      <c r="DH1500" s="645"/>
    </row>
    <row r="1501" spans="108:112">
      <c r="DD1501" s="60"/>
      <c r="DE1501" s="105"/>
      <c r="DF1501" s="403"/>
      <c r="DG1501" s="514"/>
      <c r="DH1501" s="511"/>
    </row>
    <row r="1502" spans="108:112">
      <c r="DD1502" s="631"/>
      <c r="DE1502" s="632"/>
      <c r="DF1502" s="633"/>
      <c r="DG1502" s="634"/>
      <c r="DH1502" s="635"/>
    </row>
    <row r="1503" spans="108:112">
      <c r="DD1503" s="162"/>
      <c r="DE1503" s="163"/>
      <c r="DF1503" s="528"/>
      <c r="DG1503" s="529"/>
      <c r="DH1503" s="530"/>
    </row>
    <row r="1504" spans="108:112">
      <c r="DD1504" s="736" t="s">
        <v>5972</v>
      </c>
      <c r="DE1504" s="105">
        <v>510</v>
      </c>
      <c r="DF1504" s="403">
        <f t="shared" ref="DF1504:DF1547" si="523">ROUND(((DE1504-(DE1504/6))/$DD$3)*$DE$3,2)</f>
        <v>510</v>
      </c>
      <c r="DG1504" s="514"/>
      <c r="DH1504" s="511">
        <f t="shared" ref="DH1504:DH1547" si="524">IF(DG1504="",DF1504,
IF(AND($DE$10&gt;=VLOOKUP(DG1504,$DD$5:$DH$9,2,0),$DE$10&lt;=VLOOKUP(DG1504,$DD$5:$DH$9,3,0)),
(DF1504*(1-VLOOKUP(DG1504,$DD$5:$DH$9,4,0))),
DF1504))</f>
        <v>510</v>
      </c>
    </row>
    <row r="1505" spans="108:112">
      <c r="DD1505" s="736" t="s">
        <v>5973</v>
      </c>
      <c r="DE1505" s="105">
        <v>510</v>
      </c>
      <c r="DF1505" s="403">
        <f t="shared" si="523"/>
        <v>510</v>
      </c>
      <c r="DG1505" s="514"/>
      <c r="DH1505" s="511">
        <f t="shared" si="524"/>
        <v>510</v>
      </c>
    </row>
    <row r="1506" spans="108:112">
      <c r="DD1506" s="736" t="s">
        <v>5974</v>
      </c>
      <c r="DE1506" s="105">
        <v>510</v>
      </c>
      <c r="DF1506" s="403">
        <f t="shared" si="523"/>
        <v>510</v>
      </c>
      <c r="DG1506" s="514"/>
      <c r="DH1506" s="511">
        <f t="shared" si="524"/>
        <v>510</v>
      </c>
    </row>
    <row r="1507" spans="108:112">
      <c r="DD1507" s="736" t="s">
        <v>5975</v>
      </c>
      <c r="DE1507" s="105">
        <v>590</v>
      </c>
      <c r="DF1507" s="403">
        <f t="shared" si="523"/>
        <v>590</v>
      </c>
      <c r="DG1507" s="514"/>
      <c r="DH1507" s="511">
        <f t="shared" si="524"/>
        <v>590</v>
      </c>
    </row>
    <row r="1508" spans="108:112">
      <c r="DD1508" s="736" t="s">
        <v>5976</v>
      </c>
      <c r="DE1508" s="105">
        <v>690</v>
      </c>
      <c r="DF1508" s="403">
        <f t="shared" si="523"/>
        <v>690</v>
      </c>
      <c r="DG1508" s="514"/>
      <c r="DH1508" s="511">
        <f t="shared" si="524"/>
        <v>690</v>
      </c>
    </row>
    <row r="1509" spans="108:112">
      <c r="DD1509" s="736" t="s">
        <v>5977</v>
      </c>
      <c r="DE1509" s="105">
        <v>790</v>
      </c>
      <c r="DF1509" s="403">
        <f t="shared" si="523"/>
        <v>790</v>
      </c>
      <c r="DG1509" s="514"/>
      <c r="DH1509" s="511">
        <f t="shared" si="524"/>
        <v>790</v>
      </c>
    </row>
    <row r="1510" spans="108:112">
      <c r="DD1510" s="736" t="s">
        <v>5978</v>
      </c>
      <c r="DE1510" s="105">
        <v>860.00000000000011</v>
      </c>
      <c r="DF1510" s="403">
        <f t="shared" si="523"/>
        <v>860</v>
      </c>
      <c r="DG1510" s="514"/>
      <c r="DH1510" s="511">
        <f t="shared" si="524"/>
        <v>860</v>
      </c>
    </row>
    <row r="1511" spans="108:112">
      <c r="DD1511" s="736" t="s">
        <v>5979</v>
      </c>
      <c r="DE1511" s="105">
        <v>860.00000000000011</v>
      </c>
      <c r="DF1511" s="403">
        <f t="shared" si="523"/>
        <v>860</v>
      </c>
      <c r="DG1511" s="514"/>
      <c r="DH1511" s="511">
        <f t="shared" si="524"/>
        <v>860</v>
      </c>
    </row>
    <row r="1512" spans="108:112">
      <c r="DD1512" s="641"/>
      <c r="DE1512" s="642"/>
      <c r="DF1512" s="643"/>
      <c r="DG1512" s="644"/>
      <c r="DH1512" s="645"/>
    </row>
    <row r="1513" spans="108:112">
      <c r="DD1513" s="736" t="s">
        <v>5980</v>
      </c>
      <c r="DE1513" s="105">
        <v>600</v>
      </c>
      <c r="DF1513" s="403">
        <f t="shared" si="523"/>
        <v>600</v>
      </c>
      <c r="DG1513" s="514"/>
      <c r="DH1513" s="511">
        <f t="shared" si="524"/>
        <v>600</v>
      </c>
    </row>
    <row r="1514" spans="108:112">
      <c r="DD1514" s="736" t="s">
        <v>5981</v>
      </c>
      <c r="DE1514" s="105">
        <v>600</v>
      </c>
      <c r="DF1514" s="403">
        <f t="shared" si="523"/>
        <v>600</v>
      </c>
      <c r="DG1514" s="514"/>
      <c r="DH1514" s="511">
        <f t="shared" si="524"/>
        <v>600</v>
      </c>
    </row>
    <row r="1515" spans="108:112">
      <c r="DD1515" s="736" t="s">
        <v>5982</v>
      </c>
      <c r="DE1515" s="105">
        <v>600</v>
      </c>
      <c r="DF1515" s="403">
        <f t="shared" si="523"/>
        <v>600</v>
      </c>
      <c r="DG1515" s="514"/>
      <c r="DH1515" s="511">
        <f t="shared" si="524"/>
        <v>600</v>
      </c>
    </row>
    <row r="1516" spans="108:112">
      <c r="DD1516" s="736" t="s">
        <v>5983</v>
      </c>
      <c r="DE1516" s="105">
        <v>700</v>
      </c>
      <c r="DF1516" s="403">
        <f t="shared" si="523"/>
        <v>700</v>
      </c>
      <c r="DG1516" s="514"/>
      <c r="DH1516" s="511">
        <f t="shared" si="524"/>
        <v>700</v>
      </c>
    </row>
    <row r="1517" spans="108:112">
      <c r="DD1517" s="736" t="s">
        <v>5984</v>
      </c>
      <c r="DE1517" s="105">
        <v>850</v>
      </c>
      <c r="DF1517" s="403">
        <f t="shared" si="523"/>
        <v>850</v>
      </c>
      <c r="DG1517" s="514"/>
      <c r="DH1517" s="511">
        <f t="shared" si="524"/>
        <v>850</v>
      </c>
    </row>
    <row r="1518" spans="108:112">
      <c r="DD1518" s="736" t="s">
        <v>5985</v>
      </c>
      <c r="DE1518" s="105">
        <v>970</v>
      </c>
      <c r="DF1518" s="403">
        <f t="shared" si="523"/>
        <v>970</v>
      </c>
      <c r="DG1518" s="514"/>
      <c r="DH1518" s="511">
        <f t="shared" si="524"/>
        <v>970</v>
      </c>
    </row>
    <row r="1519" spans="108:112">
      <c r="DD1519" s="736" t="s">
        <v>5986</v>
      </c>
      <c r="DE1519" s="105">
        <v>1040</v>
      </c>
      <c r="DF1519" s="403">
        <f t="shared" si="523"/>
        <v>1040</v>
      </c>
      <c r="DG1519" s="514"/>
      <c r="DH1519" s="511">
        <f t="shared" si="524"/>
        <v>1040</v>
      </c>
    </row>
    <row r="1520" spans="108:112">
      <c r="DD1520" s="736" t="s">
        <v>5987</v>
      </c>
      <c r="DE1520" s="105">
        <v>1040</v>
      </c>
      <c r="DF1520" s="403">
        <f t="shared" si="523"/>
        <v>1040</v>
      </c>
      <c r="DG1520" s="514"/>
      <c r="DH1520" s="511">
        <f t="shared" si="524"/>
        <v>1040</v>
      </c>
    </row>
    <row r="1521" spans="108:112">
      <c r="DD1521" s="641"/>
      <c r="DE1521" s="642"/>
      <c r="DF1521" s="643"/>
      <c r="DG1521" s="644"/>
      <c r="DH1521" s="645"/>
    </row>
    <row r="1522" spans="108:112">
      <c r="DD1522" s="736" t="s">
        <v>5060</v>
      </c>
      <c r="DE1522" s="105">
        <v>510</v>
      </c>
      <c r="DF1522" s="403">
        <f t="shared" si="523"/>
        <v>510</v>
      </c>
      <c r="DG1522" s="514"/>
      <c r="DH1522" s="511">
        <f t="shared" si="524"/>
        <v>510</v>
      </c>
    </row>
    <row r="1523" spans="108:112">
      <c r="DD1523" s="60" t="s">
        <v>2149</v>
      </c>
      <c r="DE1523" s="105">
        <v>510</v>
      </c>
      <c r="DF1523" s="403">
        <f t="shared" si="523"/>
        <v>510</v>
      </c>
      <c r="DG1523" s="514"/>
      <c r="DH1523" s="511">
        <f t="shared" si="524"/>
        <v>510</v>
      </c>
    </row>
    <row r="1524" spans="108:112">
      <c r="DD1524" s="60" t="s">
        <v>2150</v>
      </c>
      <c r="DE1524" s="105">
        <v>510</v>
      </c>
      <c r="DF1524" s="403">
        <f t="shared" si="523"/>
        <v>510</v>
      </c>
      <c r="DG1524" s="514"/>
      <c r="DH1524" s="511">
        <f t="shared" si="524"/>
        <v>510</v>
      </c>
    </row>
    <row r="1525" spans="108:112">
      <c r="DD1525" s="60" t="s">
        <v>2151</v>
      </c>
      <c r="DE1525" s="105">
        <v>590</v>
      </c>
      <c r="DF1525" s="403">
        <f t="shared" si="523"/>
        <v>590</v>
      </c>
      <c r="DG1525" s="514"/>
      <c r="DH1525" s="511">
        <f t="shared" si="524"/>
        <v>590</v>
      </c>
    </row>
    <row r="1526" spans="108:112">
      <c r="DD1526" s="60" t="s">
        <v>2152</v>
      </c>
      <c r="DE1526" s="105">
        <v>690</v>
      </c>
      <c r="DF1526" s="403">
        <f t="shared" si="523"/>
        <v>690</v>
      </c>
      <c r="DG1526" s="514"/>
      <c r="DH1526" s="511">
        <f t="shared" si="524"/>
        <v>690</v>
      </c>
    </row>
    <row r="1527" spans="108:112">
      <c r="DD1527" s="60" t="s">
        <v>2153</v>
      </c>
      <c r="DE1527" s="105">
        <v>790</v>
      </c>
      <c r="DF1527" s="403">
        <f t="shared" si="523"/>
        <v>790</v>
      </c>
      <c r="DG1527" s="514"/>
      <c r="DH1527" s="511">
        <f t="shared" si="524"/>
        <v>790</v>
      </c>
    </row>
    <row r="1528" spans="108:112">
      <c r="DD1528" s="736" t="s">
        <v>5375</v>
      </c>
      <c r="DE1528" s="105">
        <v>860.00000000000011</v>
      </c>
      <c r="DF1528" s="403">
        <f t="shared" si="523"/>
        <v>860</v>
      </c>
      <c r="DG1528" s="514"/>
      <c r="DH1528" s="511">
        <f t="shared" si="524"/>
        <v>860</v>
      </c>
    </row>
    <row r="1529" spans="108:112">
      <c r="DD1529" s="60" t="s">
        <v>2154</v>
      </c>
      <c r="DE1529" s="105">
        <v>860.00000000000011</v>
      </c>
      <c r="DF1529" s="403">
        <f t="shared" si="523"/>
        <v>860</v>
      </c>
      <c r="DG1529" s="514"/>
      <c r="DH1529" s="511">
        <f t="shared" si="524"/>
        <v>860</v>
      </c>
    </row>
    <row r="1530" spans="108:112">
      <c r="DD1530" s="641"/>
      <c r="DE1530" s="642"/>
      <c r="DF1530" s="643"/>
      <c r="DG1530" s="644"/>
      <c r="DH1530" s="645"/>
    </row>
    <row r="1531" spans="108:112">
      <c r="DD1531" s="736" t="s">
        <v>5061</v>
      </c>
      <c r="DE1531" s="105">
        <v>790</v>
      </c>
      <c r="DF1531" s="403">
        <f t="shared" si="523"/>
        <v>790</v>
      </c>
      <c r="DG1531" s="514"/>
      <c r="DH1531" s="511">
        <f t="shared" si="524"/>
        <v>790</v>
      </c>
    </row>
    <row r="1532" spans="108:112">
      <c r="DD1532" s="60" t="s">
        <v>2155</v>
      </c>
      <c r="DE1532" s="105">
        <v>790</v>
      </c>
      <c r="DF1532" s="403">
        <f t="shared" si="523"/>
        <v>790</v>
      </c>
      <c r="DG1532" s="514"/>
      <c r="DH1532" s="511">
        <f t="shared" si="524"/>
        <v>790</v>
      </c>
    </row>
    <row r="1533" spans="108:112">
      <c r="DD1533" s="60" t="s">
        <v>2156</v>
      </c>
      <c r="DE1533" s="105">
        <v>790</v>
      </c>
      <c r="DF1533" s="403">
        <f t="shared" si="523"/>
        <v>790</v>
      </c>
      <c r="DG1533" s="514"/>
      <c r="DH1533" s="511">
        <f t="shared" si="524"/>
        <v>790</v>
      </c>
    </row>
    <row r="1534" spans="108:112">
      <c r="DD1534" s="60" t="s">
        <v>2157</v>
      </c>
      <c r="DE1534" s="105">
        <v>920.00000000000011</v>
      </c>
      <c r="DF1534" s="403">
        <f t="shared" si="523"/>
        <v>920</v>
      </c>
      <c r="DG1534" s="514"/>
      <c r="DH1534" s="511">
        <f t="shared" si="524"/>
        <v>920</v>
      </c>
    </row>
    <row r="1535" spans="108:112">
      <c r="DD1535" s="60" t="s">
        <v>2158</v>
      </c>
      <c r="DE1535" s="105">
        <v>1040</v>
      </c>
      <c r="DF1535" s="403">
        <f t="shared" si="523"/>
        <v>1040</v>
      </c>
      <c r="DG1535" s="514"/>
      <c r="DH1535" s="511">
        <f t="shared" si="524"/>
        <v>1040</v>
      </c>
    </row>
    <row r="1536" spans="108:112">
      <c r="DD1536" s="60" t="s">
        <v>2159</v>
      </c>
      <c r="DE1536" s="105">
        <v>1220</v>
      </c>
      <c r="DF1536" s="403">
        <f t="shared" si="523"/>
        <v>1220</v>
      </c>
      <c r="DG1536" s="514"/>
      <c r="DH1536" s="511">
        <f t="shared" si="524"/>
        <v>1220</v>
      </c>
    </row>
    <row r="1537" spans="108:112">
      <c r="DD1537" s="736" t="s">
        <v>5376</v>
      </c>
      <c r="DE1537" s="105">
        <v>1310</v>
      </c>
      <c r="DF1537" s="403">
        <f t="shared" si="523"/>
        <v>1310</v>
      </c>
      <c r="DG1537" s="514"/>
      <c r="DH1537" s="511">
        <f t="shared" si="524"/>
        <v>1310</v>
      </c>
    </row>
    <row r="1538" spans="108:112">
      <c r="DD1538" s="60" t="s">
        <v>2160</v>
      </c>
      <c r="DE1538" s="105">
        <v>1310</v>
      </c>
      <c r="DF1538" s="403">
        <f t="shared" si="523"/>
        <v>1310</v>
      </c>
      <c r="DG1538" s="514"/>
      <c r="DH1538" s="511">
        <f t="shared" si="524"/>
        <v>1310</v>
      </c>
    </row>
    <row r="1539" spans="108:112">
      <c r="DD1539" s="641"/>
      <c r="DE1539" s="642"/>
      <c r="DF1539" s="643"/>
      <c r="DG1539" s="644"/>
      <c r="DH1539" s="645"/>
    </row>
    <row r="1540" spans="108:112">
      <c r="DD1540" s="736" t="s">
        <v>5062</v>
      </c>
      <c r="DE1540" s="105">
        <v>1540.0000000000002</v>
      </c>
      <c r="DF1540" s="403">
        <f t="shared" si="523"/>
        <v>1540</v>
      </c>
      <c r="DG1540" s="514"/>
      <c r="DH1540" s="511">
        <f t="shared" si="524"/>
        <v>1540</v>
      </c>
    </row>
    <row r="1541" spans="108:112">
      <c r="DD1541" s="60" t="s">
        <v>2161</v>
      </c>
      <c r="DE1541" s="105">
        <v>1540.0000000000002</v>
      </c>
      <c r="DF1541" s="403">
        <f t="shared" si="523"/>
        <v>1540</v>
      </c>
      <c r="DG1541" s="514"/>
      <c r="DH1541" s="511">
        <f t="shared" si="524"/>
        <v>1540</v>
      </c>
    </row>
    <row r="1542" spans="108:112">
      <c r="DD1542" s="60" t="s">
        <v>2162</v>
      </c>
      <c r="DE1542" s="105">
        <v>1540.0000000000002</v>
      </c>
      <c r="DF1542" s="403">
        <f t="shared" si="523"/>
        <v>1540</v>
      </c>
      <c r="DG1542" s="514"/>
      <c r="DH1542" s="511">
        <f t="shared" si="524"/>
        <v>1540</v>
      </c>
    </row>
    <row r="1543" spans="108:112">
      <c r="DD1543" s="60" t="s">
        <v>2163</v>
      </c>
      <c r="DE1543" s="105">
        <v>1770</v>
      </c>
      <c r="DF1543" s="403">
        <f t="shared" si="523"/>
        <v>1770</v>
      </c>
      <c r="DG1543" s="514"/>
      <c r="DH1543" s="511">
        <f t="shared" si="524"/>
        <v>1770</v>
      </c>
    </row>
    <row r="1544" spans="108:112">
      <c r="DD1544" s="60" t="s">
        <v>2164</v>
      </c>
      <c r="DE1544" s="105">
        <v>2100</v>
      </c>
      <c r="DF1544" s="403">
        <f t="shared" si="523"/>
        <v>2100</v>
      </c>
      <c r="DG1544" s="514"/>
      <c r="DH1544" s="511">
        <f t="shared" si="524"/>
        <v>2100</v>
      </c>
    </row>
    <row r="1545" spans="108:112">
      <c r="DD1545" s="60" t="s">
        <v>2165</v>
      </c>
      <c r="DE1545" s="105">
        <v>2420</v>
      </c>
      <c r="DF1545" s="403">
        <f t="shared" si="523"/>
        <v>2420</v>
      </c>
      <c r="DG1545" s="514"/>
      <c r="DH1545" s="511">
        <f t="shared" si="524"/>
        <v>2420</v>
      </c>
    </row>
    <row r="1546" spans="108:112">
      <c r="DD1546" s="736" t="s">
        <v>5377</v>
      </c>
      <c r="DE1546" s="105">
        <v>2590</v>
      </c>
      <c r="DF1546" s="403">
        <f t="shared" si="523"/>
        <v>2590</v>
      </c>
      <c r="DG1546" s="514"/>
      <c r="DH1546" s="511">
        <f t="shared" si="524"/>
        <v>2590</v>
      </c>
    </row>
    <row r="1547" spans="108:112">
      <c r="DD1547" s="60" t="s">
        <v>2166</v>
      </c>
      <c r="DE1547" s="105">
        <v>2590</v>
      </c>
      <c r="DF1547" s="403">
        <f t="shared" si="523"/>
        <v>2590</v>
      </c>
      <c r="DG1547" s="514"/>
      <c r="DH1547" s="511">
        <f t="shared" si="524"/>
        <v>2590</v>
      </c>
    </row>
    <row r="1548" spans="108:112">
      <c r="DD1548" s="641"/>
      <c r="DE1548" s="642"/>
      <c r="DF1548" s="643"/>
      <c r="DG1548" s="644"/>
      <c r="DH1548" s="645"/>
    </row>
    <row r="1549" spans="108:112">
      <c r="DD1549" s="60"/>
      <c r="DE1549" s="105"/>
      <c r="DF1549" s="403"/>
      <c r="DG1549" s="514"/>
      <c r="DH1549" s="511"/>
    </row>
    <row r="1550" spans="108:112">
      <c r="DD1550" s="631"/>
      <c r="DE1550" s="632"/>
      <c r="DF1550" s="633"/>
      <c r="DG1550" s="634"/>
      <c r="DH1550" s="635"/>
    </row>
    <row r="1551" spans="108:112">
      <c r="DD1551" s="162"/>
      <c r="DE1551" s="163"/>
      <c r="DF1551" s="528"/>
      <c r="DG1551" s="529"/>
      <c r="DH1551" s="530"/>
    </row>
    <row r="1552" spans="108:112">
      <c r="DD1552" s="736" t="s">
        <v>5063</v>
      </c>
      <c r="DE1552" s="105">
        <v>1060</v>
      </c>
      <c r="DF1552" s="403">
        <f t="shared" ref="DF1552:DF1558" si="525">ROUND(((DE1552-(DE1552/6))/$DD$3)*$DE$3,2)</f>
        <v>1060</v>
      </c>
      <c r="DG1552" s="514"/>
      <c r="DH1552" s="511">
        <f t="shared" ref="DH1552:DH1615" si="526">IF(DG1552="",DF1552,
IF(AND($DE$10&gt;=VLOOKUP(DG1552,$DD$5:$DH$9,2,0),$DE$10&lt;=VLOOKUP(DG1552,$DD$5:$DH$9,3,0)),
(DF1552*(1-VLOOKUP(DG1552,$DD$5:$DH$9,4,0))),
DF1552))</f>
        <v>1060</v>
      </c>
    </row>
    <row r="1553" spans="108:112">
      <c r="DD1553" s="60" t="s">
        <v>721</v>
      </c>
      <c r="DE1553" s="105">
        <v>1060</v>
      </c>
      <c r="DF1553" s="403">
        <f t="shared" si="525"/>
        <v>1060</v>
      </c>
      <c r="DG1553" s="514"/>
      <c r="DH1553" s="511">
        <f t="shared" si="526"/>
        <v>1060</v>
      </c>
    </row>
    <row r="1554" spans="108:112">
      <c r="DD1554" s="60" t="s">
        <v>1590</v>
      </c>
      <c r="DE1554" s="105">
        <v>1060</v>
      </c>
      <c r="DF1554" s="403">
        <f t="shared" si="525"/>
        <v>1060</v>
      </c>
      <c r="DG1554" s="514"/>
      <c r="DH1554" s="511">
        <f t="shared" si="526"/>
        <v>1060</v>
      </c>
    </row>
    <row r="1555" spans="108:112">
      <c r="DD1555" s="60" t="s">
        <v>2053</v>
      </c>
      <c r="DE1555" s="105">
        <v>1230</v>
      </c>
      <c r="DF1555" s="403">
        <f t="shared" si="525"/>
        <v>1230</v>
      </c>
      <c r="DG1555" s="514"/>
      <c r="DH1555" s="511">
        <f t="shared" si="526"/>
        <v>1230</v>
      </c>
    </row>
    <row r="1556" spans="108:112">
      <c r="DD1556" s="60" t="s">
        <v>628</v>
      </c>
      <c r="DE1556" s="105">
        <v>1290</v>
      </c>
      <c r="DF1556" s="403">
        <f t="shared" si="525"/>
        <v>1290</v>
      </c>
      <c r="DG1556" s="514"/>
      <c r="DH1556" s="511">
        <f t="shared" si="526"/>
        <v>1290</v>
      </c>
    </row>
    <row r="1557" spans="108:112">
      <c r="DD1557" s="60" t="s">
        <v>401</v>
      </c>
      <c r="DE1557" s="105">
        <v>1400</v>
      </c>
      <c r="DF1557" s="403">
        <f t="shared" si="525"/>
        <v>1400</v>
      </c>
      <c r="DG1557" s="514"/>
      <c r="DH1557" s="511">
        <f t="shared" si="526"/>
        <v>1400</v>
      </c>
    </row>
    <row r="1558" spans="108:112">
      <c r="DD1558" s="736" t="s">
        <v>5378</v>
      </c>
      <c r="DE1558" s="105">
        <v>1470</v>
      </c>
      <c r="DF1558" s="403">
        <f t="shared" si="525"/>
        <v>1470</v>
      </c>
      <c r="DG1558" s="514"/>
      <c r="DH1558" s="511">
        <f t="shared" si="526"/>
        <v>1470</v>
      </c>
    </row>
    <row r="1559" spans="108:112">
      <c r="DD1559" s="60" t="s">
        <v>1881</v>
      </c>
      <c r="DE1559" s="105">
        <v>1470</v>
      </c>
      <c r="DF1559" s="403">
        <f>ROUND(((DE1559-(DE1559/6))/$DD$3)*$DE$3,2)</f>
        <v>1470</v>
      </c>
      <c r="DG1559" s="514"/>
      <c r="DH1559" s="511">
        <f t="shared" si="526"/>
        <v>1470</v>
      </c>
    </row>
    <row r="1560" spans="108:112">
      <c r="DD1560" s="641"/>
      <c r="DE1560" s="642"/>
      <c r="DF1560" s="648"/>
      <c r="DG1560" s="648"/>
      <c r="DH1560" s="648"/>
    </row>
    <row r="1561" spans="108:112">
      <c r="DD1561" s="736" t="s">
        <v>5064</v>
      </c>
      <c r="DE1561" s="105">
        <v>1810.0000000000002</v>
      </c>
      <c r="DF1561" s="403">
        <f t="shared" ref="DF1561:DF1622" si="527">ROUND(((DE1561-(DE1561/6))/$DD$3)*$DE$3,2)</f>
        <v>1810</v>
      </c>
      <c r="DG1561" s="514"/>
      <c r="DH1561" s="511">
        <f t="shared" si="526"/>
        <v>1810</v>
      </c>
    </row>
    <row r="1562" spans="108:112">
      <c r="DD1562" s="60" t="s">
        <v>521</v>
      </c>
      <c r="DE1562" s="105">
        <v>1810.0000000000002</v>
      </c>
      <c r="DF1562" s="403">
        <f t="shared" si="527"/>
        <v>1810</v>
      </c>
      <c r="DG1562" s="514"/>
      <c r="DH1562" s="511">
        <f t="shared" si="526"/>
        <v>1810</v>
      </c>
    </row>
    <row r="1563" spans="108:112">
      <c r="DD1563" s="60" t="s">
        <v>1591</v>
      </c>
      <c r="DE1563" s="105">
        <v>1810.0000000000002</v>
      </c>
      <c r="DF1563" s="403">
        <f t="shared" si="527"/>
        <v>1810</v>
      </c>
      <c r="DG1563" s="514"/>
      <c r="DH1563" s="511">
        <f t="shared" si="526"/>
        <v>1810</v>
      </c>
    </row>
    <row r="1564" spans="108:112">
      <c r="DD1564" s="60" t="s">
        <v>2054</v>
      </c>
      <c r="DE1564" s="105">
        <v>2090</v>
      </c>
      <c r="DF1564" s="403">
        <f t="shared" si="527"/>
        <v>2090</v>
      </c>
      <c r="DG1564" s="514"/>
      <c r="DH1564" s="511">
        <f t="shared" si="526"/>
        <v>2090</v>
      </c>
    </row>
    <row r="1565" spans="108:112">
      <c r="DD1565" s="60" t="s">
        <v>522</v>
      </c>
      <c r="DE1565" s="105">
        <v>2230</v>
      </c>
      <c r="DF1565" s="403">
        <f t="shared" si="527"/>
        <v>2230</v>
      </c>
      <c r="DG1565" s="514"/>
      <c r="DH1565" s="511">
        <f t="shared" si="526"/>
        <v>2230</v>
      </c>
    </row>
    <row r="1566" spans="108:112">
      <c r="DD1566" s="60" t="s">
        <v>523</v>
      </c>
      <c r="DE1566" s="105">
        <v>2360</v>
      </c>
      <c r="DF1566" s="403">
        <f t="shared" si="527"/>
        <v>2360</v>
      </c>
      <c r="DG1566" s="514"/>
      <c r="DH1566" s="511">
        <f t="shared" si="526"/>
        <v>2360</v>
      </c>
    </row>
    <row r="1567" spans="108:112">
      <c r="DD1567" s="736" t="s">
        <v>5379</v>
      </c>
      <c r="DE1567" s="105">
        <v>2560</v>
      </c>
      <c r="DF1567" s="403">
        <f t="shared" si="527"/>
        <v>2560</v>
      </c>
      <c r="DG1567" s="514"/>
      <c r="DH1567" s="511">
        <f t="shared" si="526"/>
        <v>2560</v>
      </c>
    </row>
    <row r="1568" spans="108:112">
      <c r="DD1568" s="60" t="s">
        <v>1882</v>
      </c>
      <c r="DE1568" s="105">
        <v>2560</v>
      </c>
      <c r="DF1568" s="403">
        <f t="shared" si="527"/>
        <v>2560</v>
      </c>
      <c r="DG1568" s="514"/>
      <c r="DH1568" s="511">
        <f t="shared" si="526"/>
        <v>2560</v>
      </c>
    </row>
    <row r="1569" spans="108:112">
      <c r="DD1569" s="641"/>
      <c r="DE1569" s="642"/>
      <c r="DF1569" s="648"/>
      <c r="DG1569" s="648"/>
      <c r="DH1569" s="648"/>
    </row>
    <row r="1570" spans="108:112">
      <c r="DD1570" s="736" t="s">
        <v>5065</v>
      </c>
      <c r="DE1570" s="105">
        <v>2200</v>
      </c>
      <c r="DF1570" s="403">
        <f t="shared" si="527"/>
        <v>2200</v>
      </c>
      <c r="DG1570" s="514"/>
      <c r="DH1570" s="511">
        <f t="shared" si="526"/>
        <v>2200</v>
      </c>
    </row>
    <row r="1571" spans="108:112">
      <c r="DD1571" s="60" t="s">
        <v>1107</v>
      </c>
      <c r="DE1571" s="105">
        <v>2200</v>
      </c>
      <c r="DF1571" s="403">
        <f t="shared" si="527"/>
        <v>2200</v>
      </c>
      <c r="DG1571" s="514"/>
      <c r="DH1571" s="511">
        <f t="shared" si="526"/>
        <v>2200</v>
      </c>
    </row>
    <row r="1572" spans="108:112">
      <c r="DD1572" s="60" t="s">
        <v>1592</v>
      </c>
      <c r="DE1572" s="105">
        <v>2200</v>
      </c>
      <c r="DF1572" s="403">
        <f t="shared" si="527"/>
        <v>2200</v>
      </c>
      <c r="DG1572" s="514"/>
      <c r="DH1572" s="511">
        <f t="shared" si="526"/>
        <v>2200</v>
      </c>
    </row>
    <row r="1573" spans="108:112">
      <c r="DD1573" s="60" t="s">
        <v>2055</v>
      </c>
      <c r="DE1573" s="105">
        <v>2540.0000000000005</v>
      </c>
      <c r="DF1573" s="403">
        <f t="shared" si="527"/>
        <v>2540</v>
      </c>
      <c r="DG1573" s="514"/>
      <c r="DH1573" s="511">
        <f t="shared" si="526"/>
        <v>2540</v>
      </c>
    </row>
    <row r="1574" spans="108:112">
      <c r="DD1574" s="60" t="s">
        <v>1108</v>
      </c>
      <c r="DE1574" s="105">
        <v>2730</v>
      </c>
      <c r="DF1574" s="403">
        <f t="shared" si="527"/>
        <v>2730</v>
      </c>
      <c r="DG1574" s="514"/>
      <c r="DH1574" s="511">
        <f t="shared" si="526"/>
        <v>2730</v>
      </c>
    </row>
    <row r="1575" spans="108:112">
      <c r="DD1575" s="60" t="s">
        <v>1109</v>
      </c>
      <c r="DE1575" s="105">
        <v>2870.0000000000005</v>
      </c>
      <c r="DF1575" s="403">
        <f t="shared" si="527"/>
        <v>2870</v>
      </c>
      <c r="DG1575" s="514"/>
      <c r="DH1575" s="511">
        <f t="shared" si="526"/>
        <v>2870</v>
      </c>
    </row>
    <row r="1576" spans="108:112">
      <c r="DD1576" s="736" t="s">
        <v>5380</v>
      </c>
      <c r="DE1576" s="105">
        <v>3120</v>
      </c>
      <c r="DF1576" s="403">
        <f t="shared" si="527"/>
        <v>3120</v>
      </c>
      <c r="DG1576" s="514"/>
      <c r="DH1576" s="511">
        <f t="shared" si="526"/>
        <v>3120</v>
      </c>
    </row>
    <row r="1577" spans="108:112">
      <c r="DD1577" s="60" t="s">
        <v>1883</v>
      </c>
      <c r="DE1577" s="105">
        <v>3120</v>
      </c>
      <c r="DF1577" s="403">
        <f t="shared" si="527"/>
        <v>3120</v>
      </c>
      <c r="DG1577" s="514"/>
      <c r="DH1577" s="511">
        <f t="shared" si="526"/>
        <v>3120</v>
      </c>
    </row>
    <row r="1578" spans="108:112">
      <c r="DD1578" s="641"/>
      <c r="DE1578" s="642"/>
      <c r="DF1578" s="648"/>
      <c r="DG1578" s="648"/>
      <c r="DH1578" s="648"/>
    </row>
    <row r="1579" spans="108:112">
      <c r="DD1579" s="736" t="s">
        <v>5066</v>
      </c>
      <c r="DE1579" s="105">
        <v>1190</v>
      </c>
      <c r="DF1579" s="403">
        <f t="shared" si="527"/>
        <v>1190</v>
      </c>
      <c r="DG1579" s="514"/>
      <c r="DH1579" s="511">
        <f t="shared" si="526"/>
        <v>1190</v>
      </c>
    </row>
    <row r="1580" spans="108:112">
      <c r="DD1580" s="60" t="s">
        <v>37</v>
      </c>
      <c r="DE1580" s="105">
        <v>1190</v>
      </c>
      <c r="DF1580" s="403">
        <f t="shared" si="527"/>
        <v>1190</v>
      </c>
      <c r="DG1580" s="514"/>
      <c r="DH1580" s="511">
        <f t="shared" si="526"/>
        <v>1190</v>
      </c>
    </row>
    <row r="1581" spans="108:112">
      <c r="DD1581" s="60" t="s">
        <v>1593</v>
      </c>
      <c r="DE1581" s="105">
        <v>1190</v>
      </c>
      <c r="DF1581" s="403">
        <f t="shared" si="527"/>
        <v>1190</v>
      </c>
      <c r="DG1581" s="514"/>
      <c r="DH1581" s="511">
        <f t="shared" si="526"/>
        <v>1190</v>
      </c>
    </row>
    <row r="1582" spans="108:112">
      <c r="DD1582" s="60" t="s">
        <v>2056</v>
      </c>
      <c r="DE1582" s="105">
        <v>1310</v>
      </c>
      <c r="DF1582" s="403">
        <f t="shared" si="527"/>
        <v>1310</v>
      </c>
      <c r="DG1582" s="514"/>
      <c r="DH1582" s="511">
        <f t="shared" si="526"/>
        <v>1310</v>
      </c>
    </row>
    <row r="1583" spans="108:112">
      <c r="DD1583" s="60" t="s">
        <v>38</v>
      </c>
      <c r="DE1583" s="105">
        <v>1390.0000000000002</v>
      </c>
      <c r="DF1583" s="403">
        <f t="shared" si="527"/>
        <v>1390</v>
      </c>
      <c r="DG1583" s="514"/>
      <c r="DH1583" s="511">
        <f t="shared" si="526"/>
        <v>1390</v>
      </c>
    </row>
    <row r="1584" spans="108:112">
      <c r="DD1584" s="60" t="s">
        <v>39</v>
      </c>
      <c r="DE1584" s="105">
        <v>1470</v>
      </c>
      <c r="DF1584" s="403">
        <f t="shared" si="527"/>
        <v>1470</v>
      </c>
      <c r="DG1584" s="514"/>
      <c r="DH1584" s="511">
        <f t="shared" si="526"/>
        <v>1470</v>
      </c>
    </row>
    <row r="1585" spans="108:112">
      <c r="DD1585" s="736" t="s">
        <v>5381</v>
      </c>
      <c r="DE1585" s="105">
        <v>1550</v>
      </c>
      <c r="DF1585" s="403">
        <f t="shared" si="527"/>
        <v>1550</v>
      </c>
      <c r="DG1585" s="514"/>
      <c r="DH1585" s="511">
        <f t="shared" si="526"/>
        <v>1550</v>
      </c>
    </row>
    <row r="1586" spans="108:112">
      <c r="DD1586" s="60" t="s">
        <v>1884</v>
      </c>
      <c r="DE1586" s="105">
        <v>1550</v>
      </c>
      <c r="DF1586" s="403">
        <f t="shared" si="527"/>
        <v>1550</v>
      </c>
      <c r="DG1586" s="514"/>
      <c r="DH1586" s="511">
        <f t="shared" si="526"/>
        <v>1550</v>
      </c>
    </row>
    <row r="1587" spans="108:112">
      <c r="DD1587" s="641"/>
      <c r="DE1587" s="642"/>
      <c r="DF1587" s="648"/>
      <c r="DG1587" s="648"/>
      <c r="DH1587" s="648"/>
    </row>
    <row r="1588" spans="108:112">
      <c r="DD1588" s="736" t="s">
        <v>5067</v>
      </c>
      <c r="DE1588" s="105">
        <v>1980</v>
      </c>
      <c r="DF1588" s="403">
        <f t="shared" si="527"/>
        <v>1980</v>
      </c>
      <c r="DG1588" s="514"/>
      <c r="DH1588" s="511">
        <f t="shared" si="526"/>
        <v>1980</v>
      </c>
    </row>
    <row r="1589" spans="108:112">
      <c r="DD1589" s="60" t="s">
        <v>40</v>
      </c>
      <c r="DE1589" s="105">
        <v>1980</v>
      </c>
      <c r="DF1589" s="403">
        <f t="shared" si="527"/>
        <v>1980</v>
      </c>
      <c r="DG1589" s="514"/>
      <c r="DH1589" s="511">
        <f t="shared" si="526"/>
        <v>1980</v>
      </c>
    </row>
    <row r="1590" spans="108:112">
      <c r="DD1590" s="60" t="s">
        <v>1594</v>
      </c>
      <c r="DE1590" s="105">
        <v>1980</v>
      </c>
      <c r="DF1590" s="403">
        <f t="shared" si="527"/>
        <v>1980</v>
      </c>
      <c r="DG1590" s="514"/>
      <c r="DH1590" s="511">
        <f t="shared" si="526"/>
        <v>1980</v>
      </c>
    </row>
    <row r="1591" spans="108:112">
      <c r="DD1591" s="60" t="s">
        <v>2057</v>
      </c>
      <c r="DE1591" s="105">
        <v>2250</v>
      </c>
      <c r="DF1591" s="403">
        <f t="shared" si="527"/>
        <v>2250</v>
      </c>
      <c r="DG1591" s="514"/>
      <c r="DH1591" s="511">
        <f t="shared" si="526"/>
        <v>2250</v>
      </c>
    </row>
    <row r="1592" spans="108:112">
      <c r="DD1592" s="60" t="s">
        <v>41</v>
      </c>
      <c r="DE1592" s="105">
        <v>2390</v>
      </c>
      <c r="DF1592" s="403">
        <f t="shared" si="527"/>
        <v>2390</v>
      </c>
      <c r="DG1592" s="514"/>
      <c r="DH1592" s="511">
        <f t="shared" si="526"/>
        <v>2390</v>
      </c>
    </row>
    <row r="1593" spans="108:112">
      <c r="DD1593" s="60" t="s">
        <v>42</v>
      </c>
      <c r="DE1593" s="105">
        <v>2540.0000000000005</v>
      </c>
      <c r="DF1593" s="403">
        <f t="shared" si="527"/>
        <v>2540</v>
      </c>
      <c r="DG1593" s="514"/>
      <c r="DH1593" s="511">
        <f t="shared" si="526"/>
        <v>2540</v>
      </c>
    </row>
    <row r="1594" spans="108:112">
      <c r="DD1594" s="736" t="s">
        <v>5382</v>
      </c>
      <c r="DE1594" s="105">
        <v>2690.0000000000005</v>
      </c>
      <c r="DF1594" s="403">
        <f t="shared" si="527"/>
        <v>2690</v>
      </c>
      <c r="DG1594" s="514"/>
      <c r="DH1594" s="511">
        <f t="shared" si="526"/>
        <v>2690</v>
      </c>
    </row>
    <row r="1595" spans="108:112">
      <c r="DD1595" s="60" t="s">
        <v>1885</v>
      </c>
      <c r="DE1595" s="105">
        <v>2690.0000000000005</v>
      </c>
      <c r="DF1595" s="403">
        <f t="shared" si="527"/>
        <v>2690</v>
      </c>
      <c r="DG1595" s="514"/>
      <c r="DH1595" s="511">
        <f t="shared" si="526"/>
        <v>2690</v>
      </c>
    </row>
    <row r="1596" spans="108:112">
      <c r="DD1596" s="641"/>
      <c r="DE1596" s="642"/>
      <c r="DF1596" s="648"/>
      <c r="DG1596" s="648"/>
      <c r="DH1596" s="648"/>
    </row>
    <row r="1597" spans="108:112">
      <c r="DD1597" s="736" t="s">
        <v>5068</v>
      </c>
      <c r="DE1597" s="105">
        <v>2360</v>
      </c>
      <c r="DF1597" s="403">
        <f t="shared" si="527"/>
        <v>2360</v>
      </c>
      <c r="DG1597" s="514"/>
      <c r="DH1597" s="511">
        <f t="shared" si="526"/>
        <v>2360</v>
      </c>
    </row>
    <row r="1598" spans="108:112">
      <c r="DD1598" s="60" t="s">
        <v>1301</v>
      </c>
      <c r="DE1598" s="105">
        <v>2360</v>
      </c>
      <c r="DF1598" s="403">
        <f t="shared" si="527"/>
        <v>2360</v>
      </c>
      <c r="DG1598" s="514"/>
      <c r="DH1598" s="511">
        <f t="shared" si="526"/>
        <v>2360</v>
      </c>
    </row>
    <row r="1599" spans="108:112">
      <c r="DD1599" s="60" t="s">
        <v>1595</v>
      </c>
      <c r="DE1599" s="105">
        <v>2360</v>
      </c>
      <c r="DF1599" s="403">
        <f t="shared" si="527"/>
        <v>2360</v>
      </c>
      <c r="DG1599" s="514"/>
      <c r="DH1599" s="511">
        <f t="shared" si="526"/>
        <v>2360</v>
      </c>
    </row>
    <row r="1600" spans="108:112">
      <c r="DD1600" s="60" t="s">
        <v>2058</v>
      </c>
      <c r="DE1600" s="105">
        <v>2690.0000000000005</v>
      </c>
      <c r="DF1600" s="403">
        <f t="shared" si="527"/>
        <v>2690</v>
      </c>
      <c r="DG1600" s="514"/>
      <c r="DH1600" s="511">
        <f t="shared" si="526"/>
        <v>2690</v>
      </c>
    </row>
    <row r="1601" spans="108:112">
      <c r="DD1601" s="60" t="s">
        <v>1302</v>
      </c>
      <c r="DE1601" s="105">
        <v>2870.0000000000005</v>
      </c>
      <c r="DF1601" s="403">
        <f t="shared" si="527"/>
        <v>2870</v>
      </c>
      <c r="DG1601" s="514"/>
      <c r="DH1601" s="511">
        <f t="shared" si="526"/>
        <v>2870</v>
      </c>
    </row>
    <row r="1602" spans="108:112">
      <c r="DD1602" s="60" t="s">
        <v>1303</v>
      </c>
      <c r="DE1602" s="105">
        <v>3030</v>
      </c>
      <c r="DF1602" s="403">
        <f t="shared" si="527"/>
        <v>3030</v>
      </c>
      <c r="DG1602" s="514"/>
      <c r="DH1602" s="511">
        <f t="shared" si="526"/>
        <v>3030</v>
      </c>
    </row>
    <row r="1603" spans="108:112">
      <c r="DD1603" s="736" t="s">
        <v>5383</v>
      </c>
      <c r="DE1603" s="105">
        <v>3210</v>
      </c>
      <c r="DF1603" s="403">
        <f t="shared" si="527"/>
        <v>3210</v>
      </c>
      <c r="DG1603" s="514"/>
      <c r="DH1603" s="511">
        <f t="shared" si="526"/>
        <v>3210</v>
      </c>
    </row>
    <row r="1604" spans="108:112">
      <c r="DD1604" s="60" t="s">
        <v>1886</v>
      </c>
      <c r="DE1604" s="105">
        <v>3210</v>
      </c>
      <c r="DF1604" s="403">
        <f t="shared" si="527"/>
        <v>3210</v>
      </c>
      <c r="DG1604" s="514"/>
      <c r="DH1604" s="511">
        <f t="shared" si="526"/>
        <v>3210</v>
      </c>
    </row>
    <row r="1605" spans="108:112">
      <c r="DD1605" s="641"/>
      <c r="DE1605" s="642"/>
      <c r="DF1605" s="648"/>
      <c r="DG1605" s="648"/>
      <c r="DH1605" s="648"/>
    </row>
    <row r="1606" spans="108:112">
      <c r="DD1606" s="736" t="s">
        <v>6482</v>
      </c>
      <c r="DE1606" s="105">
        <v>320</v>
      </c>
      <c r="DF1606" s="403">
        <f t="shared" si="527"/>
        <v>320</v>
      </c>
      <c r="DG1606" s="514"/>
      <c r="DH1606" s="511">
        <f t="shared" si="526"/>
        <v>320</v>
      </c>
    </row>
    <row r="1607" spans="108:112">
      <c r="DD1607" s="736" t="s">
        <v>6483</v>
      </c>
      <c r="DE1607" s="105">
        <v>320</v>
      </c>
      <c r="DF1607" s="403">
        <f t="shared" si="527"/>
        <v>320</v>
      </c>
      <c r="DG1607" s="514"/>
      <c r="DH1607" s="511">
        <f t="shared" si="526"/>
        <v>320</v>
      </c>
    </row>
    <row r="1608" spans="108:112">
      <c r="DD1608" s="736" t="s">
        <v>6484</v>
      </c>
      <c r="DE1608" s="105">
        <v>320</v>
      </c>
      <c r="DF1608" s="403">
        <f t="shared" si="527"/>
        <v>320</v>
      </c>
      <c r="DG1608" s="514"/>
      <c r="DH1608" s="511">
        <f t="shared" si="526"/>
        <v>320</v>
      </c>
    </row>
    <row r="1609" spans="108:112">
      <c r="DD1609" s="736" t="s">
        <v>6485</v>
      </c>
      <c r="DE1609" s="105">
        <v>350</v>
      </c>
      <c r="DF1609" s="403">
        <f t="shared" si="527"/>
        <v>350</v>
      </c>
      <c r="DG1609" s="514"/>
      <c r="DH1609" s="511">
        <f t="shared" si="526"/>
        <v>350</v>
      </c>
    </row>
    <row r="1610" spans="108:112">
      <c r="DD1610" s="736" t="s">
        <v>6486</v>
      </c>
      <c r="DE1610" s="105">
        <v>410</v>
      </c>
      <c r="DF1610" s="403">
        <f t="shared" si="527"/>
        <v>410</v>
      </c>
      <c r="DG1610" s="514"/>
      <c r="DH1610" s="511">
        <f t="shared" si="526"/>
        <v>410</v>
      </c>
    </row>
    <row r="1611" spans="108:112">
      <c r="DD1611" s="736" t="s">
        <v>6487</v>
      </c>
      <c r="DE1611" s="105">
        <v>430.00000000000006</v>
      </c>
      <c r="DF1611" s="403">
        <f t="shared" si="527"/>
        <v>430</v>
      </c>
      <c r="DG1611" s="514"/>
      <c r="DH1611" s="511">
        <f t="shared" si="526"/>
        <v>430</v>
      </c>
    </row>
    <row r="1612" spans="108:112">
      <c r="DD1612" s="736" t="s">
        <v>6488</v>
      </c>
      <c r="DE1612" s="105">
        <v>450</v>
      </c>
      <c r="DF1612" s="403">
        <f t="shared" si="527"/>
        <v>450</v>
      </c>
      <c r="DG1612" s="514"/>
      <c r="DH1612" s="511">
        <f t="shared" si="526"/>
        <v>450</v>
      </c>
    </row>
    <row r="1613" spans="108:112">
      <c r="DD1613" s="736" t="s">
        <v>6489</v>
      </c>
      <c r="DE1613" s="105">
        <v>450</v>
      </c>
      <c r="DF1613" s="403">
        <f t="shared" si="527"/>
        <v>450</v>
      </c>
      <c r="DG1613" s="514"/>
      <c r="DH1613" s="511">
        <f t="shared" si="526"/>
        <v>450</v>
      </c>
    </row>
    <row r="1614" spans="108:112">
      <c r="DD1614" s="641"/>
      <c r="DE1614" s="642"/>
      <c r="DF1614" s="648"/>
      <c r="DG1614" s="648"/>
      <c r="DH1614" s="648"/>
    </row>
    <row r="1615" spans="108:112">
      <c r="DD1615" s="736" t="s">
        <v>6500</v>
      </c>
      <c r="DE1615" s="105">
        <v>360</v>
      </c>
      <c r="DF1615" s="403">
        <f t="shared" si="527"/>
        <v>360</v>
      </c>
      <c r="DG1615" s="514"/>
      <c r="DH1615" s="511">
        <f t="shared" si="526"/>
        <v>360</v>
      </c>
    </row>
    <row r="1616" spans="108:112">
      <c r="DD1616" s="736" t="s">
        <v>6501</v>
      </c>
      <c r="DE1616" s="105">
        <v>360</v>
      </c>
      <c r="DF1616" s="403">
        <f t="shared" si="527"/>
        <v>360</v>
      </c>
      <c r="DG1616" s="514"/>
      <c r="DH1616" s="511">
        <f t="shared" ref="DH1616:DH1679" si="528">IF(DG1616="",DF1616,
IF(AND($DE$10&gt;=VLOOKUP(DG1616,$DD$5:$DH$9,2,0),$DE$10&lt;=VLOOKUP(DG1616,$DD$5:$DH$9,3,0)),
(DF1616*(1-VLOOKUP(DG1616,$DD$5:$DH$9,4,0))),
DF1616))</f>
        <v>360</v>
      </c>
    </row>
    <row r="1617" spans="108:112">
      <c r="DD1617" s="736" t="s">
        <v>6502</v>
      </c>
      <c r="DE1617" s="105">
        <v>360</v>
      </c>
      <c r="DF1617" s="403">
        <f t="shared" si="527"/>
        <v>360</v>
      </c>
      <c r="DG1617" s="514"/>
      <c r="DH1617" s="511">
        <f t="shared" si="528"/>
        <v>360</v>
      </c>
    </row>
    <row r="1618" spans="108:112">
      <c r="DD1618" s="736" t="s">
        <v>6503</v>
      </c>
      <c r="DE1618" s="105">
        <v>430.00000000000006</v>
      </c>
      <c r="DF1618" s="403">
        <f t="shared" si="527"/>
        <v>430</v>
      </c>
      <c r="DG1618" s="514"/>
      <c r="DH1618" s="511">
        <f t="shared" si="528"/>
        <v>430</v>
      </c>
    </row>
    <row r="1619" spans="108:112">
      <c r="DD1619" s="736" t="s">
        <v>6504</v>
      </c>
      <c r="DE1619" s="105">
        <v>450</v>
      </c>
      <c r="DF1619" s="403">
        <f t="shared" si="527"/>
        <v>450</v>
      </c>
      <c r="DG1619" s="514"/>
      <c r="DH1619" s="511">
        <f t="shared" si="528"/>
        <v>450</v>
      </c>
    </row>
    <row r="1620" spans="108:112">
      <c r="DD1620" s="736" t="s">
        <v>6505</v>
      </c>
      <c r="DE1620" s="105">
        <v>510</v>
      </c>
      <c r="DF1620" s="403">
        <f t="shared" si="527"/>
        <v>510</v>
      </c>
      <c r="DG1620" s="514"/>
      <c r="DH1620" s="511">
        <f t="shared" si="528"/>
        <v>510</v>
      </c>
    </row>
    <row r="1621" spans="108:112">
      <c r="DD1621" s="736" t="s">
        <v>6506</v>
      </c>
      <c r="DE1621" s="105">
        <v>570</v>
      </c>
      <c r="DF1621" s="403">
        <f t="shared" si="527"/>
        <v>570</v>
      </c>
      <c r="DG1621" s="514"/>
      <c r="DH1621" s="511">
        <f t="shared" si="528"/>
        <v>570</v>
      </c>
    </row>
    <row r="1622" spans="108:112">
      <c r="DD1622" s="736" t="s">
        <v>6507</v>
      </c>
      <c r="DE1622" s="105">
        <v>570</v>
      </c>
      <c r="DF1622" s="403">
        <f t="shared" si="527"/>
        <v>570</v>
      </c>
      <c r="DG1622" s="514"/>
      <c r="DH1622" s="511">
        <f t="shared" si="528"/>
        <v>570</v>
      </c>
    </row>
    <row r="1623" spans="108:112">
      <c r="DD1623" s="641"/>
      <c r="DE1623" s="642"/>
      <c r="DF1623" s="648"/>
      <c r="DG1623" s="648"/>
      <c r="DH1623" s="648"/>
    </row>
    <row r="1624" spans="108:112">
      <c r="DD1624" s="736" t="s">
        <v>3110</v>
      </c>
      <c r="DE1624" s="105">
        <v>550</v>
      </c>
      <c r="DF1624" s="403">
        <f t="shared" ref="DF1624:DF1679" si="529">ROUND(((DE1624-(DE1624/6))/$DD$3)*$DE$3,2)</f>
        <v>550</v>
      </c>
      <c r="DG1624" s="514"/>
      <c r="DH1624" s="511">
        <f t="shared" si="528"/>
        <v>550</v>
      </c>
    </row>
    <row r="1625" spans="108:112">
      <c r="DD1625" s="736" t="s">
        <v>5480</v>
      </c>
      <c r="DE1625" s="105">
        <v>1100</v>
      </c>
      <c r="DF1625" s="403">
        <f t="shared" si="529"/>
        <v>1100</v>
      </c>
      <c r="DG1625" s="514"/>
      <c r="DH1625" s="511">
        <f t="shared" si="528"/>
        <v>1100</v>
      </c>
    </row>
    <row r="1626" spans="108:112">
      <c r="DD1626" s="641"/>
      <c r="DE1626" s="642"/>
      <c r="DF1626" s="648"/>
      <c r="DG1626" s="648"/>
      <c r="DH1626" s="648"/>
    </row>
    <row r="1627" spans="108:112">
      <c r="DD1627" s="60"/>
      <c r="DE1627" s="105"/>
      <c r="DF1627" s="403"/>
      <c r="DG1627" s="514"/>
      <c r="DH1627" s="511"/>
    </row>
    <row r="1628" spans="108:112">
      <c r="DD1628" s="631"/>
      <c r="DE1628" s="632"/>
      <c r="DF1628" s="632"/>
      <c r="DG1628" s="632"/>
      <c r="DH1628" s="632"/>
    </row>
    <row r="1629" spans="108:112">
      <c r="DD1629" s="162"/>
      <c r="DE1629" s="163"/>
      <c r="DF1629" s="403">
        <f t="shared" si="529"/>
        <v>0</v>
      </c>
      <c r="DG1629" s="529"/>
      <c r="DH1629" s="511">
        <f t="shared" si="528"/>
        <v>0</v>
      </c>
    </row>
    <row r="1630" spans="108:112">
      <c r="DD1630" s="736" t="s">
        <v>3111</v>
      </c>
      <c r="DE1630" s="105">
        <v>120</v>
      </c>
      <c r="DF1630" s="403">
        <f t="shared" si="529"/>
        <v>120</v>
      </c>
      <c r="DG1630" s="514"/>
      <c r="DH1630" s="511">
        <f t="shared" si="528"/>
        <v>120</v>
      </c>
    </row>
    <row r="1631" spans="108:112">
      <c r="DD1631" s="736" t="s">
        <v>3113</v>
      </c>
      <c r="DE1631" s="105">
        <v>120</v>
      </c>
      <c r="DF1631" s="403">
        <f t="shared" si="529"/>
        <v>120</v>
      </c>
      <c r="DG1631" s="514"/>
      <c r="DH1631" s="511">
        <f t="shared" si="528"/>
        <v>120</v>
      </c>
    </row>
    <row r="1632" spans="108:112">
      <c r="DD1632" s="736" t="s">
        <v>3112</v>
      </c>
      <c r="DE1632" s="105">
        <v>260</v>
      </c>
      <c r="DF1632" s="403">
        <f t="shared" si="529"/>
        <v>260</v>
      </c>
      <c r="DG1632" s="514"/>
      <c r="DH1632" s="511">
        <f t="shared" si="528"/>
        <v>260</v>
      </c>
    </row>
    <row r="1633" spans="108:112">
      <c r="DD1633" s="736" t="s">
        <v>3117</v>
      </c>
      <c r="DE1633" s="105">
        <v>260</v>
      </c>
      <c r="DF1633" s="403">
        <f t="shared" si="529"/>
        <v>260</v>
      </c>
      <c r="DG1633" s="514"/>
      <c r="DH1633" s="511">
        <f t="shared" si="528"/>
        <v>260</v>
      </c>
    </row>
    <row r="1634" spans="108:112">
      <c r="DD1634" s="736" t="s">
        <v>3114</v>
      </c>
      <c r="DE1634" s="105">
        <v>260</v>
      </c>
      <c r="DF1634" s="403">
        <f t="shared" si="529"/>
        <v>260</v>
      </c>
      <c r="DG1634" s="514"/>
      <c r="DH1634" s="511">
        <f t="shared" si="528"/>
        <v>260</v>
      </c>
    </row>
    <row r="1635" spans="108:112">
      <c r="DD1635" s="736" t="s">
        <v>3118</v>
      </c>
      <c r="DE1635" s="105">
        <v>260</v>
      </c>
      <c r="DF1635" s="403">
        <f t="shared" si="529"/>
        <v>260</v>
      </c>
      <c r="DG1635" s="514"/>
      <c r="DH1635" s="511">
        <f t="shared" si="528"/>
        <v>260</v>
      </c>
    </row>
    <row r="1636" spans="108:112">
      <c r="DD1636" s="641"/>
      <c r="DE1636" s="642"/>
      <c r="DF1636" s="648"/>
      <c r="DG1636" s="648"/>
      <c r="DH1636" s="648"/>
    </row>
    <row r="1637" spans="108:112">
      <c r="DD1637" s="60" t="s">
        <v>71</v>
      </c>
      <c r="DE1637" s="105">
        <v>3200.0000000000005</v>
      </c>
      <c r="DF1637" s="403">
        <f t="shared" si="529"/>
        <v>3200</v>
      </c>
      <c r="DG1637" s="514"/>
      <c r="DH1637" s="511">
        <f t="shared" si="528"/>
        <v>3200</v>
      </c>
    </row>
    <row r="1638" spans="108:112">
      <c r="DD1638" s="736" t="s">
        <v>3119</v>
      </c>
      <c r="DE1638" s="105">
        <v>3200.0000000000005</v>
      </c>
      <c r="DF1638" s="403">
        <f t="shared" si="529"/>
        <v>3200</v>
      </c>
      <c r="DG1638" s="514"/>
      <c r="DH1638" s="511">
        <f t="shared" si="528"/>
        <v>3200</v>
      </c>
    </row>
    <row r="1639" spans="108:112">
      <c r="DD1639" s="60" t="s">
        <v>72</v>
      </c>
      <c r="DE1639" s="105">
        <v>3200.0000000000005</v>
      </c>
      <c r="DF1639" s="403">
        <f t="shared" si="529"/>
        <v>3200</v>
      </c>
      <c r="DG1639" s="514"/>
      <c r="DH1639" s="511">
        <f t="shared" si="528"/>
        <v>3200</v>
      </c>
    </row>
    <row r="1640" spans="108:112">
      <c r="DD1640" s="736" t="s">
        <v>3120</v>
      </c>
      <c r="DE1640" s="105">
        <v>3200.0000000000005</v>
      </c>
      <c r="DF1640" s="403">
        <f t="shared" si="529"/>
        <v>3200</v>
      </c>
      <c r="DG1640" s="514"/>
      <c r="DH1640" s="511">
        <f t="shared" si="528"/>
        <v>3200</v>
      </c>
    </row>
    <row r="1641" spans="108:112">
      <c r="DD1641" s="736" t="s">
        <v>3115</v>
      </c>
      <c r="DE1641" s="105">
        <v>1560</v>
      </c>
      <c r="DF1641" s="403">
        <f t="shared" si="529"/>
        <v>1560</v>
      </c>
      <c r="DG1641" s="514"/>
      <c r="DH1641" s="511">
        <f t="shared" si="528"/>
        <v>1560</v>
      </c>
    </row>
    <row r="1642" spans="108:112">
      <c r="DD1642" s="736" t="s">
        <v>3121</v>
      </c>
      <c r="DE1642" s="105">
        <v>1560</v>
      </c>
      <c r="DF1642" s="403">
        <f t="shared" si="529"/>
        <v>1560</v>
      </c>
      <c r="DG1642" s="514"/>
      <c r="DH1642" s="511">
        <f t="shared" si="528"/>
        <v>1560</v>
      </c>
    </row>
    <row r="1643" spans="108:112">
      <c r="DD1643" s="736" t="s">
        <v>3116</v>
      </c>
      <c r="DE1643" s="105">
        <v>1560</v>
      </c>
      <c r="DF1643" s="403">
        <f t="shared" si="529"/>
        <v>1560</v>
      </c>
      <c r="DG1643" s="514"/>
      <c r="DH1643" s="511">
        <f t="shared" si="528"/>
        <v>1560</v>
      </c>
    </row>
    <row r="1644" spans="108:112">
      <c r="DD1644" s="736" t="s">
        <v>3122</v>
      </c>
      <c r="DE1644" s="105">
        <v>1560</v>
      </c>
      <c r="DF1644" s="403">
        <f t="shared" si="529"/>
        <v>1560</v>
      </c>
      <c r="DG1644" s="514"/>
      <c r="DH1644" s="511">
        <f t="shared" si="528"/>
        <v>1560</v>
      </c>
    </row>
    <row r="1645" spans="108:112">
      <c r="DD1645" s="60" t="s">
        <v>1889</v>
      </c>
      <c r="DE1645" s="105">
        <v>750</v>
      </c>
      <c r="DF1645" s="403">
        <f t="shared" si="529"/>
        <v>750</v>
      </c>
      <c r="DG1645" s="514"/>
      <c r="DH1645" s="511">
        <f t="shared" si="528"/>
        <v>750</v>
      </c>
    </row>
    <row r="1646" spans="108:112">
      <c r="DD1646" s="736" t="s">
        <v>3123</v>
      </c>
      <c r="DE1646" s="105">
        <v>750</v>
      </c>
      <c r="DF1646" s="403">
        <f t="shared" si="529"/>
        <v>750</v>
      </c>
      <c r="DG1646" s="514"/>
      <c r="DH1646" s="511">
        <f t="shared" si="528"/>
        <v>750</v>
      </c>
    </row>
    <row r="1647" spans="108:112">
      <c r="DD1647" s="641"/>
      <c r="DE1647" s="642"/>
      <c r="DF1647" s="648"/>
      <c r="DG1647" s="648"/>
      <c r="DH1647" s="648"/>
    </row>
    <row r="1648" spans="108:112">
      <c r="DD1648" s="736" t="s">
        <v>2174</v>
      </c>
      <c r="DE1648" s="105">
        <v>80</v>
      </c>
      <c r="DF1648" s="403">
        <f t="shared" si="529"/>
        <v>80</v>
      </c>
      <c r="DG1648" s="514"/>
      <c r="DH1648" s="511">
        <f t="shared" si="528"/>
        <v>80</v>
      </c>
    </row>
    <row r="1649" spans="108:112">
      <c r="DD1649" s="736" t="s">
        <v>3131</v>
      </c>
      <c r="DE1649" s="105">
        <v>80</v>
      </c>
      <c r="DF1649" s="403">
        <f t="shared" si="529"/>
        <v>80</v>
      </c>
      <c r="DG1649" s="514"/>
      <c r="DH1649" s="511">
        <f t="shared" si="528"/>
        <v>80</v>
      </c>
    </row>
    <row r="1650" spans="108:112">
      <c r="DD1650" s="736" t="s">
        <v>3132</v>
      </c>
      <c r="DE1650" s="105">
        <v>80</v>
      </c>
      <c r="DF1650" s="403">
        <f>ROUND(((DE1650-(DE1650/6))/$DD$3)*$DE$3,2)</f>
        <v>80</v>
      </c>
      <c r="DG1650" s="514"/>
      <c r="DH1650" s="511">
        <f>IF(DG1650="",DF1650,
IF(AND($DE$10&gt;=VLOOKUP(DG1650,$DD$5:$DH$9,2,0),$DE$10&lt;=VLOOKUP(DG1650,$DD$5:$DH$9,3,0)),
(DF1650*(1-VLOOKUP(DG1650,$DD$5:$DH$9,4,0))),
DF1650))</f>
        <v>80</v>
      </c>
    </row>
    <row r="1651" spans="108:112">
      <c r="DD1651" s="736" t="s">
        <v>5620</v>
      </c>
      <c r="DE1651" s="105">
        <v>80</v>
      </c>
      <c r="DF1651" s="403">
        <f>ROUND(((DE1651-(DE1651/6))/$DD$3)*$DE$3,2)</f>
        <v>80</v>
      </c>
      <c r="DG1651" s="514"/>
      <c r="DH1651" s="511">
        <f>IF(DG1651="",DF1651,
IF(AND($DE$10&gt;=VLOOKUP(DG1651,$DD$5:$DH$9,2,0),$DE$10&lt;=VLOOKUP(DG1651,$DD$5:$DH$9,3,0)),
(DF1651*(1-VLOOKUP(DG1651,$DD$5:$DH$9,4,0))),
DF1651))</f>
        <v>80</v>
      </c>
    </row>
    <row r="1652" spans="108:112">
      <c r="DD1652" s="736" t="s">
        <v>5623</v>
      </c>
      <c r="DE1652" s="105">
        <v>80</v>
      </c>
      <c r="DF1652" s="403">
        <f>ROUND(((DE1652-(DE1652/6))/$DD$3)*$DE$3,2)</f>
        <v>80</v>
      </c>
      <c r="DG1652" s="514"/>
      <c r="DH1652" s="511">
        <f>IF(DG1652="",DF1652,
IF(AND($DE$10&gt;=VLOOKUP(DG1652,$DD$5:$DH$9,2,0),$DE$10&lt;=VLOOKUP(DG1652,$DD$5:$DH$9,3,0)),
(DF1652*(1-VLOOKUP(DG1652,$DD$5:$DH$9,4,0))),
DF1652))</f>
        <v>80</v>
      </c>
    </row>
    <row r="1653" spans="108:112">
      <c r="DD1653" s="641"/>
      <c r="DE1653" s="642"/>
      <c r="DF1653" s="648"/>
      <c r="DG1653" s="648"/>
      <c r="DH1653" s="648"/>
    </row>
    <row r="1654" spans="108:112">
      <c r="DD1654" s="736" t="s">
        <v>2073</v>
      </c>
      <c r="DE1654" s="105">
        <v>400</v>
      </c>
      <c r="DF1654" s="403">
        <f>ROUND(((DE1654-(DE1654/6))/$DD$3)*$DE$3,2)</f>
        <v>400</v>
      </c>
      <c r="DG1654" s="514"/>
      <c r="DH1654" s="511">
        <f>IF(DG1654="",DF1654,
IF(AND($DE$10&gt;=VLOOKUP(DG1654,$DD$5:$DH$9,2,0),$DE$10&lt;=VLOOKUP(DG1654,$DD$5:$DH$9,3,0)),
(DF1654*(1-VLOOKUP(DG1654,$DD$5:$DH$9,4,0))),
DF1654))</f>
        <v>400</v>
      </c>
    </row>
    <row r="1655" spans="108:112">
      <c r="DD1655" s="736" t="s">
        <v>2074</v>
      </c>
      <c r="DE1655" s="105">
        <v>400</v>
      </c>
      <c r="DF1655" s="403">
        <f>ROUND(((DE1655-(DE1655/6))/$DD$3)*$DE$3,2)</f>
        <v>400</v>
      </c>
      <c r="DG1655" s="514"/>
      <c r="DH1655" s="511">
        <f>IF(DG1655="",DF1655,
IF(AND($DE$10&gt;=VLOOKUP(DG1655,$DD$5:$DH$9,2,0),$DE$10&lt;=VLOOKUP(DG1655,$DD$5:$DH$9,3,0)),
(DF1655*(1-VLOOKUP(DG1655,$DD$5:$DH$9,4,0))),
DF1655))</f>
        <v>400</v>
      </c>
    </row>
    <row r="1656" spans="108:112">
      <c r="DD1656" s="736" t="s">
        <v>2075</v>
      </c>
      <c r="DE1656" s="105">
        <v>400</v>
      </c>
      <c r="DF1656" s="403">
        <f>ROUND(((DE1656-(DE1656/6))/$DD$3)*$DE$3,2)</f>
        <v>400</v>
      </c>
      <c r="DG1656" s="514"/>
      <c r="DH1656" s="511">
        <f>IF(DG1656="",DF1656,
IF(AND($DE$10&gt;=VLOOKUP(DG1656,$DD$5:$DH$9,2,0),$DE$10&lt;=VLOOKUP(DG1656,$DD$5:$DH$9,3,0)),
(DF1656*(1-VLOOKUP(DG1656,$DD$5:$DH$9,4,0))),
DF1656))</f>
        <v>400</v>
      </c>
    </row>
    <row r="1657" spans="108:112">
      <c r="DD1657" s="736" t="s">
        <v>2076</v>
      </c>
      <c r="DE1657" s="105">
        <v>400</v>
      </c>
      <c r="DF1657" s="403">
        <f>ROUND(((DE1657-(DE1657/6))/$DD$3)*$DE$3,2)</f>
        <v>400</v>
      </c>
      <c r="DG1657" s="514"/>
      <c r="DH1657" s="511">
        <f>IF(DG1657="",DF1657,
IF(AND($DE$10&gt;=VLOOKUP(DG1657,$DD$5:$DH$9,2,0),$DE$10&lt;=VLOOKUP(DG1657,$DD$5:$DH$9,3,0)),
(DF1657*(1-VLOOKUP(DG1657,$DD$5:$DH$9,4,0))),
DF1657))</f>
        <v>400</v>
      </c>
    </row>
    <row r="1658" spans="108:112">
      <c r="DD1658" s="736" t="s">
        <v>2077</v>
      </c>
      <c r="DE1658" s="105">
        <v>400</v>
      </c>
      <c r="DF1658" s="403">
        <f t="shared" si="529"/>
        <v>400</v>
      </c>
      <c r="DG1658" s="514"/>
      <c r="DH1658" s="511">
        <f t="shared" si="528"/>
        <v>400</v>
      </c>
    </row>
    <row r="1659" spans="108:112">
      <c r="DD1659" s="736" t="s">
        <v>2078</v>
      </c>
      <c r="DE1659" s="105">
        <v>400</v>
      </c>
      <c r="DF1659" s="403">
        <f t="shared" si="529"/>
        <v>400</v>
      </c>
      <c r="DG1659" s="514"/>
      <c r="DH1659" s="511">
        <f t="shared" si="528"/>
        <v>400</v>
      </c>
    </row>
    <row r="1660" spans="108:112">
      <c r="DD1660" s="641"/>
      <c r="DE1660" s="642"/>
      <c r="DF1660" s="648"/>
      <c r="DG1660" s="648"/>
      <c r="DH1660" s="648"/>
    </row>
    <row r="1661" spans="108:112">
      <c r="DD1661" s="736" t="s">
        <v>3138</v>
      </c>
      <c r="DE1661" s="105">
        <v>120</v>
      </c>
      <c r="DF1661" s="403">
        <f t="shared" si="529"/>
        <v>120</v>
      </c>
      <c r="DG1661" s="514"/>
      <c r="DH1661" s="511">
        <f t="shared" si="528"/>
        <v>120</v>
      </c>
    </row>
    <row r="1662" spans="108:112">
      <c r="DD1662" s="736" t="s">
        <v>3139</v>
      </c>
      <c r="DE1662" s="105">
        <v>200</v>
      </c>
      <c r="DF1662" s="403">
        <f t="shared" si="529"/>
        <v>200</v>
      </c>
      <c r="DG1662" s="514"/>
      <c r="DH1662" s="511">
        <f t="shared" si="528"/>
        <v>200</v>
      </c>
    </row>
    <row r="1663" spans="108:112">
      <c r="DD1663" s="60" t="s">
        <v>556</v>
      </c>
      <c r="DE1663" s="105">
        <v>110</v>
      </c>
      <c r="DF1663" s="403">
        <f t="shared" si="529"/>
        <v>110</v>
      </c>
      <c r="DG1663" s="514"/>
      <c r="DH1663" s="511">
        <f t="shared" si="528"/>
        <v>110</v>
      </c>
    </row>
    <row r="1664" spans="108:112">
      <c r="DD1664" s="736" t="s">
        <v>3158</v>
      </c>
      <c r="DE1664" s="105">
        <v>380</v>
      </c>
      <c r="DF1664" s="403">
        <f t="shared" si="529"/>
        <v>380</v>
      </c>
      <c r="DG1664" s="514"/>
      <c r="DH1664" s="511">
        <f t="shared" si="528"/>
        <v>380</v>
      </c>
    </row>
    <row r="1665" spans="108:112">
      <c r="DD1665" s="641"/>
      <c r="DE1665" s="642"/>
      <c r="DF1665" s="648"/>
      <c r="DG1665" s="648"/>
      <c r="DH1665" s="648"/>
    </row>
    <row r="1666" spans="108:112">
      <c r="DD1666" s="736" t="s">
        <v>3159</v>
      </c>
      <c r="DE1666" s="105">
        <v>1960</v>
      </c>
      <c r="DF1666" s="403">
        <f t="shared" si="529"/>
        <v>1960</v>
      </c>
      <c r="DG1666" s="514"/>
      <c r="DH1666" s="511">
        <f t="shared" si="528"/>
        <v>1960</v>
      </c>
    </row>
    <row r="1667" spans="108:112">
      <c r="DD1667" s="736" t="s">
        <v>3160</v>
      </c>
      <c r="DE1667" s="105">
        <v>2070</v>
      </c>
      <c r="DF1667" s="403">
        <f t="shared" si="529"/>
        <v>2070</v>
      </c>
      <c r="DG1667" s="514"/>
      <c r="DH1667" s="511">
        <f t="shared" si="528"/>
        <v>2070</v>
      </c>
    </row>
    <row r="1668" spans="108:112">
      <c r="DD1668" s="736" t="s">
        <v>3161</v>
      </c>
      <c r="DE1668" s="105">
        <v>2190</v>
      </c>
      <c r="DF1668" s="403">
        <f t="shared" si="529"/>
        <v>2190</v>
      </c>
      <c r="DG1668" s="514"/>
      <c r="DH1668" s="511">
        <f t="shared" si="528"/>
        <v>2190</v>
      </c>
    </row>
    <row r="1669" spans="108:112">
      <c r="DD1669" s="736" t="s">
        <v>3162</v>
      </c>
      <c r="DE1669" s="105">
        <v>2300</v>
      </c>
      <c r="DF1669" s="403">
        <f t="shared" si="529"/>
        <v>2300</v>
      </c>
      <c r="DG1669" s="514"/>
      <c r="DH1669" s="511">
        <f t="shared" si="528"/>
        <v>2300</v>
      </c>
    </row>
    <row r="1670" spans="108:112">
      <c r="DD1670" s="736" t="s">
        <v>3163</v>
      </c>
      <c r="DE1670" s="105">
        <v>2420</v>
      </c>
      <c r="DF1670" s="403">
        <f t="shared" si="529"/>
        <v>2420</v>
      </c>
      <c r="DG1670" s="514"/>
      <c r="DH1670" s="511">
        <f t="shared" si="528"/>
        <v>2420</v>
      </c>
    </row>
    <row r="1671" spans="108:112">
      <c r="DD1671" s="736" t="s">
        <v>3164</v>
      </c>
      <c r="DE1671" s="105">
        <v>2420</v>
      </c>
      <c r="DF1671" s="403">
        <f t="shared" si="529"/>
        <v>2420</v>
      </c>
      <c r="DG1671" s="514"/>
      <c r="DH1671" s="511">
        <f t="shared" si="528"/>
        <v>2420</v>
      </c>
    </row>
    <row r="1672" spans="108:112">
      <c r="DD1672" s="736" t="s">
        <v>3165</v>
      </c>
      <c r="DE1672" s="105">
        <v>2530</v>
      </c>
      <c r="DF1672" s="403">
        <f t="shared" si="529"/>
        <v>2530</v>
      </c>
      <c r="DG1672" s="514"/>
      <c r="DH1672" s="511">
        <f t="shared" si="528"/>
        <v>2530</v>
      </c>
    </row>
    <row r="1673" spans="108:112">
      <c r="DD1673" s="736" t="s">
        <v>3166</v>
      </c>
      <c r="DE1673" s="105">
        <v>2650</v>
      </c>
      <c r="DF1673" s="403">
        <f t="shared" si="529"/>
        <v>2650</v>
      </c>
      <c r="DG1673" s="514"/>
      <c r="DH1673" s="511">
        <f t="shared" si="528"/>
        <v>2650</v>
      </c>
    </row>
    <row r="1674" spans="108:112">
      <c r="DD1674" s="736" t="s">
        <v>3167</v>
      </c>
      <c r="DE1674" s="105">
        <v>2760</v>
      </c>
      <c r="DF1674" s="403">
        <f t="shared" si="529"/>
        <v>2760</v>
      </c>
      <c r="DG1674" s="514"/>
      <c r="DH1674" s="511">
        <f t="shared" si="528"/>
        <v>2760</v>
      </c>
    </row>
    <row r="1675" spans="108:112">
      <c r="DD1675" s="736" t="s">
        <v>3168</v>
      </c>
      <c r="DE1675" s="105">
        <v>2880</v>
      </c>
      <c r="DF1675" s="403">
        <f t="shared" si="529"/>
        <v>2880</v>
      </c>
      <c r="DG1675" s="514"/>
      <c r="DH1675" s="511">
        <f t="shared" si="528"/>
        <v>2880</v>
      </c>
    </row>
    <row r="1676" spans="108:112">
      <c r="DD1676" s="736" t="s">
        <v>3169</v>
      </c>
      <c r="DE1676" s="105">
        <v>2989.9999999999995</v>
      </c>
      <c r="DF1676" s="403">
        <f t="shared" si="529"/>
        <v>2990</v>
      </c>
      <c r="DG1676" s="514"/>
      <c r="DH1676" s="511">
        <f t="shared" si="528"/>
        <v>2990</v>
      </c>
    </row>
    <row r="1677" spans="108:112">
      <c r="DD1677" s="736" t="s">
        <v>3170</v>
      </c>
      <c r="DE1677" s="105">
        <v>3100</v>
      </c>
      <c r="DF1677" s="403">
        <f t="shared" si="529"/>
        <v>3100</v>
      </c>
      <c r="DG1677" s="514"/>
      <c r="DH1677" s="511">
        <f t="shared" si="528"/>
        <v>3100</v>
      </c>
    </row>
    <row r="1678" spans="108:112">
      <c r="DD1678" s="736" t="s">
        <v>3171</v>
      </c>
      <c r="DE1678" s="105">
        <v>3219.9999999999995</v>
      </c>
      <c r="DF1678" s="403">
        <f t="shared" si="529"/>
        <v>3220</v>
      </c>
      <c r="DG1678" s="514"/>
      <c r="DH1678" s="511">
        <f t="shared" si="528"/>
        <v>3220</v>
      </c>
    </row>
    <row r="1679" spans="108:112">
      <c r="DD1679" s="736" t="s">
        <v>3172</v>
      </c>
      <c r="DE1679" s="105">
        <v>3340</v>
      </c>
      <c r="DF1679" s="403">
        <f t="shared" si="529"/>
        <v>3340</v>
      </c>
      <c r="DG1679" s="514"/>
      <c r="DH1679" s="511">
        <f t="shared" si="528"/>
        <v>3340</v>
      </c>
    </row>
    <row r="1680" spans="108:112">
      <c r="DD1680" s="94"/>
      <c r="DE1680" s="94"/>
      <c r="DF1680" s="512"/>
      <c r="DG1680" s="515"/>
      <c r="DH1680" s="515"/>
    </row>
    <row r="1681" spans="108:112">
      <c r="DD1681" s="48"/>
      <c r="DE1681" s="48"/>
      <c r="DF1681" s="401"/>
      <c r="DG1681" s="48"/>
      <c r="DH1681" s="48"/>
    </row>
    <row r="1682" spans="108:112">
      <c r="DD1682" s="48"/>
      <c r="DE1682" s="48"/>
      <c r="DF1682" s="401"/>
      <c r="DG1682" s="48"/>
      <c r="DH1682" s="48"/>
    </row>
    <row r="1683" spans="108:112">
      <c r="DD1683" s="48"/>
      <c r="DE1683" s="48"/>
      <c r="DF1683" s="401"/>
      <c r="DG1683" s="48"/>
      <c r="DH1683" s="48"/>
    </row>
    <row r="1684" spans="108:112">
      <c r="DD1684" s="48"/>
      <c r="DE1684" s="48"/>
      <c r="DF1684" s="401"/>
      <c r="DG1684" s="48"/>
      <c r="DH1684" s="48"/>
    </row>
    <row r="1685" spans="108:112">
      <c r="DD1685" s="48"/>
      <c r="DE1685" s="48"/>
      <c r="DF1685" s="401"/>
      <c r="DG1685" s="48"/>
      <c r="DH1685" s="48"/>
    </row>
    <row r="1686" spans="108:112">
      <c r="DD1686" s="48"/>
      <c r="DE1686" s="48"/>
      <c r="DF1686" s="401"/>
      <c r="DG1686" s="48"/>
      <c r="DH1686" s="48"/>
    </row>
    <row r="1687" spans="108:112">
      <c r="DD1687" s="48"/>
      <c r="DE1687" s="48"/>
      <c r="DF1687" s="401"/>
      <c r="DG1687" s="48"/>
      <c r="DH1687" s="48"/>
    </row>
    <row r="1688" spans="108:112">
      <c r="DD1688" s="554"/>
      <c r="DE1688" s="554"/>
      <c r="DF1688" s="633"/>
      <c r="DG1688" s="554"/>
      <c r="DH1688" s="554"/>
    </row>
    <row r="2011" spans="106:106">
      <c r="DB2011" s="143"/>
    </row>
    <row r="2012" spans="106:106">
      <c r="DB2012" s="143"/>
    </row>
    <row r="2013" spans="106:106">
      <c r="DB2013" s="154"/>
    </row>
    <row r="2014" spans="106:106">
      <c r="DB2014" s="154"/>
    </row>
    <row r="2015" spans="106:106">
      <c r="DB2015" s="143"/>
    </row>
    <row r="2016" spans="106:106">
      <c r="DB2016" s="143"/>
    </row>
    <row r="2017" spans="106:106">
      <c r="DB2017" s="154"/>
    </row>
    <row r="2018" spans="106:106">
      <c r="DB2018" s="154"/>
    </row>
    <row r="2019" spans="106:106">
      <c r="DB2019" s="154"/>
    </row>
    <row r="2020" spans="106:106">
      <c r="DB2020" s="154"/>
    </row>
  </sheetData>
  <sheetProtection password="D276" sheet="1" objects="1" scenarios="1" selectLockedCells="1" selectUnlockedCells="1"/>
  <mergeCells count="6">
    <mergeCell ref="EC10:EE10"/>
    <mergeCell ref="EI10:EK10"/>
    <mergeCell ref="DE10:DG10"/>
    <mergeCell ref="DK10:DM10"/>
    <mergeCell ref="DQ10:DS10"/>
    <mergeCell ref="DW10:DY10"/>
  </mergeCells>
  <phoneticPr fontId="7" type="noConversion"/>
  <conditionalFormatting sqref="DD12:DH29 C101 DD39:DH1688">
    <cfRule type="expression" dxfId="14" priority="14" stopIfTrue="1">
      <formula>NOT($DG12="")</formula>
    </cfRule>
  </conditionalFormatting>
  <conditionalFormatting sqref="DJ12:DN803">
    <cfRule type="expression" dxfId="13" priority="16" stopIfTrue="1">
      <formula>NOT($DM12="")</formula>
    </cfRule>
  </conditionalFormatting>
  <conditionalFormatting sqref="EE12:EF815 EB12:ED767 EB772:ED815">
    <cfRule type="expression" dxfId="12" priority="401" stopIfTrue="1">
      <formula>NOT($EE12="")</formula>
    </cfRule>
  </conditionalFormatting>
  <conditionalFormatting sqref="DV12:DZ1436">
    <cfRule type="expression" dxfId="11" priority="64" stopIfTrue="1">
      <formula>NOT($DY12="")</formula>
    </cfRule>
  </conditionalFormatting>
  <conditionalFormatting sqref="EH12:EL81 EH82 EJ82:EL82 EH83:EL1034">
    <cfRule type="expression" dxfId="10" priority="402" stopIfTrue="1">
      <formula>NOT($EK12="")</formula>
    </cfRule>
  </conditionalFormatting>
  <conditionalFormatting sqref="BW593 BW564 BW597">
    <cfRule type="expression" dxfId="9" priority="2642" stopIfTrue="1">
      <formula>NOT(#REF!="")</formula>
    </cfRule>
  </conditionalFormatting>
  <conditionalFormatting sqref="DP12:DT1539">
    <cfRule type="expression" dxfId="8" priority="40" stopIfTrue="1">
      <formula>NOT($DS12="")</formula>
    </cfRule>
  </conditionalFormatting>
  <conditionalFormatting sqref="DJ28:DN28">
    <cfRule type="expression" dxfId="7" priority="7" stopIfTrue="1">
      <formula>NOT($DS31="")</formula>
    </cfRule>
  </conditionalFormatting>
  <conditionalFormatting sqref="DJ45:DN45">
    <cfRule type="expression" dxfId="6" priority="6" stopIfTrue="1">
      <formula>NOT($DS52="")</formula>
    </cfRule>
  </conditionalFormatting>
  <conditionalFormatting sqref="DJ53:DN53">
    <cfRule type="expression" dxfId="5" priority="5" stopIfTrue="1">
      <formula>NOT($DS62="")</formula>
    </cfRule>
  </conditionalFormatting>
  <conditionalFormatting sqref="DJ57:DN57">
    <cfRule type="expression" dxfId="4" priority="4" stopIfTrue="1">
      <formula>NOT($DS67="")</formula>
    </cfRule>
  </conditionalFormatting>
  <conditionalFormatting sqref="DD30:DH38">
    <cfRule type="expression" dxfId="3" priority="3" stopIfTrue="1">
      <formula>NOT($DG30="")</formula>
    </cfRule>
  </conditionalFormatting>
  <conditionalFormatting sqref="C100:C101">
    <cfRule type="expression" dxfId="2" priority="2" stopIfTrue="1">
      <formula>NOT($DG100="")</formula>
    </cfRule>
  </conditionalFormatting>
  <conditionalFormatting sqref="L369:L370">
    <cfRule type="expression" dxfId="1" priority="1" stopIfTrue="1">
      <formula>NOT($DG368="")</formula>
    </cfRule>
  </conditionalFormatting>
  <conditionalFormatting sqref="C102">
    <cfRule type="expression" dxfId="0" priority="2644" stopIfTrue="1">
      <formula>NOT($DG101="")</formula>
    </cfRule>
  </conditionalFormatting>
  <dataValidations count="6">
    <dataValidation type="list" allowBlank="1" showInputMessage="1" showErrorMessage="1" sqref="DG1648:DG1652 DG1561:DG1568 DG1666:DG1679 DG1661:DG1664 DG1657:DG1659 DG1637:DG1646 DG1629:DG1635 DG1627 DG1624:DG1625 DG1615:DG1622 DG1606:DG1613 DG1597:DG1604 DG1588:DG1595 DG1579:DG1586 DG1570:DG1577 DG12:DG1559">
      <formula1>$DD$5:$DD$9</formula1>
    </dataValidation>
    <dataValidation type="list" allowBlank="1" showInputMessage="1" showErrorMessage="1" sqref="DM46:DM52 DM12:DM27 DM29:DM44 DM54:DM56">
      <formula1>$DJ$5:$DJ$9</formula1>
    </dataValidation>
    <dataValidation type="list" allowBlank="1" showInputMessage="1" showErrorMessage="1" sqref="EE36:EE83 EE12:EE34 EE90:EE91 EE85:EE88">
      <formula1>$EB$5:$EB$9</formula1>
    </dataValidation>
    <dataValidation type="list" allowBlank="1" showInputMessage="1" showErrorMessage="1" sqref="EK12:EK694">
      <formula1>$EH$5:$EH$9</formula1>
    </dataValidation>
    <dataValidation type="list" allowBlank="1" showInputMessage="1" showErrorMessage="1" sqref="DY12:DY1002">
      <formula1>$DV$5:$DV$9</formula1>
    </dataValidation>
    <dataValidation type="list" allowBlank="1" showInputMessage="1" showErrorMessage="1" sqref="DS12:DS856">
      <formula1>$DP$5:$DP$9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form</vt:lpstr>
      <vt:lpstr>ORDER</vt:lpstr>
      <vt:lpstr>Код ДП</vt:lpstr>
      <vt:lpstr>Код КД</vt:lpstr>
      <vt:lpstr>Код ФР</vt:lpstr>
      <vt:lpstr>Код ПГ</vt:lpstr>
      <vt:lpstr>seriya_DF</vt:lpstr>
      <vt:lpstr>seriya_DL</vt:lpstr>
      <vt:lpstr>seriya_FR</vt:lpstr>
      <vt:lpstr>seriya3</vt:lpstr>
      <vt:lpstr>seriya4</vt:lpstr>
      <vt:lpstr>vat_yesno</vt:lpstr>
      <vt:lpstr>form!Область_печати</vt:lpstr>
    </vt:vector>
  </TitlesOfParts>
  <Company>pgs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Verto Doors</dc:creator>
  <cp:lastModifiedBy>enazarenko</cp:lastModifiedBy>
  <cp:lastPrinted>2022-04-27T10:52:56Z</cp:lastPrinted>
  <dcterms:created xsi:type="dcterms:W3CDTF">2011-04-21T07:39:49Z</dcterms:created>
  <dcterms:modified xsi:type="dcterms:W3CDTF">2023-10-13T13:10:48Z</dcterms:modified>
</cp:coreProperties>
</file>